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1F511229-4D18-40A4-AC47-D94F3BBE432B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6" i="17" l="1"/>
  <c r="H86" i="17"/>
  <c r="I85" i="17"/>
  <c r="H85" i="17"/>
  <c r="I89" i="17"/>
  <c r="H89" i="17"/>
  <c r="I90" i="17"/>
  <c r="H90" i="17"/>
  <c r="I91" i="17"/>
  <c r="H91" i="17"/>
  <c r="E225" i="3"/>
  <c r="BF237" i="3"/>
  <c r="BD237" i="3"/>
  <c r="BB237" i="3"/>
  <c r="BA237" i="3"/>
  <c r="AR237" i="3"/>
  <c r="BG237" i="3" s="1"/>
  <c r="AP237" i="3"/>
  <c r="AQ237" i="3" s="1"/>
  <c r="AO237" i="3"/>
  <c r="AH237" i="3"/>
  <c r="T237" i="3"/>
  <c r="S237" i="3"/>
  <c r="AT237" i="3" s="1"/>
  <c r="BJ237" i="3" s="1"/>
  <c r="J237" i="3"/>
  <c r="F237" i="3"/>
  <c r="E237" i="3"/>
  <c r="W237" i="3" s="1"/>
  <c r="BD235" i="3"/>
  <c r="BB235" i="3"/>
  <c r="BA235" i="3"/>
  <c r="AR235" i="3"/>
  <c r="BG235" i="3" s="1"/>
  <c r="AP235" i="3"/>
  <c r="AQ235" i="3" s="1"/>
  <c r="AO235" i="3"/>
  <c r="AH235" i="3"/>
  <c r="T235" i="3"/>
  <c r="S235" i="3"/>
  <c r="J235" i="3"/>
  <c r="F235" i="3"/>
  <c r="E235" i="3"/>
  <c r="W235" i="3" s="1"/>
  <c r="E262" i="3"/>
  <c r="E261" i="3"/>
  <c r="E260" i="3"/>
  <c r="BP260" i="3" s="1" a="1"/>
  <c r="BP260" i="3" s="1"/>
  <c r="E259" i="3"/>
  <c r="I93" i="17"/>
  <c r="H93" i="17"/>
  <c r="E265" i="3"/>
  <c r="W265" i="3" s="1"/>
  <c r="E255" i="3"/>
  <c r="E288" i="3"/>
  <c r="K108" i="17"/>
  <c r="I108" i="17"/>
  <c r="H108" i="17"/>
  <c r="E263" i="3"/>
  <c r="W263" i="3" s="1"/>
  <c r="I123" i="17"/>
  <c r="H123" i="17"/>
  <c r="BD263" i="3"/>
  <c r="BA263" i="3"/>
  <c r="AR263" i="3"/>
  <c r="AO263" i="3"/>
  <c r="T263" i="3"/>
  <c r="S263" i="3"/>
  <c r="F261" i="3"/>
  <c r="F260" i="3"/>
  <c r="BD261" i="3"/>
  <c r="BA261" i="3"/>
  <c r="AY261" i="3"/>
  <c r="AR261" i="3"/>
  <c r="AO261" i="3"/>
  <c r="T261" i="3"/>
  <c r="S261" i="3"/>
  <c r="BG261" i="3"/>
  <c r="BD260" i="3"/>
  <c r="BA260" i="3"/>
  <c r="AY260" i="3"/>
  <c r="AR260" i="3"/>
  <c r="AP260" i="3"/>
  <c r="AQ260" i="3" s="1"/>
  <c r="AO260" i="3"/>
  <c r="T260" i="3"/>
  <c r="S260" i="3"/>
  <c r="F254" i="3"/>
  <c r="E254" i="3"/>
  <c r="W254" i="3" s="1"/>
  <c r="F253" i="3"/>
  <c r="BD254" i="3"/>
  <c r="BA254" i="3"/>
  <c r="AY254" i="3"/>
  <c r="AR254" i="3"/>
  <c r="AO254" i="3"/>
  <c r="T254" i="3"/>
  <c r="S254" i="3"/>
  <c r="F250" i="3"/>
  <c r="E250" i="3"/>
  <c r="BP250" i="3" s="1" a="1"/>
  <c r="BP250" i="3" s="1"/>
  <c r="BT250" i="3" s="1"/>
  <c r="E251" i="3"/>
  <c r="AH250" i="3"/>
  <c r="BD250" i="3"/>
  <c r="BA250" i="3"/>
  <c r="AY250" i="3"/>
  <c r="AR250" i="3"/>
  <c r="AO250" i="3"/>
  <c r="T250" i="3"/>
  <c r="S250" i="3"/>
  <c r="E230" i="3"/>
  <c r="AX230" i="3" s="1"/>
  <c r="BU230" i="3"/>
  <c r="BQ230" i="3"/>
  <c r="BM230" i="3"/>
  <c r="BI230" i="3"/>
  <c r="BD230" i="3"/>
  <c r="BC230" i="3"/>
  <c r="BA230" i="3"/>
  <c r="AZ230" i="3"/>
  <c r="AY230" i="3"/>
  <c r="AR230" i="3"/>
  <c r="AP230" i="3"/>
  <c r="AO230" i="3"/>
  <c r="AH230" i="3"/>
  <c r="T230" i="3"/>
  <c r="S230" i="3"/>
  <c r="J230" i="3"/>
  <c r="F230" i="3"/>
  <c r="I122" i="17"/>
  <c r="E268" i="3"/>
  <c r="AT268" i="3" s="1"/>
  <c r="BJ268" i="3" s="1"/>
  <c r="F268" i="3"/>
  <c r="BU268" i="3"/>
  <c r="BQ268" i="3"/>
  <c r="BP268" i="3" a="1"/>
  <c r="BP268" i="3" s="1"/>
  <c r="BT268" i="3" s="1"/>
  <c r="BM268" i="3"/>
  <c r="BI268" i="3"/>
  <c r="BD268" i="3"/>
  <c r="BC268" i="3"/>
  <c r="BA268" i="3"/>
  <c r="AZ268" i="3"/>
  <c r="AY268" i="3"/>
  <c r="AR268" i="3"/>
  <c r="AO268" i="3"/>
  <c r="V268" i="3"/>
  <c r="T268" i="3"/>
  <c r="S268" i="3"/>
  <c r="F255" i="3"/>
  <c r="AH255" i="3"/>
  <c r="BD255" i="3"/>
  <c r="BA255" i="3"/>
  <c r="AY255" i="3"/>
  <c r="AR255" i="3"/>
  <c r="AO255" i="3"/>
  <c r="T255" i="3"/>
  <c r="S255" i="3"/>
  <c r="AX255" i="3"/>
  <c r="AH252" i="3"/>
  <c r="F252" i="3"/>
  <c r="BD252" i="3"/>
  <c r="BA252" i="3"/>
  <c r="AR252" i="3"/>
  <c r="AO252" i="3"/>
  <c r="T252" i="3"/>
  <c r="S252" i="3"/>
  <c r="E252" i="3"/>
  <c r="W252" i="3" s="1"/>
  <c r="AH253" i="3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E253" i="3"/>
  <c r="BG253" i="3" s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AY330" i="1" s="1"/>
  <c r="B331" i="1"/>
  <c r="AY331" i="1" s="1"/>
  <c r="B332" i="1"/>
  <c r="B333" i="1"/>
  <c r="B334" i="1"/>
  <c r="B335" i="1"/>
  <c r="AY335" i="1" s="1"/>
  <c r="B336" i="1"/>
  <c r="B337" i="1"/>
  <c r="B338" i="1"/>
  <c r="B339" i="1"/>
  <c r="B340" i="1"/>
  <c r="B341" i="1"/>
  <c r="B342" i="1"/>
  <c r="B343" i="1"/>
  <c r="B344" i="1"/>
  <c r="B345" i="1"/>
  <c r="B210" i="1"/>
  <c r="E200" i="3"/>
  <c r="AT200" i="3" s="1"/>
  <c r="E194" i="3"/>
  <c r="E195" i="3"/>
  <c r="E196" i="3"/>
  <c r="E198" i="3"/>
  <c r="AH312" i="3"/>
  <c r="AH308" i="3"/>
  <c r="AH307" i="3"/>
  <c r="AH297" i="3"/>
  <c r="AH288" i="3"/>
  <c r="AH282" i="3"/>
  <c r="AH284" i="3"/>
  <c r="E285" i="3"/>
  <c r="K109" i="17"/>
  <c r="I109" i="17"/>
  <c r="H109" i="17"/>
  <c r="BU285" i="3"/>
  <c r="BQ285" i="3"/>
  <c r="BM285" i="3"/>
  <c r="BI285" i="3"/>
  <c r="BD285" i="3"/>
  <c r="BC285" i="3"/>
  <c r="BA285" i="3"/>
  <c r="AZ285" i="3"/>
  <c r="AY285" i="3"/>
  <c r="AR285" i="3"/>
  <c r="AO285" i="3"/>
  <c r="T285" i="3"/>
  <c r="S285" i="3"/>
  <c r="G285" i="3"/>
  <c r="AH294" i="3"/>
  <c r="F294" i="3"/>
  <c r="BD294" i="3"/>
  <c r="BA294" i="3"/>
  <c r="AZ294" i="3"/>
  <c r="AY294" i="3"/>
  <c r="AR294" i="3"/>
  <c r="AO294" i="3"/>
  <c r="T294" i="3"/>
  <c r="S294" i="3"/>
  <c r="G294" i="3"/>
  <c r="E294" i="3"/>
  <c r="BF294" i="3" s="1"/>
  <c r="AH200" i="3"/>
  <c r="T200" i="3"/>
  <c r="S200" i="3"/>
  <c r="T201" i="3"/>
  <c r="S201" i="3"/>
  <c r="E201" i="3"/>
  <c r="W201" i="3" s="1"/>
  <c r="AH197" i="3"/>
  <c r="T197" i="3"/>
  <c r="S197" i="3"/>
  <c r="E197" i="3"/>
  <c r="AT197" i="3" s="1"/>
  <c r="V197" i="3" s="1"/>
  <c r="E329" i="3"/>
  <c r="AX329" i="3" s="1"/>
  <c r="BU329" i="3"/>
  <c r="BQ329" i="3"/>
  <c r="BM329" i="3"/>
  <c r="BI329" i="3"/>
  <c r="BD329" i="3"/>
  <c r="BC329" i="3"/>
  <c r="BA329" i="3"/>
  <c r="AZ329" i="3"/>
  <c r="AY329" i="3"/>
  <c r="AR329" i="3"/>
  <c r="AO329" i="3"/>
  <c r="T329" i="3"/>
  <c r="S329" i="3"/>
  <c r="L329" i="3"/>
  <c r="J329" i="3"/>
  <c r="F329" i="3"/>
  <c r="BD291" i="3"/>
  <c r="BA291" i="3"/>
  <c r="AZ291" i="3"/>
  <c r="AY291" i="3"/>
  <c r="AR291" i="3"/>
  <c r="AO291" i="3"/>
  <c r="AH291" i="3"/>
  <c r="T291" i="3"/>
  <c r="S291" i="3"/>
  <c r="G291" i="3"/>
  <c r="E291" i="3"/>
  <c r="BP291" i="3" s="1" a="1"/>
  <c r="BP291" i="3" s="1"/>
  <c r="BD267" i="3"/>
  <c r="BA267" i="3"/>
  <c r="AZ267" i="3"/>
  <c r="AY267" i="3"/>
  <c r="AR267" i="3"/>
  <c r="AO267" i="3"/>
  <c r="AH267" i="3"/>
  <c r="T267" i="3"/>
  <c r="S267" i="3"/>
  <c r="E267" i="3"/>
  <c r="BU244" i="3"/>
  <c r="BQ244" i="3"/>
  <c r="BM244" i="3"/>
  <c r="BI244" i="3"/>
  <c r="BD244" i="3"/>
  <c r="BC244" i="3"/>
  <c r="BA244" i="3"/>
  <c r="AZ244" i="3"/>
  <c r="AY244" i="3"/>
  <c r="AR244" i="3"/>
  <c r="AO244" i="3"/>
  <c r="AH244" i="3"/>
  <c r="T244" i="3"/>
  <c r="S244" i="3"/>
  <c r="J244" i="3"/>
  <c r="F244" i="3"/>
  <c r="E244" i="3"/>
  <c r="BP244" i="3" s="1" a="1"/>
  <c r="BP244" i="3" s="1"/>
  <c r="BU303" i="3"/>
  <c r="BQ303" i="3"/>
  <c r="BM303" i="3"/>
  <c r="BI303" i="3"/>
  <c r="BD303" i="3"/>
  <c r="BC303" i="3"/>
  <c r="BA303" i="3"/>
  <c r="AZ303" i="3"/>
  <c r="AY303" i="3"/>
  <c r="AR303" i="3"/>
  <c r="AO303" i="3"/>
  <c r="AH303" i="3"/>
  <c r="T303" i="3"/>
  <c r="S303" i="3"/>
  <c r="J303" i="3"/>
  <c r="G303" i="3"/>
  <c r="F303" i="3"/>
  <c r="E303" i="3"/>
  <c r="BF303" i="3" s="1"/>
  <c r="E302" i="3"/>
  <c r="AH321" i="3"/>
  <c r="AH313" i="3"/>
  <c r="BD317" i="3"/>
  <c r="BA317" i="3"/>
  <c r="AZ317" i="3"/>
  <c r="AY317" i="3"/>
  <c r="AR317" i="3"/>
  <c r="AO317" i="3"/>
  <c r="AH317" i="3"/>
  <c r="T317" i="3"/>
  <c r="S317" i="3"/>
  <c r="E317" i="3"/>
  <c r="AY327" i="1" s="1"/>
  <c r="AS288" i="3"/>
  <c r="BH288" i="3" s="1"/>
  <c r="BI288" i="3" s="1"/>
  <c r="BQ288" i="3"/>
  <c r="BD288" i="3"/>
  <c r="BA288" i="3"/>
  <c r="AZ288" i="3"/>
  <c r="AY288" i="3"/>
  <c r="AR288" i="3"/>
  <c r="AO288" i="3"/>
  <c r="T288" i="3"/>
  <c r="S288" i="3"/>
  <c r="BD318" i="3"/>
  <c r="BA318" i="3"/>
  <c r="AZ318" i="3"/>
  <c r="AY318" i="3"/>
  <c r="AR318" i="3"/>
  <c r="AO318" i="3"/>
  <c r="AH318" i="3"/>
  <c r="T318" i="3"/>
  <c r="S318" i="3"/>
  <c r="E318" i="3"/>
  <c r="E210" i="3"/>
  <c r="W210" i="3" s="1"/>
  <c r="E206" i="3"/>
  <c r="E208" i="3"/>
  <c r="BF208" i="3" s="1"/>
  <c r="E218" i="3"/>
  <c r="BU321" i="3"/>
  <c r="BQ321" i="3"/>
  <c r="BM321" i="3"/>
  <c r="BI321" i="3"/>
  <c r="BD321" i="3"/>
  <c r="BC321" i="3"/>
  <c r="BA321" i="3"/>
  <c r="AZ321" i="3"/>
  <c r="AY321" i="3"/>
  <c r="AR321" i="3"/>
  <c r="AO321" i="3"/>
  <c r="E321" i="3"/>
  <c r="BP321" i="3" s="1" a="1"/>
  <c r="BP321" i="3" s="1"/>
  <c r="BT321" i="3" s="1"/>
  <c r="BD247" i="3"/>
  <c r="BA247" i="3"/>
  <c r="AY247" i="3"/>
  <c r="AR247" i="3"/>
  <c r="AO247" i="3"/>
  <c r="AH247" i="3"/>
  <c r="E247" i="3"/>
  <c r="W247" i="3" s="1"/>
  <c r="E284" i="3"/>
  <c r="F138" i="3"/>
  <c r="E293" i="3"/>
  <c r="AT293" i="3" s="1"/>
  <c r="I112" i="17"/>
  <c r="H112" i="17"/>
  <c r="AH293" i="3"/>
  <c r="BD293" i="3"/>
  <c r="BA293" i="3"/>
  <c r="AZ293" i="3"/>
  <c r="AY293" i="3"/>
  <c r="AR293" i="3"/>
  <c r="AO293" i="3"/>
  <c r="BU243" i="3"/>
  <c r="BQ243" i="3"/>
  <c r="BM243" i="3"/>
  <c r="BI243" i="3"/>
  <c r="BD243" i="3"/>
  <c r="BC243" i="3"/>
  <c r="BA243" i="3"/>
  <c r="AZ243" i="3"/>
  <c r="AY243" i="3"/>
  <c r="AR243" i="3"/>
  <c r="AO243" i="3"/>
  <c r="AH243" i="3"/>
  <c r="J243" i="3"/>
  <c r="F243" i="3"/>
  <c r="E243" i="3"/>
  <c r="BP243" i="3" s="1" a="1"/>
  <c r="BP243" i="3" s="1"/>
  <c r="E323" i="3"/>
  <c r="W323" i="3" s="1"/>
  <c r="E314" i="3"/>
  <c r="AP314" i="3" s="1"/>
  <c r="I110" i="17"/>
  <c r="H110" i="17"/>
  <c r="AH314" i="3"/>
  <c r="BD314" i="3"/>
  <c r="BA314" i="3"/>
  <c r="AZ314" i="3"/>
  <c r="AY314" i="3"/>
  <c r="AR314" i="3"/>
  <c r="AO314" i="3"/>
  <c r="L314" i="3"/>
  <c r="F314" i="3"/>
  <c r="AH315" i="3"/>
  <c r="E315" i="3"/>
  <c r="AP315" i="3" s="1"/>
  <c r="BD315" i="3"/>
  <c r="BA315" i="3"/>
  <c r="AZ315" i="3"/>
  <c r="AY315" i="3"/>
  <c r="AR315" i="3"/>
  <c r="AO315" i="3"/>
  <c r="I111" i="17"/>
  <c r="H111" i="17"/>
  <c r="E313" i="3"/>
  <c r="AY251" i="1" s="1"/>
  <c r="K107" i="17"/>
  <c r="I107" i="17"/>
  <c r="H107" i="17"/>
  <c r="E320" i="3"/>
  <c r="BU320" i="3"/>
  <c r="BQ320" i="3"/>
  <c r="BM320" i="3"/>
  <c r="BI320" i="3"/>
  <c r="BD320" i="3"/>
  <c r="BC320" i="3"/>
  <c r="BA320" i="3"/>
  <c r="AZ320" i="3"/>
  <c r="AY320" i="3"/>
  <c r="AR320" i="3"/>
  <c r="AO320" i="3"/>
  <c r="E312" i="3"/>
  <c r="AY299" i="1" s="1"/>
  <c r="BU312" i="3"/>
  <c r="BQ312" i="3"/>
  <c r="BM312" i="3"/>
  <c r="BI312" i="3"/>
  <c r="BD312" i="3"/>
  <c r="BC312" i="3"/>
  <c r="BA312" i="3"/>
  <c r="AZ312" i="3"/>
  <c r="AY312" i="3"/>
  <c r="AR312" i="3"/>
  <c r="AO312" i="3"/>
  <c r="K106" i="17"/>
  <c r="I106" i="17"/>
  <c r="H106" i="17"/>
  <c r="K105" i="17"/>
  <c r="I105" i="17"/>
  <c r="H105" i="17"/>
  <c r="E258" i="3"/>
  <c r="BP258" i="3" s="1" a="1"/>
  <c r="BP258" i="3" s="1"/>
  <c r="BD258" i="3"/>
  <c r="BA258" i="3"/>
  <c r="AY258" i="3"/>
  <c r="AR258" i="3"/>
  <c r="AO258" i="3"/>
  <c r="I43" i="17"/>
  <c r="H43" i="17"/>
  <c r="F214" i="3"/>
  <c r="E214" i="3"/>
  <c r="BP214" i="3" s="1" a="1"/>
  <c r="BP214" i="3" s="1"/>
  <c r="BT214" i="3" s="1"/>
  <c r="BU214" i="3"/>
  <c r="BQ214" i="3"/>
  <c r="BM214" i="3"/>
  <c r="BI214" i="3"/>
  <c r="BD214" i="3"/>
  <c r="BC214" i="3"/>
  <c r="BA214" i="3"/>
  <c r="AZ214" i="3"/>
  <c r="AY214" i="3"/>
  <c r="AR214" i="3"/>
  <c r="AO214" i="3"/>
  <c r="AH214" i="3"/>
  <c r="E211" i="3"/>
  <c r="AS211" i="3" s="1"/>
  <c r="BH211" i="3" s="1"/>
  <c r="F211" i="3"/>
  <c r="BU211" i="3"/>
  <c r="BQ211" i="3"/>
  <c r="BM211" i="3"/>
  <c r="BI211" i="3"/>
  <c r="BD211" i="3"/>
  <c r="BC211" i="3"/>
  <c r="BA211" i="3"/>
  <c r="AZ211" i="3"/>
  <c r="AY211" i="3"/>
  <c r="AR211" i="3"/>
  <c r="AO211" i="3"/>
  <c r="AH211" i="3"/>
  <c r="E240" i="3"/>
  <c r="AX240" i="3" s="1"/>
  <c r="E242" i="3"/>
  <c r="AX242" i="3" s="1"/>
  <c r="E241" i="3"/>
  <c r="I84" i="17"/>
  <c r="H84" i="17"/>
  <c r="I80" i="17"/>
  <c r="H80" i="17"/>
  <c r="AH265" i="3"/>
  <c r="BD265" i="3"/>
  <c r="BA265" i="3"/>
  <c r="AY265" i="3"/>
  <c r="AR265" i="3"/>
  <c r="AO265" i="3"/>
  <c r="F259" i="3"/>
  <c r="AY293" i="1"/>
  <c r="I94" i="17"/>
  <c r="H94" i="17"/>
  <c r="J245" i="3"/>
  <c r="F245" i="3"/>
  <c r="BD245" i="3"/>
  <c r="BA245" i="3"/>
  <c r="AR245" i="3"/>
  <c r="AO245" i="3"/>
  <c r="AH245" i="3"/>
  <c r="E245" i="3"/>
  <c r="W245" i="3" s="1"/>
  <c r="E217" i="3"/>
  <c r="AX217" i="3" s="1"/>
  <c r="I81" i="17"/>
  <c r="AH242" i="3"/>
  <c r="AH241" i="3"/>
  <c r="AH240" i="3"/>
  <c r="BU217" i="3"/>
  <c r="BQ217" i="3"/>
  <c r="BM217" i="3"/>
  <c r="BI217" i="3"/>
  <c r="BD217" i="3"/>
  <c r="BC217" i="3"/>
  <c r="BA217" i="3"/>
  <c r="AZ217" i="3"/>
  <c r="AY217" i="3"/>
  <c r="AR217" i="3"/>
  <c r="AO217" i="3"/>
  <c r="AH217" i="3"/>
  <c r="J217" i="3"/>
  <c r="F217" i="3"/>
  <c r="E277" i="3"/>
  <c r="AY250" i="1" s="1"/>
  <c r="E273" i="3"/>
  <c r="AT273" i="3" s="1"/>
  <c r="E274" i="3"/>
  <c r="AT274" i="3" s="1"/>
  <c r="E276" i="3"/>
  <c r="AS276" i="3" s="1"/>
  <c r="BH276" i="3" s="1"/>
  <c r="E275" i="3"/>
  <c r="AT275" i="3" s="1"/>
  <c r="E307" i="3"/>
  <c r="AX307" i="3" s="1"/>
  <c r="I119" i="17"/>
  <c r="H119" i="17"/>
  <c r="BD216" i="3"/>
  <c r="BA216" i="3"/>
  <c r="AR216" i="3"/>
  <c r="AO216" i="3"/>
  <c r="AH216" i="3"/>
  <c r="J216" i="3"/>
  <c r="F216" i="3"/>
  <c r="E216" i="3"/>
  <c r="W216" i="3" s="1"/>
  <c r="F251" i="3"/>
  <c r="BD251" i="3"/>
  <c r="BA251" i="3"/>
  <c r="AR251" i="3"/>
  <c r="AO251" i="3"/>
  <c r="W251" i="3"/>
  <c r="E301" i="3"/>
  <c r="AP301" i="3" s="1"/>
  <c r="I118" i="17"/>
  <c r="H118" i="17"/>
  <c r="BD301" i="3"/>
  <c r="BA301" i="3"/>
  <c r="AY301" i="3"/>
  <c r="AR301" i="3"/>
  <c r="AO301" i="3"/>
  <c r="F301" i="3"/>
  <c r="AH296" i="3"/>
  <c r="BD296" i="3"/>
  <c r="BA296" i="3"/>
  <c r="AZ296" i="3"/>
  <c r="AY296" i="3"/>
  <c r="AR296" i="3"/>
  <c r="AO296" i="3"/>
  <c r="L296" i="3"/>
  <c r="E296" i="3"/>
  <c r="BF296" i="3" s="1"/>
  <c r="AH327" i="3"/>
  <c r="E327" i="3"/>
  <c r="W327" i="3" s="1"/>
  <c r="BD327" i="3"/>
  <c r="BA327" i="3"/>
  <c r="AY327" i="3"/>
  <c r="AR327" i="3"/>
  <c r="AO327" i="3"/>
  <c r="J327" i="3"/>
  <c r="F327" i="3"/>
  <c r="AH281" i="3"/>
  <c r="AH280" i="3"/>
  <c r="BU280" i="3"/>
  <c r="BQ280" i="3"/>
  <c r="BM280" i="3"/>
  <c r="BI280" i="3"/>
  <c r="BD280" i="3"/>
  <c r="BC280" i="3"/>
  <c r="BA280" i="3"/>
  <c r="AZ280" i="3"/>
  <c r="AY280" i="3"/>
  <c r="AR280" i="3"/>
  <c r="AO280" i="3"/>
  <c r="L280" i="3"/>
  <c r="G280" i="3"/>
  <c r="E280" i="3"/>
  <c r="E215" i="3"/>
  <c r="AP215" i="3" s="1"/>
  <c r="AQ215" i="3" s="1"/>
  <c r="BU215" i="3"/>
  <c r="BQ215" i="3"/>
  <c r="BM215" i="3"/>
  <c r="BI215" i="3"/>
  <c r="BD215" i="3"/>
  <c r="BC215" i="3"/>
  <c r="BA215" i="3"/>
  <c r="AZ215" i="3"/>
  <c r="AY215" i="3"/>
  <c r="AR215" i="3"/>
  <c r="AO215" i="3"/>
  <c r="AH215" i="3"/>
  <c r="J215" i="3"/>
  <c r="F215" i="3"/>
  <c r="BU284" i="3"/>
  <c r="BQ284" i="3"/>
  <c r="BM284" i="3"/>
  <c r="BI284" i="3"/>
  <c r="BD284" i="3"/>
  <c r="BC284" i="3"/>
  <c r="BA284" i="3"/>
  <c r="AZ284" i="3"/>
  <c r="AY284" i="3"/>
  <c r="AR284" i="3"/>
  <c r="AO284" i="3"/>
  <c r="L284" i="3"/>
  <c r="BD220" i="3"/>
  <c r="BA220" i="3"/>
  <c r="AZ220" i="3"/>
  <c r="AY220" i="3"/>
  <c r="AR220" i="3"/>
  <c r="AO220" i="3"/>
  <c r="AH220" i="3"/>
  <c r="J220" i="3"/>
  <c r="F220" i="3"/>
  <c r="E220" i="3"/>
  <c r="AP220" i="3" s="1"/>
  <c r="BU282" i="3"/>
  <c r="BQ282" i="3"/>
  <c r="BM282" i="3"/>
  <c r="BI282" i="3"/>
  <c r="BD282" i="3"/>
  <c r="BC282" i="3"/>
  <c r="BA282" i="3"/>
  <c r="AZ282" i="3"/>
  <c r="AR282" i="3"/>
  <c r="AO282" i="3"/>
  <c r="U282" i="3"/>
  <c r="AY282" i="3" s="1"/>
  <c r="L282" i="3"/>
  <c r="G282" i="3"/>
  <c r="E282" i="3"/>
  <c r="AY312" i="1" s="1"/>
  <c r="BD199" i="3"/>
  <c r="BA199" i="3"/>
  <c r="AY199" i="3"/>
  <c r="AR199" i="3"/>
  <c r="AO199" i="3"/>
  <c r="AH199" i="3"/>
  <c r="E199" i="3"/>
  <c r="W199" i="3" s="1"/>
  <c r="BU199" i="3" s="1"/>
  <c r="BD198" i="3"/>
  <c r="BA198" i="3"/>
  <c r="AY198" i="3"/>
  <c r="AR198" i="3"/>
  <c r="AO198" i="3"/>
  <c r="AH198" i="3"/>
  <c r="W198" i="3"/>
  <c r="BU198" i="3" s="1"/>
  <c r="BU304" i="3"/>
  <c r="BQ304" i="3"/>
  <c r="BM304" i="3"/>
  <c r="BI304" i="3"/>
  <c r="BD304" i="3"/>
  <c r="BC304" i="3"/>
  <c r="BA304" i="3"/>
  <c r="AZ304" i="3"/>
  <c r="AY304" i="3"/>
  <c r="AR304" i="3"/>
  <c r="AO304" i="3"/>
  <c r="AH304" i="3"/>
  <c r="J304" i="3"/>
  <c r="F304" i="3"/>
  <c r="E304" i="3"/>
  <c r="AX304" i="3" s="1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J306" i="3"/>
  <c r="G306" i="3"/>
  <c r="F306" i="3"/>
  <c r="E306" i="3"/>
  <c r="AX306" i="3" s="1"/>
  <c r="E228" i="3"/>
  <c r="E229" i="3"/>
  <c r="BP229" i="3" s="1" a="1"/>
  <c r="BP229" i="3" s="1"/>
  <c r="BT229" i="3" s="1"/>
  <c r="BD229" i="3"/>
  <c r="BA229" i="3"/>
  <c r="AR229" i="3"/>
  <c r="AO229" i="3"/>
  <c r="AH229" i="3"/>
  <c r="F229" i="3"/>
  <c r="BU307" i="3"/>
  <c r="BQ307" i="3"/>
  <c r="BM307" i="3"/>
  <c r="BI307" i="3"/>
  <c r="BD307" i="3"/>
  <c r="BC307" i="3"/>
  <c r="BA307" i="3"/>
  <c r="AZ307" i="3"/>
  <c r="AY307" i="3"/>
  <c r="AR307" i="3"/>
  <c r="AO307" i="3"/>
  <c r="J307" i="3"/>
  <c r="F307" i="3"/>
  <c r="BU297" i="3"/>
  <c r="BQ297" i="3"/>
  <c r="BM297" i="3"/>
  <c r="BI297" i="3"/>
  <c r="BD297" i="3"/>
  <c r="BC297" i="3"/>
  <c r="BA297" i="3"/>
  <c r="AZ297" i="3"/>
  <c r="AY297" i="3"/>
  <c r="AR297" i="3"/>
  <c r="AO297" i="3"/>
  <c r="V297" i="3"/>
  <c r="G297" i="3"/>
  <c r="F297" i="3"/>
  <c r="E297" i="3"/>
  <c r="AP297" i="3" s="1"/>
  <c r="E213" i="3"/>
  <c r="AY315" i="1" s="1"/>
  <c r="BD213" i="3"/>
  <c r="BA213" i="3"/>
  <c r="AY213" i="3"/>
  <c r="AR213" i="3"/>
  <c r="AO213" i="3"/>
  <c r="AH213" i="3"/>
  <c r="E257" i="3"/>
  <c r="W257" i="3" s="1"/>
  <c r="I44" i="17"/>
  <c r="H44" i="17"/>
  <c r="BU328" i="3"/>
  <c r="BQ328" i="3"/>
  <c r="BM328" i="3"/>
  <c r="BI328" i="3"/>
  <c r="BC328" i="3"/>
  <c r="AZ328" i="3"/>
  <c r="AY328" i="3"/>
  <c r="AH328" i="3"/>
  <c r="L328" i="3"/>
  <c r="J328" i="3"/>
  <c r="G328" i="3"/>
  <c r="F328" i="3"/>
  <c r="E328" i="3"/>
  <c r="AX328" i="3" s="1"/>
  <c r="C328" i="3"/>
  <c r="BU300" i="3"/>
  <c r="BQ300" i="3"/>
  <c r="BM300" i="3"/>
  <c r="BI300" i="3"/>
  <c r="BD300" i="3"/>
  <c r="BC300" i="3"/>
  <c r="BA300" i="3"/>
  <c r="AZ300" i="3"/>
  <c r="AY300" i="3"/>
  <c r="AR300" i="3"/>
  <c r="AO300" i="3"/>
  <c r="E300" i="3"/>
  <c r="AS300" i="3" s="1"/>
  <c r="BH300" i="3" s="1"/>
  <c r="BU299" i="3"/>
  <c r="BQ299" i="3"/>
  <c r="BM299" i="3"/>
  <c r="BI299" i="3"/>
  <c r="BD299" i="3"/>
  <c r="BC299" i="3"/>
  <c r="BA299" i="3"/>
  <c r="AZ299" i="3"/>
  <c r="AY299" i="3"/>
  <c r="AR299" i="3"/>
  <c r="AO299" i="3"/>
  <c r="E299" i="3"/>
  <c r="BF299" i="3" s="1"/>
  <c r="G298" i="3"/>
  <c r="E298" i="3"/>
  <c r="AS298" i="3" s="1"/>
  <c r="BH298" i="3" s="1"/>
  <c r="BU298" i="3"/>
  <c r="BQ298" i="3"/>
  <c r="BM298" i="3"/>
  <c r="BI298" i="3"/>
  <c r="BD298" i="3"/>
  <c r="BC298" i="3"/>
  <c r="BA298" i="3"/>
  <c r="AZ298" i="3"/>
  <c r="AY298" i="3"/>
  <c r="AR298" i="3"/>
  <c r="AO298" i="3"/>
  <c r="AH266" i="3"/>
  <c r="AH264" i="3"/>
  <c r="E266" i="3"/>
  <c r="BP266" i="3" s="1" a="1"/>
  <c r="BP266" i="3" s="1"/>
  <c r="BD266" i="3"/>
  <c r="BA266" i="3"/>
  <c r="AY266" i="3"/>
  <c r="AR266" i="3"/>
  <c r="AO266" i="3"/>
  <c r="G81" i="3"/>
  <c r="L5" i="16"/>
  <c r="N7" i="16"/>
  <c r="N8" i="16"/>
  <c r="N9" i="16"/>
  <c r="N10" i="16"/>
  <c r="AH246" i="3"/>
  <c r="BD246" i="3"/>
  <c r="BA246" i="3"/>
  <c r="AY246" i="3"/>
  <c r="AR246" i="3"/>
  <c r="AO246" i="3"/>
  <c r="E246" i="3"/>
  <c r="W246" i="3" s="1"/>
  <c r="BU246" i="3" s="1"/>
  <c r="E264" i="3"/>
  <c r="AY263" i="1" s="1"/>
  <c r="AH286" i="3"/>
  <c r="BU286" i="3"/>
  <c r="BQ286" i="3"/>
  <c r="BM286" i="3"/>
  <c r="BI286" i="3"/>
  <c r="BD286" i="3"/>
  <c r="BC286" i="3"/>
  <c r="BA286" i="3"/>
  <c r="AZ286" i="3"/>
  <c r="AY286" i="3"/>
  <c r="AR286" i="3"/>
  <c r="AO286" i="3"/>
  <c r="G286" i="3"/>
  <c r="E286" i="3"/>
  <c r="AY264" i="1" s="1"/>
  <c r="AH316" i="3"/>
  <c r="E316" i="3"/>
  <c r="BP316" i="3" s="1" a="1"/>
  <c r="BP316" i="3" s="1"/>
  <c r="BT316" i="3" s="1"/>
  <c r="BU316" i="3"/>
  <c r="BQ316" i="3"/>
  <c r="BM316" i="3"/>
  <c r="BI316" i="3"/>
  <c r="BD316" i="3"/>
  <c r="BC316" i="3"/>
  <c r="BA316" i="3"/>
  <c r="AZ316" i="3"/>
  <c r="AY316" i="3"/>
  <c r="AR316" i="3"/>
  <c r="AO316" i="3"/>
  <c r="V316" i="3"/>
  <c r="L316" i="3"/>
  <c r="G316" i="3"/>
  <c r="I104" i="17"/>
  <c r="H104" i="17"/>
  <c r="AH319" i="3"/>
  <c r="L319" i="3"/>
  <c r="G319" i="3"/>
  <c r="E319" i="3"/>
  <c r="K103" i="17"/>
  <c r="I103" i="17"/>
  <c r="H103" i="17"/>
  <c r="BD210" i="3"/>
  <c r="BA210" i="3"/>
  <c r="AR210" i="3"/>
  <c r="AO210" i="3"/>
  <c r="AH210" i="3"/>
  <c r="BD209" i="3"/>
  <c r="BA209" i="3"/>
  <c r="AR209" i="3"/>
  <c r="AO209" i="3"/>
  <c r="AH209" i="3"/>
  <c r="J209" i="3"/>
  <c r="F209" i="3"/>
  <c r="E209" i="3"/>
  <c r="W209" i="3" s="1"/>
  <c r="BD208" i="3"/>
  <c r="BA208" i="3"/>
  <c r="AR208" i="3"/>
  <c r="AO208" i="3"/>
  <c r="AH208" i="3"/>
  <c r="BD207" i="3"/>
  <c r="BA207" i="3"/>
  <c r="AR207" i="3"/>
  <c r="AO207" i="3"/>
  <c r="AH207" i="3"/>
  <c r="J207" i="3"/>
  <c r="F207" i="3"/>
  <c r="E207" i="3"/>
  <c r="BP207" i="3" s="1" a="1"/>
  <c r="BP207" i="3" s="1"/>
  <c r="BT207" i="3" s="1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95" i="3"/>
  <c r="BD295" i="3"/>
  <c r="AZ295" i="3"/>
  <c r="AY295" i="3"/>
  <c r="AR295" i="3"/>
  <c r="L295" i="3"/>
  <c r="G295" i="3"/>
  <c r="E295" i="3"/>
  <c r="AY254" i="1" s="1"/>
  <c r="BD324" i="3"/>
  <c r="BA324" i="3"/>
  <c r="AY324" i="3"/>
  <c r="AR324" i="3"/>
  <c r="AO324" i="3"/>
  <c r="AH324" i="3"/>
  <c r="J324" i="3"/>
  <c r="F324" i="3"/>
  <c r="E324" i="3"/>
  <c r="W324" i="3" s="1"/>
  <c r="BD323" i="3"/>
  <c r="BA323" i="3"/>
  <c r="AY323" i="3"/>
  <c r="AR323" i="3"/>
  <c r="AO323" i="3"/>
  <c r="AH323" i="3"/>
  <c r="J323" i="3"/>
  <c r="F323" i="3"/>
  <c r="J322" i="3"/>
  <c r="F322" i="3"/>
  <c r="E322" i="3"/>
  <c r="W322" i="3" s="1"/>
  <c r="AH325" i="3"/>
  <c r="J325" i="3"/>
  <c r="F325" i="3"/>
  <c r="E325" i="3"/>
  <c r="W325" i="3" s="1"/>
  <c r="AH326" i="3"/>
  <c r="J326" i="3"/>
  <c r="F326" i="3"/>
  <c r="E326" i="3"/>
  <c r="AY252" i="1"/>
  <c r="AY301" i="1"/>
  <c r="AY310" i="1"/>
  <c r="AY326" i="1"/>
  <c r="AY334" i="1"/>
  <c r="AY338" i="1"/>
  <c r="AY339" i="1"/>
  <c r="E308" i="3"/>
  <c r="L302" i="3"/>
  <c r="G302" i="3"/>
  <c r="AH302" i="3"/>
  <c r="L313" i="3"/>
  <c r="F313" i="3"/>
  <c r="AH249" i="3"/>
  <c r="BD249" i="3"/>
  <c r="BA249" i="3"/>
  <c r="AY249" i="3"/>
  <c r="AR249" i="3"/>
  <c r="AO249" i="3"/>
  <c r="E249" i="3"/>
  <c r="W249" i="3" s="1"/>
  <c r="BU249" i="3" s="1"/>
  <c r="BU305" i="3"/>
  <c r="BQ305" i="3"/>
  <c r="BM305" i="3"/>
  <c r="BI305" i="3"/>
  <c r="BD305" i="3"/>
  <c r="BC305" i="3"/>
  <c r="BA305" i="3"/>
  <c r="AZ305" i="3"/>
  <c r="AY305" i="3"/>
  <c r="AR305" i="3"/>
  <c r="AO305" i="3"/>
  <c r="AH305" i="3"/>
  <c r="J305" i="3"/>
  <c r="G305" i="3"/>
  <c r="F305" i="3"/>
  <c r="E305" i="3"/>
  <c r="AX305" i="3" s="1"/>
  <c r="E227" i="3"/>
  <c r="AP227" i="3" s="1"/>
  <c r="J227" i="3"/>
  <c r="F227" i="3"/>
  <c r="I82" i="17"/>
  <c r="H82" i="17"/>
  <c r="E238" i="3"/>
  <c r="AP238" i="3" s="1"/>
  <c r="BD227" i="3"/>
  <c r="BA227" i="3"/>
  <c r="AR227" i="3"/>
  <c r="AO227" i="3"/>
  <c r="AH227" i="3"/>
  <c r="BD238" i="3"/>
  <c r="BA238" i="3"/>
  <c r="AR238" i="3"/>
  <c r="AO238" i="3"/>
  <c r="AH238" i="3"/>
  <c r="J238" i="3"/>
  <c r="F238" i="3"/>
  <c r="BD225" i="3"/>
  <c r="BA225" i="3"/>
  <c r="AR225" i="3"/>
  <c r="AO225" i="3"/>
  <c r="AH225" i="3"/>
  <c r="AH292" i="3"/>
  <c r="BD292" i="3"/>
  <c r="BA292" i="3"/>
  <c r="AZ292" i="3"/>
  <c r="AY292" i="3"/>
  <c r="AR292" i="3"/>
  <c r="AO292" i="3"/>
  <c r="G292" i="3"/>
  <c r="E292" i="3"/>
  <c r="AY243" i="1" s="1"/>
  <c r="AH290" i="3"/>
  <c r="AX262" i="3"/>
  <c r="BU262" i="3"/>
  <c r="BQ262" i="3"/>
  <c r="BM262" i="3"/>
  <c r="BI262" i="3"/>
  <c r="BD262" i="3"/>
  <c r="BC262" i="3"/>
  <c r="BA262" i="3"/>
  <c r="AZ262" i="3"/>
  <c r="AY262" i="3"/>
  <c r="AR262" i="3"/>
  <c r="AO262" i="3"/>
  <c r="L262" i="3"/>
  <c r="F262" i="3"/>
  <c r="G289" i="3"/>
  <c r="BD223" i="3"/>
  <c r="BA223" i="3"/>
  <c r="AZ223" i="3"/>
  <c r="AY223" i="3"/>
  <c r="AR223" i="3"/>
  <c r="AO223" i="3"/>
  <c r="AH223" i="3"/>
  <c r="J223" i="3"/>
  <c r="F223" i="3"/>
  <c r="E223" i="3"/>
  <c r="AX223" i="3" s="1"/>
  <c r="BD222" i="3"/>
  <c r="BA222" i="3"/>
  <c r="AZ222" i="3"/>
  <c r="AY222" i="3"/>
  <c r="AR222" i="3"/>
  <c r="AO222" i="3"/>
  <c r="AH222" i="3"/>
  <c r="E222" i="3"/>
  <c r="AX222" i="3" s="1"/>
  <c r="BD221" i="3"/>
  <c r="BA221" i="3"/>
  <c r="AZ221" i="3"/>
  <c r="AY221" i="3"/>
  <c r="AR221" i="3"/>
  <c r="AO221" i="3"/>
  <c r="AH221" i="3"/>
  <c r="E221" i="3"/>
  <c r="AX221" i="3" s="1"/>
  <c r="E248" i="3"/>
  <c r="AY238" i="1" s="1"/>
  <c r="I71" i="17"/>
  <c r="BD290" i="3"/>
  <c r="BA290" i="3"/>
  <c r="AZ290" i="3"/>
  <c r="AY290" i="3"/>
  <c r="AR290" i="3"/>
  <c r="AO290" i="3"/>
  <c r="G290" i="3"/>
  <c r="E290" i="3"/>
  <c r="AY237" i="1" s="1"/>
  <c r="I78" i="17"/>
  <c r="H78" i="17"/>
  <c r="E212" i="3"/>
  <c r="W212" i="3" s="1"/>
  <c r="BD212" i="3"/>
  <c r="BA212" i="3"/>
  <c r="AR212" i="3"/>
  <c r="AO212" i="3"/>
  <c r="AH212" i="3"/>
  <c r="I79" i="17"/>
  <c r="H79" i="17"/>
  <c r="G281" i="3"/>
  <c r="BU281" i="3"/>
  <c r="BQ281" i="3"/>
  <c r="BM281" i="3"/>
  <c r="BI281" i="3"/>
  <c r="BD281" i="3"/>
  <c r="BC281" i="3"/>
  <c r="BA281" i="3"/>
  <c r="AZ281" i="3"/>
  <c r="AY281" i="3"/>
  <c r="AR281" i="3"/>
  <c r="AO281" i="3"/>
  <c r="L281" i="3"/>
  <c r="E281" i="3"/>
  <c r="AS281" i="3" s="1"/>
  <c r="BH281" i="3" s="1"/>
  <c r="AH279" i="3"/>
  <c r="AH283" i="3"/>
  <c r="L283" i="3"/>
  <c r="G283" i="3"/>
  <c r="BU283" i="3"/>
  <c r="BQ283" i="3"/>
  <c r="BM283" i="3"/>
  <c r="BI283" i="3"/>
  <c r="BD283" i="3"/>
  <c r="BC283" i="3"/>
  <c r="BA283" i="3"/>
  <c r="AZ283" i="3"/>
  <c r="AY283" i="3"/>
  <c r="AR283" i="3"/>
  <c r="AO283" i="3"/>
  <c r="E283" i="3"/>
  <c r="AS283" i="3" s="1"/>
  <c r="BH283" i="3" s="1"/>
  <c r="BD277" i="3"/>
  <c r="BA277" i="3"/>
  <c r="AZ277" i="3"/>
  <c r="AY277" i="3"/>
  <c r="AR277" i="3"/>
  <c r="AO277" i="3"/>
  <c r="AH277" i="3"/>
  <c r="L277" i="3"/>
  <c r="F277" i="3"/>
  <c r="BD276" i="3"/>
  <c r="BA276" i="3"/>
  <c r="AZ276" i="3"/>
  <c r="AY276" i="3"/>
  <c r="AR276" i="3"/>
  <c r="AO276" i="3"/>
  <c r="AH276" i="3"/>
  <c r="L276" i="3"/>
  <c r="F276" i="3"/>
  <c r="AH275" i="3"/>
  <c r="L275" i="3"/>
  <c r="F275" i="3"/>
  <c r="BD275" i="3"/>
  <c r="BA275" i="3"/>
  <c r="AZ275" i="3"/>
  <c r="AY275" i="3"/>
  <c r="AR275" i="3"/>
  <c r="AO275" i="3"/>
  <c r="BD234" i="3"/>
  <c r="BA234" i="3"/>
  <c r="AR234" i="3"/>
  <c r="AO234" i="3"/>
  <c r="AH234" i="3"/>
  <c r="J234" i="3"/>
  <c r="F234" i="3"/>
  <c r="E234" i="3"/>
  <c r="W234" i="3" s="1"/>
  <c r="BD232" i="3"/>
  <c r="BA232" i="3"/>
  <c r="AR232" i="3"/>
  <c r="AO232" i="3"/>
  <c r="AH232" i="3"/>
  <c r="J232" i="3"/>
  <c r="F232" i="3"/>
  <c r="E232" i="3"/>
  <c r="W232" i="3" s="1"/>
  <c r="BD233" i="3"/>
  <c r="BA233" i="3"/>
  <c r="AR233" i="3"/>
  <c r="AO233" i="3"/>
  <c r="AH233" i="3"/>
  <c r="J233" i="3"/>
  <c r="F233" i="3"/>
  <c r="E233" i="3"/>
  <c r="W233" i="3" s="1"/>
  <c r="BD239" i="3"/>
  <c r="BA239" i="3"/>
  <c r="AR239" i="3"/>
  <c r="AO239" i="3"/>
  <c r="AH239" i="3"/>
  <c r="J239" i="3"/>
  <c r="F239" i="3"/>
  <c r="E239" i="3"/>
  <c r="W239" i="3" s="1"/>
  <c r="BD236" i="3"/>
  <c r="BA236" i="3"/>
  <c r="AR236" i="3"/>
  <c r="AO236" i="3"/>
  <c r="AH236" i="3"/>
  <c r="J236" i="3"/>
  <c r="F236" i="3"/>
  <c r="E236" i="3"/>
  <c r="W236" i="3" s="1"/>
  <c r="BU242" i="3"/>
  <c r="BQ242" i="3"/>
  <c r="BM242" i="3"/>
  <c r="BI242" i="3"/>
  <c r="BD242" i="3"/>
  <c r="BC242" i="3"/>
  <c r="BA242" i="3"/>
  <c r="AZ242" i="3"/>
  <c r="AY242" i="3"/>
  <c r="AR242" i="3"/>
  <c r="AO242" i="3"/>
  <c r="J242" i="3"/>
  <c r="F242" i="3"/>
  <c r="BU241" i="3"/>
  <c r="BQ241" i="3"/>
  <c r="BM241" i="3"/>
  <c r="BI241" i="3"/>
  <c r="BD241" i="3"/>
  <c r="BC241" i="3"/>
  <c r="BA241" i="3"/>
  <c r="AZ241" i="3"/>
  <c r="AY241" i="3"/>
  <c r="AR241" i="3"/>
  <c r="AO241" i="3"/>
  <c r="J241" i="3"/>
  <c r="F241" i="3"/>
  <c r="BU240" i="3"/>
  <c r="BQ240" i="3"/>
  <c r="BM240" i="3"/>
  <c r="BI240" i="3"/>
  <c r="BD240" i="3"/>
  <c r="BC240" i="3"/>
  <c r="BA240" i="3"/>
  <c r="AZ240" i="3"/>
  <c r="AY240" i="3"/>
  <c r="AR240" i="3"/>
  <c r="AO240" i="3"/>
  <c r="J240" i="3"/>
  <c r="F240" i="3"/>
  <c r="E171" i="3"/>
  <c r="E168" i="3"/>
  <c r="BR237" i="3" l="1"/>
  <c r="BV237" i="3" s="1"/>
  <c r="BN237" i="3"/>
  <c r="BK237" i="3"/>
  <c r="BS237" i="3"/>
  <c r="BU237" i="3"/>
  <c r="BI237" i="3"/>
  <c r="BQ237" i="3"/>
  <c r="BC237" i="3"/>
  <c r="BM237" i="3"/>
  <c r="AZ237" i="3"/>
  <c r="BP237" i="3" a="1"/>
  <c r="BP237" i="3" s="1"/>
  <c r="BT237" i="3" s="1"/>
  <c r="AS237" i="3"/>
  <c r="BH237" i="3" s="1"/>
  <c r="BE237" i="3"/>
  <c r="AU237" i="3"/>
  <c r="U237" i="3"/>
  <c r="AY237" i="3" s="1"/>
  <c r="AX237" i="3"/>
  <c r="BU235" i="3"/>
  <c r="BI235" i="3"/>
  <c r="BQ235" i="3"/>
  <c r="BC235" i="3"/>
  <c r="BM235" i="3"/>
  <c r="AZ235" i="3"/>
  <c r="BK235" i="3"/>
  <c r="BS235" i="3"/>
  <c r="BP235" i="3" a="1"/>
  <c r="BP235" i="3" s="1"/>
  <c r="BT235" i="3" s="1"/>
  <c r="AS235" i="3"/>
  <c r="BH235" i="3" s="1"/>
  <c r="BE235" i="3"/>
  <c r="AT235" i="3"/>
  <c r="BJ235" i="3" s="1"/>
  <c r="BF235" i="3"/>
  <c r="U235" i="3"/>
  <c r="AY235" i="3" s="1"/>
  <c r="AX235" i="3"/>
  <c r="BB230" i="3"/>
  <c r="AT263" i="3"/>
  <c r="V263" i="3" s="1"/>
  <c r="AX263" i="3" s="1"/>
  <c r="AX268" i="3"/>
  <c r="BP263" i="3" a="1"/>
  <c r="BP263" i="3" s="1"/>
  <c r="BT263" i="3" s="1"/>
  <c r="AP268" i="3"/>
  <c r="AQ268" i="3" s="1"/>
  <c r="AY337" i="1"/>
  <c r="AP263" i="3"/>
  <c r="AQ263" i="3" s="1"/>
  <c r="BG263" i="3"/>
  <c r="BK263" i="3" s="1"/>
  <c r="AS263" i="3"/>
  <c r="BH263" i="3" s="1"/>
  <c r="AY320" i="1"/>
  <c r="AS260" i="3"/>
  <c r="BH260" i="3" s="1"/>
  <c r="BT260" i="3" s="1"/>
  <c r="BF254" i="3"/>
  <c r="AT260" i="3"/>
  <c r="BJ260" i="3" s="1"/>
  <c r="BR260" i="3" s="1"/>
  <c r="BV260" i="3" s="1"/>
  <c r="BP254" i="3" a="1"/>
  <c r="BP254" i="3" s="1"/>
  <c r="AX260" i="3"/>
  <c r="BF263" i="3"/>
  <c r="AY313" i="1"/>
  <c r="AP329" i="3"/>
  <c r="AY311" i="1"/>
  <c r="AP250" i="3"/>
  <c r="AQ250" i="3" s="1"/>
  <c r="AP254" i="3"/>
  <c r="AQ254" i="3" s="1"/>
  <c r="BG254" i="3"/>
  <c r="BS254" i="3" s="1"/>
  <c r="AS254" i="3"/>
  <c r="BH254" i="3" s="1"/>
  <c r="AT294" i="3"/>
  <c r="V294" i="3" s="1"/>
  <c r="BN294" i="3" s="1"/>
  <c r="AT254" i="3"/>
  <c r="BJ254" i="3" s="1"/>
  <c r="AP261" i="3"/>
  <c r="AQ261" i="3" s="1"/>
  <c r="BU288" i="3"/>
  <c r="AU263" i="3"/>
  <c r="W250" i="3"/>
  <c r="BM250" i="3" s="1"/>
  <c r="BG260" i="3"/>
  <c r="BS260" i="3" s="1"/>
  <c r="BG250" i="3"/>
  <c r="BS250" i="3" s="1"/>
  <c r="BP329" i="3" a="1"/>
  <c r="BP329" i="3" s="1"/>
  <c r="BG230" i="3"/>
  <c r="BK230" i="3" s="1"/>
  <c r="AS250" i="3"/>
  <c r="BH250" i="3" s="1"/>
  <c r="BF268" i="3"/>
  <c r="AX250" i="3"/>
  <c r="AU260" i="3"/>
  <c r="BF260" i="3"/>
  <c r="W260" i="3"/>
  <c r="BU260" i="3" s="1"/>
  <c r="BG268" i="3"/>
  <c r="BK268" i="3" s="1"/>
  <c r="BS261" i="3"/>
  <c r="BK261" i="3"/>
  <c r="BC263" i="3"/>
  <c r="BM263" i="3"/>
  <c r="AZ263" i="3"/>
  <c r="BU263" i="3"/>
  <c r="BI263" i="3"/>
  <c r="BQ263" i="3"/>
  <c r="AX261" i="3"/>
  <c r="W261" i="3"/>
  <c r="BP261" i="3" a="1"/>
  <c r="BP261" i="3" s="1"/>
  <c r="U263" i="3"/>
  <c r="AY263" i="3" s="1"/>
  <c r="AY302" i="1"/>
  <c r="AS261" i="3"/>
  <c r="BH261" i="3" s="1"/>
  <c r="AT261" i="3"/>
  <c r="AU261" i="3" s="1"/>
  <c r="BF261" i="3"/>
  <c r="BB263" i="3"/>
  <c r="BM254" i="3"/>
  <c r="AZ254" i="3"/>
  <c r="BU254" i="3"/>
  <c r="BI254" i="3"/>
  <c r="BQ254" i="3"/>
  <c r="BC254" i="3"/>
  <c r="BP255" i="3" a="1"/>
  <c r="BP255" i="3" s="1"/>
  <c r="AT201" i="3"/>
  <c r="W255" i="3"/>
  <c r="BM255" i="3" s="1"/>
  <c r="BC318" i="3"/>
  <c r="AP252" i="3"/>
  <c r="AQ252" i="3" s="1"/>
  <c r="AP255" i="3"/>
  <c r="AQ255" i="3" s="1"/>
  <c r="BF230" i="3"/>
  <c r="AX254" i="3"/>
  <c r="AQ230" i="3"/>
  <c r="BG244" i="3"/>
  <c r="BS244" i="3" s="1"/>
  <c r="AT255" i="3"/>
  <c r="BJ255" i="3" s="1"/>
  <c r="BR255" i="3" s="1"/>
  <c r="BV255" i="3" s="1"/>
  <c r="AX244" i="3"/>
  <c r="AS268" i="3"/>
  <c r="BH268" i="3" s="1"/>
  <c r="BO268" i="3" s="1"/>
  <c r="AT250" i="3"/>
  <c r="AU250" i="3" s="1"/>
  <c r="BF250" i="3"/>
  <c r="AY307" i="1"/>
  <c r="BF252" i="3"/>
  <c r="AT230" i="3"/>
  <c r="AU268" i="3"/>
  <c r="BP230" i="3" a="1"/>
  <c r="BP230" i="3" s="1"/>
  <c r="AS230" i="3"/>
  <c r="BH230" i="3" s="1"/>
  <c r="BE230" i="3"/>
  <c r="BS253" i="3"/>
  <c r="BK253" i="3"/>
  <c r="BR268" i="3"/>
  <c r="BV268" i="3" s="1"/>
  <c r="BB244" i="3"/>
  <c r="BB268" i="3"/>
  <c r="BN268" i="3" s="1"/>
  <c r="AP253" i="3"/>
  <c r="AQ253" i="3" s="1"/>
  <c r="BF255" i="3"/>
  <c r="AY314" i="1"/>
  <c r="AS244" i="3"/>
  <c r="BH244" i="3" s="1"/>
  <c r="BG255" i="3"/>
  <c r="BK255" i="3" s="1"/>
  <c r="AS255" i="3"/>
  <c r="BH255" i="3" s="1"/>
  <c r="BG317" i="3"/>
  <c r="BK317" i="3" s="1"/>
  <c r="AY318" i="1"/>
  <c r="BG252" i="3"/>
  <c r="BS252" i="3" s="1"/>
  <c r="AT252" i="3"/>
  <c r="BJ252" i="3" s="1"/>
  <c r="AX252" i="3"/>
  <c r="BC255" i="3"/>
  <c r="AZ252" i="3"/>
  <c r="BU252" i="3"/>
  <c r="BI252" i="3"/>
  <c r="BQ252" i="3"/>
  <c r="BC252" i="3"/>
  <c r="BM252" i="3"/>
  <c r="AT253" i="3"/>
  <c r="BF253" i="3"/>
  <c r="BP252" i="3" a="1"/>
  <c r="BP252" i="3" s="1"/>
  <c r="BT252" i="3" s="1"/>
  <c r="AX253" i="3"/>
  <c r="AS252" i="3"/>
  <c r="BH252" i="3" s="1"/>
  <c r="BI255" i="3"/>
  <c r="BP253" i="3" a="1"/>
  <c r="BP253" i="3" s="1"/>
  <c r="BT253" i="3" s="1"/>
  <c r="U252" i="3"/>
  <c r="AY252" i="3" s="1"/>
  <c r="AS253" i="3"/>
  <c r="BH253" i="3" s="1"/>
  <c r="AY259" i="1"/>
  <c r="AY342" i="1"/>
  <c r="BG329" i="3"/>
  <c r="BS329" i="3" s="1"/>
  <c r="BQ294" i="3"/>
  <c r="AY325" i="1"/>
  <c r="AP285" i="3"/>
  <c r="AQ285" i="3" s="1"/>
  <c r="W200" i="3"/>
  <c r="BG285" i="3"/>
  <c r="BK285" i="3" s="1"/>
  <c r="AQ329" i="3"/>
  <c r="AY308" i="1"/>
  <c r="AY304" i="1"/>
  <c r="BG303" i="3"/>
  <c r="BS303" i="3" s="1"/>
  <c r="AT295" i="3"/>
  <c r="BJ295" i="3" s="1"/>
  <c r="BV295" i="3" s="1"/>
  <c r="AX303" i="3"/>
  <c r="AT314" i="3"/>
  <c r="V314" i="3" s="1"/>
  <c r="AY321" i="1"/>
  <c r="BG247" i="3"/>
  <c r="BK247" i="3" s="1"/>
  <c r="BE244" i="3"/>
  <c r="AS291" i="3"/>
  <c r="BH291" i="3" s="1"/>
  <c r="BT291" i="3" s="1"/>
  <c r="AP244" i="3"/>
  <c r="AQ244" i="3" s="1"/>
  <c r="BF244" i="3"/>
  <c r="BF288" i="3"/>
  <c r="AT288" i="3"/>
  <c r="V288" i="3" s="1"/>
  <c r="BC294" i="3"/>
  <c r="AT244" i="3"/>
  <c r="BJ244" i="3" s="1"/>
  <c r="BR244" i="3" s="1"/>
  <c r="BV244" i="3" s="1"/>
  <c r="BP294" i="3" a="1"/>
  <c r="BP294" i="3" s="1"/>
  <c r="AT199" i="3"/>
  <c r="AU199" i="3" s="1"/>
  <c r="AQ227" i="3"/>
  <c r="AY328" i="1"/>
  <c r="BG267" i="3"/>
  <c r="BS267" i="3" s="1"/>
  <c r="BG294" i="3"/>
  <c r="BK294" i="3" s="1"/>
  <c r="AS294" i="3"/>
  <c r="BT244" i="3"/>
  <c r="BP318" i="3" a="1"/>
  <c r="BP318" i="3" s="1"/>
  <c r="AT291" i="3"/>
  <c r="BB291" i="3" s="1"/>
  <c r="BF291" i="3"/>
  <c r="BQ291" i="3"/>
  <c r="BG291" i="3"/>
  <c r="BF318" i="3"/>
  <c r="BQ318" i="3"/>
  <c r="AY336" i="1"/>
  <c r="AS329" i="3"/>
  <c r="BH329" i="3" s="1"/>
  <c r="W197" i="3"/>
  <c r="BG318" i="3"/>
  <c r="BS318" i="3" s="1"/>
  <c r="BP288" i="3" a="1"/>
  <c r="BP288" i="3" s="1"/>
  <c r="BT288" i="3" s="1"/>
  <c r="AT329" i="3"/>
  <c r="BF329" i="3"/>
  <c r="BP285" i="3" a="1"/>
  <c r="BP285" i="3" s="1"/>
  <c r="AP267" i="3"/>
  <c r="AQ267" i="3" s="1"/>
  <c r="AY332" i="1"/>
  <c r="AS318" i="3"/>
  <c r="BH318" i="3" s="1"/>
  <c r="AP303" i="3"/>
  <c r="AQ303" i="3" s="1"/>
  <c r="BP267" i="3" a="1"/>
  <c r="BP267" i="3" s="1"/>
  <c r="BT267" i="3" s="1"/>
  <c r="AS285" i="3"/>
  <c r="BH285" i="3" s="1"/>
  <c r="AT318" i="3"/>
  <c r="V318" i="3" s="1"/>
  <c r="BN318" i="3" s="1"/>
  <c r="BG288" i="3"/>
  <c r="BK288" i="3" s="1"/>
  <c r="AS267" i="3"/>
  <c r="BH267" i="3" s="1"/>
  <c r="AT285" i="3"/>
  <c r="BF285" i="3"/>
  <c r="BP303" i="3" a="1"/>
  <c r="BP303" i="3" s="1"/>
  <c r="AT267" i="3"/>
  <c r="BB267" i="3" s="1"/>
  <c r="BF267" i="3"/>
  <c r="BQ267" i="3"/>
  <c r="AS303" i="3"/>
  <c r="BH303" i="3" s="1"/>
  <c r="AP291" i="3"/>
  <c r="AQ291" i="3" s="1"/>
  <c r="AY322" i="1"/>
  <c r="AY296" i="1"/>
  <c r="AT247" i="3"/>
  <c r="BJ247" i="3" s="1"/>
  <c r="BV247" i="3" s="1"/>
  <c r="AT303" i="3"/>
  <c r="AP294" i="3"/>
  <c r="AQ294" i="3" s="1"/>
  <c r="AY341" i="1"/>
  <c r="AT276" i="3"/>
  <c r="AY275" i="1"/>
  <c r="AQ315" i="3"/>
  <c r="AT315" i="3"/>
  <c r="AQ220" i="3"/>
  <c r="AT246" i="3"/>
  <c r="AP317" i="3"/>
  <c r="AQ317" i="3" s="1"/>
  <c r="AT198" i="3"/>
  <c r="BC317" i="3"/>
  <c r="AT290" i="3"/>
  <c r="AT249" i="3"/>
  <c r="BB249" i="3" s="1"/>
  <c r="AT209" i="3"/>
  <c r="AU209" i="3" s="1"/>
  <c r="AT296" i="3"/>
  <c r="BP317" i="3" a="1"/>
  <c r="BP317" i="3" s="1"/>
  <c r="AT248" i="3"/>
  <c r="AT277" i="3"/>
  <c r="AS317" i="3"/>
  <c r="BH317" i="3" s="1"/>
  <c r="BB225" i="3"/>
  <c r="AQ297" i="3"/>
  <c r="AT317" i="3"/>
  <c r="BB317" i="3" s="1"/>
  <c r="BF317" i="3"/>
  <c r="BQ317" i="3"/>
  <c r="BB241" i="3"/>
  <c r="AY316" i="1"/>
  <c r="AP318" i="3"/>
  <c r="AQ318" i="3" s="1"/>
  <c r="AT266" i="3"/>
  <c r="BJ266" i="3" s="1"/>
  <c r="BR266" i="3" s="1"/>
  <c r="BV266" i="3" s="1"/>
  <c r="AT292" i="3"/>
  <c r="AT207" i="3"/>
  <c r="AY229" i="1"/>
  <c r="AY306" i="1"/>
  <c r="AY253" i="1"/>
  <c r="BF247" i="3"/>
  <c r="BP247" i="3" a="1"/>
  <c r="BP247" i="3" s="1"/>
  <c r="BG321" i="3"/>
  <c r="BK321" i="3" s="1"/>
  <c r="AP247" i="3"/>
  <c r="AQ247" i="3" s="1"/>
  <c r="AP321" i="3"/>
  <c r="AQ321" i="3" s="1"/>
  <c r="AS321" i="3"/>
  <c r="BH321" i="3" s="1"/>
  <c r="BF321" i="3"/>
  <c r="BU247" i="3"/>
  <c r="BI247" i="3"/>
  <c r="BQ247" i="3"/>
  <c r="BC247" i="3"/>
  <c r="AZ247" i="3"/>
  <c r="BM247" i="3"/>
  <c r="AS247" i="3"/>
  <c r="BH247" i="3" s="1"/>
  <c r="BE247" i="3"/>
  <c r="AS243" i="3"/>
  <c r="BH243" i="3" s="1"/>
  <c r="BT243" i="3" s="1"/>
  <c r="AX243" i="3"/>
  <c r="AY305" i="1"/>
  <c r="AY298" i="1"/>
  <c r="AS314" i="3"/>
  <c r="BH314" i="3" s="1"/>
  <c r="BI314" i="3" s="1"/>
  <c r="BP315" i="3" a="1"/>
  <c r="BP315" i="3" s="1"/>
  <c r="BB243" i="3"/>
  <c r="BG293" i="3"/>
  <c r="BI293" i="3" s="1"/>
  <c r="BF314" i="3"/>
  <c r="BE243" i="3"/>
  <c r="BP314" i="3" a="1"/>
  <c r="BP314" i="3" s="1"/>
  <c r="BF243" i="3"/>
  <c r="BQ314" i="3"/>
  <c r="AP243" i="3"/>
  <c r="AQ243" i="3" s="1"/>
  <c r="BG315" i="3"/>
  <c r="BK315" i="3" s="1"/>
  <c r="BG243" i="3"/>
  <c r="BK243" i="3" s="1"/>
  <c r="AP293" i="3"/>
  <c r="AQ293" i="3" s="1"/>
  <c r="BC293" i="3"/>
  <c r="BP293" i="3" a="1"/>
  <c r="BP293" i="3" s="1"/>
  <c r="AS293" i="3"/>
  <c r="BH293" i="3" s="1"/>
  <c r="BB293" i="3"/>
  <c r="BF293" i="3"/>
  <c r="BQ293" i="3"/>
  <c r="BG314" i="3"/>
  <c r="BK314" i="3" s="1"/>
  <c r="AQ314" i="3"/>
  <c r="AS315" i="3"/>
  <c r="BH315" i="3" s="1"/>
  <c r="BC315" i="3"/>
  <c r="BF315" i="3"/>
  <c r="BQ315" i="3"/>
  <c r="BG320" i="3"/>
  <c r="BK320" i="3" s="1"/>
  <c r="AY297" i="1"/>
  <c r="W258" i="3"/>
  <c r="BU258" i="3" s="1"/>
  <c r="AY294" i="1"/>
  <c r="AP258" i="3"/>
  <c r="AQ258" i="3" s="1"/>
  <c r="AX214" i="3"/>
  <c r="BG258" i="3"/>
  <c r="BS258" i="3" s="1"/>
  <c r="BG312" i="3"/>
  <c r="BS312" i="3" s="1"/>
  <c r="AP320" i="3"/>
  <c r="AQ320" i="3" s="1"/>
  <c r="BP320" i="3" a="1"/>
  <c r="BP320" i="3" s="1"/>
  <c r="BT320" i="3" s="1"/>
  <c r="AS320" i="3"/>
  <c r="BH320" i="3" s="1"/>
  <c r="BF320" i="3"/>
  <c r="AP312" i="3"/>
  <c r="AQ312" i="3" s="1"/>
  <c r="BP312" i="3" a="1"/>
  <c r="BP312" i="3" s="1"/>
  <c r="BT312" i="3" s="1"/>
  <c r="AS312" i="3"/>
  <c r="BH312" i="3" s="1"/>
  <c r="BF312" i="3"/>
  <c r="AX258" i="3"/>
  <c r="AY285" i="1"/>
  <c r="AY284" i="1"/>
  <c r="AS258" i="3"/>
  <c r="BH258" i="3" s="1"/>
  <c r="BF258" i="3"/>
  <c r="BG211" i="3"/>
  <c r="BK211" i="3" s="1"/>
  <c r="BG214" i="3"/>
  <c r="BK214" i="3" s="1"/>
  <c r="AP211" i="3"/>
  <c r="AQ211" i="3" s="1"/>
  <c r="BB214" i="3"/>
  <c r="BE214" i="3"/>
  <c r="AY290" i="1"/>
  <c r="AY288" i="1"/>
  <c r="BB211" i="3"/>
  <c r="AX211" i="3"/>
  <c r="AP214" i="3"/>
  <c r="AQ214" i="3" s="1"/>
  <c r="BG307" i="3"/>
  <c r="BK307" i="3" s="1"/>
  <c r="AY276" i="1"/>
  <c r="BP211" i="3" a="1"/>
  <c r="BP211" i="3" s="1"/>
  <c r="BT211" i="3" s="1"/>
  <c r="AS214" i="3"/>
  <c r="BH214" i="3" s="1"/>
  <c r="BF214" i="3"/>
  <c r="BF211" i="3"/>
  <c r="BO211" i="3" s="1"/>
  <c r="AY283" i="1"/>
  <c r="AY291" i="1"/>
  <c r="AY286" i="1"/>
  <c r="AY319" i="1"/>
  <c r="AY282" i="1"/>
  <c r="AX215" i="3"/>
  <c r="AY281" i="1"/>
  <c r="BG284" i="3"/>
  <c r="BS284" i="3" s="1"/>
  <c r="AP245" i="3"/>
  <c r="AQ245" i="3" s="1"/>
  <c r="BG245" i="3"/>
  <c r="BK245" i="3" s="1"/>
  <c r="AY292" i="1"/>
  <c r="AY323" i="1"/>
  <c r="BG282" i="3"/>
  <c r="BK282" i="3" s="1"/>
  <c r="AY270" i="1"/>
  <c r="BB245" i="3"/>
  <c r="BG265" i="3"/>
  <c r="BS265" i="3" s="1"/>
  <c r="AY317" i="1"/>
  <c r="BQ265" i="3"/>
  <c r="AZ265" i="3"/>
  <c r="AP265" i="3"/>
  <c r="AQ265" i="3" s="1"/>
  <c r="BP265" i="3" a="1"/>
  <c r="BP265" i="3" s="1"/>
  <c r="AS265" i="3"/>
  <c r="BH265" i="3" s="1"/>
  <c r="BI265" i="3" s="1"/>
  <c r="BF265" i="3"/>
  <c r="AX265" i="3"/>
  <c r="BU245" i="3"/>
  <c r="BI245" i="3"/>
  <c r="BQ245" i="3"/>
  <c r="BC245" i="3"/>
  <c r="AZ245" i="3"/>
  <c r="BM245" i="3"/>
  <c r="BP245" i="3" a="1"/>
  <c r="BP245" i="3" s="1"/>
  <c r="BT245" i="3" s="1"/>
  <c r="AS245" i="3"/>
  <c r="BH245" i="3" s="1"/>
  <c r="BF245" i="3"/>
  <c r="U245" i="3"/>
  <c r="AY245" i="3" s="1"/>
  <c r="AX245" i="3"/>
  <c r="AY269" i="1"/>
  <c r="BB217" i="3"/>
  <c r="BG280" i="3"/>
  <c r="BS280" i="3" s="1"/>
  <c r="AY287" i="1"/>
  <c r="BG198" i="3"/>
  <c r="BS198" i="3" s="1"/>
  <c r="AP296" i="3"/>
  <c r="AQ296" i="3" s="1"/>
  <c r="AS215" i="3"/>
  <c r="BH215" i="3" s="1"/>
  <c r="AS304" i="3"/>
  <c r="BH304" i="3" s="1"/>
  <c r="AP199" i="3"/>
  <c r="AQ199" i="3" s="1"/>
  <c r="BB220" i="3"/>
  <c r="BG296" i="3"/>
  <c r="BS296" i="3" s="1"/>
  <c r="W213" i="3"/>
  <c r="BU213" i="3" s="1"/>
  <c r="BG199" i="3"/>
  <c r="BS199" i="3" s="1"/>
  <c r="BE220" i="3"/>
  <c r="AS296" i="3"/>
  <c r="BH296" i="3" s="1"/>
  <c r="BO296" i="3" s="1"/>
  <c r="W301" i="3"/>
  <c r="AZ301" i="3" s="1"/>
  <c r="BG236" i="3"/>
  <c r="BK236" i="3" s="1"/>
  <c r="BF217" i="3"/>
  <c r="AY272" i="1"/>
  <c r="AS306" i="3"/>
  <c r="BH306" i="3" s="1"/>
  <c r="BB215" i="3"/>
  <c r="AP217" i="3"/>
  <c r="AQ217" i="3" s="1"/>
  <c r="BG217" i="3"/>
  <c r="BK217" i="3" s="1"/>
  <c r="AY268" i="1"/>
  <c r="BG297" i="3"/>
  <c r="BS297" i="3" s="1"/>
  <c r="AY265" i="1"/>
  <c r="AS220" i="3"/>
  <c r="BH220" i="3" s="1"/>
  <c r="BI220" i="3" s="1"/>
  <c r="AX220" i="3"/>
  <c r="BP217" i="3" a="1"/>
  <c r="BP217" i="3" s="1"/>
  <c r="BT217" i="3" s="1"/>
  <c r="AS217" i="3"/>
  <c r="BH217" i="3" s="1"/>
  <c r="BE217" i="3"/>
  <c r="AQ238" i="3"/>
  <c r="BP327" i="3" a="1"/>
  <c r="BP327" i="3" s="1"/>
  <c r="AX301" i="3"/>
  <c r="AP306" i="3"/>
  <c r="AQ306" i="3" s="1"/>
  <c r="AQ301" i="3"/>
  <c r="AS305" i="3"/>
  <c r="BH305" i="3" s="1"/>
  <c r="AY277" i="1"/>
  <c r="W229" i="3"/>
  <c r="BI229" i="3" s="1"/>
  <c r="BG306" i="3"/>
  <c r="BS306" i="3" s="1"/>
  <c r="BF220" i="3"/>
  <c r="BP297" i="3" a="1"/>
  <c r="BP297" i="3" s="1"/>
  <c r="BP304" i="3" a="1"/>
  <c r="BP304" i="3" s="1"/>
  <c r="BM199" i="3"/>
  <c r="BP220" i="3" a="1"/>
  <c r="BP220" i="3" s="1"/>
  <c r="AP327" i="3"/>
  <c r="AQ327" i="3" s="1"/>
  <c r="AP251" i="3"/>
  <c r="AQ251" i="3" s="1"/>
  <c r="BF298" i="3"/>
  <c r="BO298" i="3" s="1"/>
  <c r="AX297" i="3"/>
  <c r="BQ220" i="3"/>
  <c r="BG327" i="3"/>
  <c r="BS327" i="3" s="1"/>
  <c r="BG251" i="3"/>
  <c r="BK251" i="3" s="1"/>
  <c r="BG216" i="3"/>
  <c r="BK216" i="3" s="1"/>
  <c r="BG229" i="3"/>
  <c r="BK229" i="3" s="1"/>
  <c r="AP304" i="3"/>
  <c r="AQ304" i="3" s="1"/>
  <c r="BC296" i="3"/>
  <c r="AS251" i="3"/>
  <c r="BH251" i="3" s="1"/>
  <c r="BG210" i="3"/>
  <c r="BK210" i="3" s="1"/>
  <c r="BG304" i="3"/>
  <c r="BS304" i="3" s="1"/>
  <c r="BG220" i="3"/>
  <c r="BK220" i="3" s="1"/>
  <c r="BP296" i="3" a="1"/>
  <c r="BP296" i="3" s="1"/>
  <c r="BU216" i="3"/>
  <c r="BI216" i="3"/>
  <c r="BQ216" i="3"/>
  <c r="AZ216" i="3"/>
  <c r="BC216" i="3"/>
  <c r="BM216" i="3"/>
  <c r="AP216" i="3"/>
  <c r="AQ216" i="3" s="1"/>
  <c r="BB216" i="3"/>
  <c r="BP216" i="3" a="1"/>
  <c r="BP216" i="3" s="1"/>
  <c r="BT216" i="3" s="1"/>
  <c r="AS216" i="3"/>
  <c r="BH216" i="3" s="1"/>
  <c r="BE216" i="3"/>
  <c r="BF216" i="3"/>
  <c r="U216" i="3"/>
  <c r="AY216" i="3" s="1"/>
  <c r="AX216" i="3"/>
  <c r="BU251" i="3"/>
  <c r="BI251" i="3"/>
  <c r="BQ251" i="3"/>
  <c r="BC251" i="3"/>
  <c r="BM251" i="3"/>
  <c r="AZ251" i="3"/>
  <c r="BP251" i="3" a="1"/>
  <c r="BP251" i="3" s="1"/>
  <c r="BT251" i="3" s="1"/>
  <c r="BF251" i="3"/>
  <c r="U251" i="3"/>
  <c r="AY251" i="3" s="1"/>
  <c r="BG301" i="3"/>
  <c r="BK301" i="3" s="1"/>
  <c r="BP301" i="3" a="1"/>
  <c r="BP301" i="3" s="1"/>
  <c r="AS301" i="3"/>
  <c r="BH301" i="3" s="1"/>
  <c r="BF301" i="3"/>
  <c r="BQ296" i="3"/>
  <c r="BF327" i="3"/>
  <c r="BU327" i="3"/>
  <c r="BI327" i="3"/>
  <c r="BQ327" i="3"/>
  <c r="BC327" i="3"/>
  <c r="BM327" i="3"/>
  <c r="AZ327" i="3"/>
  <c r="AS327" i="3"/>
  <c r="BH327" i="3" s="1"/>
  <c r="AX327" i="3"/>
  <c r="AY280" i="1"/>
  <c r="BP280" i="3" a="1"/>
  <c r="BP280" i="3" s="1"/>
  <c r="AS280" i="3"/>
  <c r="BH280" i="3" s="1"/>
  <c r="BF280" i="3"/>
  <c r="BE215" i="3"/>
  <c r="BG215" i="3"/>
  <c r="BK215" i="3" s="1"/>
  <c r="BP215" i="3" a="1"/>
  <c r="BP215" i="3" s="1"/>
  <c r="BF215" i="3"/>
  <c r="BP284" i="3" a="1"/>
  <c r="BP284" i="3" s="1"/>
  <c r="BT284" i="3" s="1"/>
  <c r="AS284" i="3"/>
  <c r="BH284" i="3" s="1"/>
  <c r="BF284" i="3"/>
  <c r="BP282" i="3" a="1"/>
  <c r="BP282" i="3" s="1"/>
  <c r="AS282" i="3"/>
  <c r="BH282" i="3" s="1"/>
  <c r="BF282" i="3"/>
  <c r="AZ199" i="3"/>
  <c r="BC199" i="3"/>
  <c r="BP199" i="3" a="1"/>
  <c r="BP199" i="3" s="1"/>
  <c r="AS199" i="3"/>
  <c r="BH199" i="3" s="1"/>
  <c r="BF199" i="3"/>
  <c r="BQ199" i="3"/>
  <c r="BI199" i="3"/>
  <c r="AZ198" i="3"/>
  <c r="BM198" i="3"/>
  <c r="AP198" i="3"/>
  <c r="AQ198" i="3" s="1"/>
  <c r="BC198" i="3"/>
  <c r="BP198" i="3" a="1"/>
  <c r="BP198" i="3" s="1"/>
  <c r="AS198" i="3"/>
  <c r="BH198" i="3" s="1"/>
  <c r="BF198" i="3"/>
  <c r="BQ198" i="3"/>
  <c r="BI198" i="3"/>
  <c r="BF304" i="3"/>
  <c r="BP306" i="3" a="1"/>
  <c r="BP306" i="3" s="1"/>
  <c r="BF306" i="3"/>
  <c r="AP229" i="3"/>
  <c r="AQ229" i="3" s="1"/>
  <c r="AS229" i="3"/>
  <c r="BH229" i="3" s="1"/>
  <c r="BF229" i="3"/>
  <c r="U229" i="3"/>
  <c r="AY229" i="3" s="1"/>
  <c r="AP307" i="3"/>
  <c r="AQ307" i="3" s="1"/>
  <c r="BP307" i="3" a="1"/>
  <c r="BP307" i="3" s="1"/>
  <c r="BT307" i="3" s="1"/>
  <c r="AS307" i="3"/>
  <c r="BH307" i="3" s="1"/>
  <c r="BF307" i="3"/>
  <c r="AS297" i="3"/>
  <c r="BH297" i="3" s="1"/>
  <c r="BF297" i="3"/>
  <c r="BG222" i="3"/>
  <c r="BK222" i="3" s="1"/>
  <c r="U225" i="3"/>
  <c r="AY225" i="3" s="1"/>
  <c r="AP277" i="3"/>
  <c r="AQ277" i="3" s="1"/>
  <c r="BF328" i="3"/>
  <c r="AP298" i="3"/>
  <c r="AQ298" i="3" s="1"/>
  <c r="AY273" i="1"/>
  <c r="AY240" i="1"/>
  <c r="BB227" i="3"/>
  <c r="AY271" i="1"/>
  <c r="AP276" i="3"/>
  <c r="AQ276" i="3" s="1"/>
  <c r="BP300" i="3" a="1"/>
  <c r="BP300" i="3" s="1"/>
  <c r="BT300" i="3" s="1"/>
  <c r="AP300" i="3"/>
  <c r="AQ300" i="3" s="1"/>
  <c r="BE225" i="3"/>
  <c r="AY333" i="1"/>
  <c r="AX300" i="3"/>
  <c r="AY261" i="1"/>
  <c r="AY295" i="1"/>
  <c r="BF225" i="3"/>
  <c r="BG275" i="3"/>
  <c r="BI275" i="3" s="1"/>
  <c r="AY255" i="1"/>
  <c r="AS207" i="3"/>
  <c r="BH207" i="3" s="1"/>
  <c r="AY289" i="1"/>
  <c r="BG238" i="3"/>
  <c r="BS238" i="3" s="1"/>
  <c r="AP305" i="3"/>
  <c r="AQ305" i="3" s="1"/>
  <c r="BG277" i="3"/>
  <c r="BK277" i="3" s="1"/>
  <c r="BG305" i="3"/>
  <c r="BK305" i="3" s="1"/>
  <c r="AY247" i="1"/>
  <c r="BP328" i="3" a="1"/>
  <c r="BP328" i="3" s="1"/>
  <c r="BT328" i="3" s="1"/>
  <c r="AP213" i="3"/>
  <c r="AQ213" i="3" s="1"/>
  <c r="BB234" i="3"/>
  <c r="AY239" i="1"/>
  <c r="AS209" i="3"/>
  <c r="BH209" i="3" s="1"/>
  <c r="AX316" i="3"/>
  <c r="BG213" i="3"/>
  <c r="BS213" i="3" s="1"/>
  <c r="BG246" i="3"/>
  <c r="BK246" i="3" s="1"/>
  <c r="AS213" i="3"/>
  <c r="BH213" i="3" s="1"/>
  <c r="W207" i="3"/>
  <c r="BC207" i="3" s="1"/>
  <c r="AP316" i="3"/>
  <c r="AQ316" i="3" s="1"/>
  <c r="AP299" i="3"/>
  <c r="AQ299" i="3" s="1"/>
  <c r="AY235" i="1"/>
  <c r="BG316" i="3"/>
  <c r="BS316" i="3" s="1"/>
  <c r="AP266" i="3"/>
  <c r="AQ266" i="3" s="1"/>
  <c r="AX298" i="3"/>
  <c r="BG299" i="3"/>
  <c r="BK299" i="3" s="1"/>
  <c r="AY345" i="1"/>
  <c r="BP298" i="3" a="1"/>
  <c r="BP298" i="3" s="1"/>
  <c r="BT298" i="3" s="1"/>
  <c r="AX299" i="3"/>
  <c r="BB213" i="3"/>
  <c r="BP208" i="3" a="1"/>
  <c r="BP208" i="3" s="1"/>
  <c r="BT208" i="3" s="1"/>
  <c r="AY274" i="1"/>
  <c r="AY249" i="1"/>
  <c r="BG276" i="3"/>
  <c r="BS276" i="3" s="1"/>
  <c r="W238" i="3"/>
  <c r="BM238" i="3" s="1"/>
  <c r="W227" i="3"/>
  <c r="BI227" i="3" s="1"/>
  <c r="AY260" i="1"/>
  <c r="AY248" i="1"/>
  <c r="AY236" i="1"/>
  <c r="AS316" i="3"/>
  <c r="BH316" i="3" s="1"/>
  <c r="BB238" i="3"/>
  <c r="W225" i="3"/>
  <c r="BU225" i="3" s="1"/>
  <c r="U208" i="3"/>
  <c r="AY208" i="3" s="1"/>
  <c r="BQ223" i="3"/>
  <c r="BG292" i="3"/>
  <c r="BS292" i="3" s="1"/>
  <c r="AP225" i="3"/>
  <c r="AQ225" i="3" s="1"/>
  <c r="AY258" i="1"/>
  <c r="AY246" i="1"/>
  <c r="AY234" i="1"/>
  <c r="W208" i="3"/>
  <c r="BU208" i="3" s="1"/>
  <c r="BG266" i="3"/>
  <c r="BK266" i="3" s="1"/>
  <c r="BG225" i="3"/>
  <c r="BS225" i="3" s="1"/>
  <c r="AY340" i="1"/>
  <c r="AY257" i="1"/>
  <c r="AY245" i="1"/>
  <c r="AY233" i="1"/>
  <c r="BP323" i="3" a="1"/>
  <c r="BP323" i="3" s="1"/>
  <c r="BP225" i="3" a="1"/>
  <c r="BP225" i="3" s="1"/>
  <c r="BT225" i="3" s="1"/>
  <c r="AY244" i="1"/>
  <c r="AP323" i="3"/>
  <c r="AQ323" i="3" s="1"/>
  <c r="AX225" i="3"/>
  <c r="AY303" i="1"/>
  <c r="AY231" i="1"/>
  <c r="BG323" i="3"/>
  <c r="BK323" i="3" s="1"/>
  <c r="AP207" i="3"/>
  <c r="AQ207" i="3" s="1"/>
  <c r="AP208" i="3"/>
  <c r="AQ208" i="3" s="1"/>
  <c r="BG298" i="3"/>
  <c r="BS298" i="3" s="1"/>
  <c r="BF300" i="3"/>
  <c r="BO300" i="3" s="1"/>
  <c r="BC276" i="3"/>
  <c r="AS225" i="3"/>
  <c r="BH225" i="3" s="1"/>
  <c r="AY256" i="1"/>
  <c r="AY232" i="1"/>
  <c r="BG227" i="3"/>
  <c r="BS227" i="3" s="1"/>
  <c r="BG249" i="3"/>
  <c r="BS249" i="3" s="1"/>
  <c r="AY267" i="1"/>
  <c r="AY242" i="1"/>
  <c r="AP324" i="3"/>
  <c r="AQ324" i="3" s="1"/>
  <c r="BG207" i="3"/>
  <c r="BK207" i="3" s="1"/>
  <c r="BG208" i="3"/>
  <c r="BK208" i="3" s="1"/>
  <c r="AP209" i="3"/>
  <c r="AQ209" i="3" s="1"/>
  <c r="BF316" i="3"/>
  <c r="BG286" i="3"/>
  <c r="BK286" i="3" s="1"/>
  <c r="AY241" i="1"/>
  <c r="BG324" i="3"/>
  <c r="BS324" i="3" s="1"/>
  <c r="AS208" i="3"/>
  <c r="BH208" i="3" s="1"/>
  <c r="BO208" i="3" s="1"/>
  <c r="BG209" i="3"/>
  <c r="BS209" i="3" s="1"/>
  <c r="BG300" i="3"/>
  <c r="BK300" i="3" s="1"/>
  <c r="BE213" i="3"/>
  <c r="BP213" i="3" a="1"/>
  <c r="BP213" i="3" s="1"/>
  <c r="BF213" i="3"/>
  <c r="AX213" i="3"/>
  <c r="AO328" i="3"/>
  <c r="BA328" i="3"/>
  <c r="AP328" i="3"/>
  <c r="AR328" i="3"/>
  <c r="BG328" i="3" s="1"/>
  <c r="BD328" i="3"/>
  <c r="AS328" i="3"/>
  <c r="BH328" i="3" s="1"/>
  <c r="BP299" i="3" a="1"/>
  <c r="BP299" i="3" s="1"/>
  <c r="BT299" i="3" s="1"/>
  <c r="AS299" i="3"/>
  <c r="BH299" i="3" s="1"/>
  <c r="AZ266" i="3"/>
  <c r="AS266" i="3"/>
  <c r="BH266" i="3" s="1"/>
  <c r="BI266" i="3" s="1"/>
  <c r="BF266" i="3"/>
  <c r="BQ266" i="3"/>
  <c r="AZ246" i="3"/>
  <c r="BM246" i="3"/>
  <c r="AP246" i="3"/>
  <c r="AQ246" i="3" s="1"/>
  <c r="BC246" i="3"/>
  <c r="BP246" i="3" a="1"/>
  <c r="BP246" i="3" s="1"/>
  <c r="AS246" i="3"/>
  <c r="BH246" i="3" s="1"/>
  <c r="BE246" i="3"/>
  <c r="BF246" i="3"/>
  <c r="BQ246" i="3"/>
  <c r="BI246" i="3"/>
  <c r="BP286" i="3" a="1"/>
  <c r="BP286" i="3" s="1"/>
  <c r="BT286" i="3" s="1"/>
  <c r="AS286" i="3"/>
  <c r="BH286" i="3" s="1"/>
  <c r="BF286" i="3"/>
  <c r="BU210" i="3"/>
  <c r="BI210" i="3"/>
  <c r="BQ210" i="3"/>
  <c r="BC210" i="3"/>
  <c r="BM210" i="3"/>
  <c r="AZ210" i="3"/>
  <c r="AP210" i="3"/>
  <c r="AQ210" i="3" s="1"/>
  <c r="BP210" i="3" a="1"/>
  <c r="BP210" i="3" s="1"/>
  <c r="BT210" i="3" s="1"/>
  <c r="AS210" i="3"/>
  <c r="BH210" i="3" s="1"/>
  <c r="BF210" i="3"/>
  <c r="U210" i="3"/>
  <c r="AY210" i="3" s="1"/>
  <c r="AY262" i="1"/>
  <c r="BU209" i="3"/>
  <c r="BI209" i="3"/>
  <c r="BQ209" i="3"/>
  <c r="AZ209" i="3"/>
  <c r="BC209" i="3"/>
  <c r="BM209" i="3"/>
  <c r="BP209" i="3" a="1"/>
  <c r="BP209" i="3" s="1"/>
  <c r="BT209" i="3" s="1"/>
  <c r="BF209" i="3"/>
  <c r="U209" i="3"/>
  <c r="AY209" i="3" s="1"/>
  <c r="BF207" i="3"/>
  <c r="U207" i="3"/>
  <c r="AY207" i="3" s="1"/>
  <c r="BG295" i="3"/>
  <c r="BK295" i="3" s="1"/>
  <c r="BC295" i="3"/>
  <c r="BP295" i="3" a="1"/>
  <c r="BP295" i="3" s="1"/>
  <c r="BF295" i="3"/>
  <c r="AO295" i="3"/>
  <c r="BQ295" i="3" s="1"/>
  <c r="BA295" i="3"/>
  <c r="AP295" i="3"/>
  <c r="AS295" i="3"/>
  <c r="BH295" i="3" s="1"/>
  <c r="BU324" i="3"/>
  <c r="BI324" i="3"/>
  <c r="BQ324" i="3"/>
  <c r="BC324" i="3"/>
  <c r="BM324" i="3"/>
  <c r="AZ324" i="3"/>
  <c r="BP324" i="3" a="1"/>
  <c r="BP324" i="3" s="1"/>
  <c r="AS324" i="3"/>
  <c r="BH324" i="3" s="1"/>
  <c r="BF324" i="3"/>
  <c r="AX324" i="3"/>
  <c r="BU323" i="3"/>
  <c r="BI323" i="3"/>
  <c r="BQ323" i="3"/>
  <c r="BC323" i="3"/>
  <c r="BM323" i="3"/>
  <c r="AZ323" i="3"/>
  <c r="AS323" i="3"/>
  <c r="BH323" i="3" s="1"/>
  <c r="BF323" i="3"/>
  <c r="AX323" i="3"/>
  <c r="BM249" i="3"/>
  <c r="AP249" i="3"/>
  <c r="AQ249" i="3" s="1"/>
  <c r="AZ249" i="3"/>
  <c r="BC249" i="3"/>
  <c r="BP249" i="3" a="1"/>
  <c r="BP249" i="3" s="1"/>
  <c r="AS249" i="3"/>
  <c r="BH249" i="3" s="1"/>
  <c r="BE249" i="3"/>
  <c r="BF249" i="3"/>
  <c r="BQ249" i="3"/>
  <c r="BI249" i="3"/>
  <c r="BP305" i="3" a="1"/>
  <c r="BP305" i="3" s="1"/>
  <c r="BF305" i="3"/>
  <c r="BB221" i="3"/>
  <c r="BF223" i="3"/>
  <c r="BG290" i="3"/>
  <c r="BS290" i="3" s="1"/>
  <c r="AP221" i="3"/>
  <c r="AQ221" i="3" s="1"/>
  <c r="BB240" i="3"/>
  <c r="BE240" i="3"/>
  <c r="BP241" i="3" a="1"/>
  <c r="BP241" i="3" s="1"/>
  <c r="BF275" i="3"/>
  <c r="BC275" i="3" s="1"/>
  <c r="AP223" i="3"/>
  <c r="AQ223" i="3" s="1"/>
  <c r="BF283" i="3"/>
  <c r="BO283" i="3" s="1"/>
  <c r="BF240" i="3"/>
  <c r="BP275" i="3" a="1"/>
  <c r="BP275" i="3" s="1"/>
  <c r="BP283" i="3" a="1"/>
  <c r="BP283" i="3" s="1"/>
  <c r="BT283" i="3" s="1"/>
  <c r="BG223" i="3"/>
  <c r="BS223" i="3" s="1"/>
  <c r="BG241" i="3"/>
  <c r="BK241" i="3" s="1"/>
  <c r="AP236" i="3"/>
  <c r="AQ236" i="3" s="1"/>
  <c r="AP275" i="3"/>
  <c r="AQ275" i="3" s="1"/>
  <c r="BQ275" i="3"/>
  <c r="BG281" i="3"/>
  <c r="BS281" i="3" s="1"/>
  <c r="BB222" i="3"/>
  <c r="AS223" i="3"/>
  <c r="BH223" i="3" s="1"/>
  <c r="BI223" i="3" s="1"/>
  <c r="AP232" i="3"/>
  <c r="AQ232" i="3" s="1"/>
  <c r="BG283" i="3"/>
  <c r="BK283" i="3" s="1"/>
  <c r="BP221" i="3" a="1"/>
  <c r="BP221" i="3" s="1"/>
  <c r="AP240" i="3"/>
  <c r="AQ240" i="3" s="1"/>
  <c r="AS241" i="3"/>
  <c r="BH241" i="3" s="1"/>
  <c r="BP222" i="3" a="1"/>
  <c r="BP222" i="3" s="1"/>
  <c r="BG233" i="3"/>
  <c r="BK233" i="3" s="1"/>
  <c r="AS240" i="3"/>
  <c r="BH240" i="3" s="1"/>
  <c r="BB236" i="3"/>
  <c r="AP234" i="3"/>
  <c r="AQ234" i="3" s="1"/>
  <c r="BF232" i="3"/>
  <c r="AP239" i="3"/>
  <c r="AQ239" i="3" s="1"/>
  <c r="AP233" i="3"/>
  <c r="AQ233" i="3" s="1"/>
  <c r="BG240" i="3"/>
  <c r="BS240" i="3" s="1"/>
  <c r="BP240" i="3" a="1"/>
  <c r="BP240" i="3" s="1"/>
  <c r="BT240" i="3" s="1"/>
  <c r="BG239" i="3"/>
  <c r="BS239" i="3" s="1"/>
  <c r="BG232" i="3"/>
  <c r="BK232" i="3" s="1"/>
  <c r="AS275" i="3"/>
  <c r="BH275" i="3" s="1"/>
  <c r="BF236" i="3"/>
  <c r="BB239" i="3"/>
  <c r="BB233" i="3"/>
  <c r="BB232" i="3"/>
  <c r="BG234" i="3"/>
  <c r="BK234" i="3" s="1"/>
  <c r="BB223" i="3"/>
  <c r="BG262" i="3"/>
  <c r="BK262" i="3" s="1"/>
  <c r="BP236" i="3" a="1"/>
  <c r="BP236" i="3" s="1"/>
  <c r="BT236" i="3" s="1"/>
  <c r="BP233" i="3" a="1"/>
  <c r="BP233" i="3" s="1"/>
  <c r="BT233" i="3" s="1"/>
  <c r="BE223" i="3"/>
  <c r="BE241" i="3"/>
  <c r="BG242" i="3"/>
  <c r="BS242" i="3" s="1"/>
  <c r="BP232" i="3" a="1"/>
  <c r="BP232" i="3" s="1"/>
  <c r="BT232" i="3" s="1"/>
  <c r="BG221" i="3"/>
  <c r="BK221" i="3" s="1"/>
  <c r="AP222" i="3"/>
  <c r="AQ222" i="3" s="1"/>
  <c r="BP223" i="3" a="1"/>
  <c r="BP223" i="3" s="1"/>
  <c r="BP227" i="3" a="1"/>
  <c r="BP227" i="3" s="1"/>
  <c r="BT227" i="3" s="1"/>
  <c r="AS227" i="3"/>
  <c r="BH227" i="3" s="1"/>
  <c r="BE227" i="3"/>
  <c r="BF227" i="3"/>
  <c r="U227" i="3"/>
  <c r="AY227" i="3" s="1"/>
  <c r="AX227" i="3"/>
  <c r="BP238" i="3" a="1"/>
  <c r="BP238" i="3" s="1"/>
  <c r="BT238" i="3" s="1"/>
  <c r="AS238" i="3"/>
  <c r="BH238" i="3" s="1"/>
  <c r="BF238" i="3"/>
  <c r="U238" i="3"/>
  <c r="AY238" i="3" s="1"/>
  <c r="AX238" i="3"/>
  <c r="AP292" i="3"/>
  <c r="AQ292" i="3" s="1"/>
  <c r="BP292" i="3" a="1"/>
  <c r="BP292" i="3" s="1"/>
  <c r="AS292" i="3"/>
  <c r="BH292" i="3" s="1"/>
  <c r="BF292" i="3"/>
  <c r="BQ292" i="3"/>
  <c r="AP262" i="3"/>
  <c r="AQ262" i="3" s="1"/>
  <c r="BP262" i="3" a="1"/>
  <c r="BP262" i="3" s="1"/>
  <c r="BT262" i="3" s="1"/>
  <c r="AS262" i="3"/>
  <c r="BH262" i="3" s="1"/>
  <c r="BF262" i="3"/>
  <c r="AS222" i="3"/>
  <c r="BH222" i="3" s="1"/>
  <c r="BI222" i="3" s="1"/>
  <c r="BE222" i="3"/>
  <c r="BF222" i="3"/>
  <c r="BQ222" i="3"/>
  <c r="AS221" i="3"/>
  <c r="BH221" i="3" s="1"/>
  <c r="BI221" i="3" s="1"/>
  <c r="BE221" i="3"/>
  <c r="BF221" i="3"/>
  <c r="BQ221" i="3"/>
  <c r="AP290" i="3"/>
  <c r="AQ290" i="3" s="1"/>
  <c r="BP290" i="3" a="1"/>
  <c r="BP290" i="3" s="1"/>
  <c r="AS290" i="3"/>
  <c r="BH290" i="3" s="1"/>
  <c r="BF290" i="3"/>
  <c r="BQ290" i="3"/>
  <c r="AP212" i="3"/>
  <c r="AQ212" i="3" s="1"/>
  <c r="BG212" i="3"/>
  <c r="BK212" i="3" s="1"/>
  <c r="BB212" i="3"/>
  <c r="BU212" i="3"/>
  <c r="BI212" i="3"/>
  <c r="BQ212" i="3"/>
  <c r="AZ212" i="3"/>
  <c r="BC212" i="3"/>
  <c r="BM212" i="3"/>
  <c r="BE212" i="3"/>
  <c r="AS212" i="3"/>
  <c r="BH212" i="3" s="1"/>
  <c r="BF212" i="3"/>
  <c r="BP212" i="3" a="1"/>
  <c r="BP212" i="3" s="1"/>
  <c r="AY212" i="3"/>
  <c r="AX212" i="3"/>
  <c r="BP281" i="3" a="1"/>
  <c r="BP281" i="3" s="1"/>
  <c r="BT281" i="3" s="1"/>
  <c r="BF281" i="3"/>
  <c r="BO281" i="3" s="1"/>
  <c r="BC277" i="3"/>
  <c r="BP277" i="3" a="1"/>
  <c r="BP277" i="3" s="1"/>
  <c r="AS277" i="3"/>
  <c r="BH277" i="3" s="1"/>
  <c r="BF277" i="3"/>
  <c r="BQ277" i="3"/>
  <c r="AU277" i="3"/>
  <c r="BP276" i="3" a="1"/>
  <c r="BP276" i="3" s="1"/>
  <c r="BT276" i="3" s="1"/>
  <c r="BF276" i="3"/>
  <c r="BO276" i="3" s="1"/>
  <c r="BQ276" i="3"/>
  <c r="AU276" i="3"/>
  <c r="BU234" i="3"/>
  <c r="BQ234" i="3"/>
  <c r="AZ234" i="3"/>
  <c r="BI234" i="3"/>
  <c r="BC234" i="3"/>
  <c r="BM234" i="3"/>
  <c r="AS234" i="3"/>
  <c r="BH234" i="3" s="1"/>
  <c r="BP234" i="3" a="1"/>
  <c r="BP234" i="3" s="1"/>
  <c r="BT234" i="3" s="1"/>
  <c r="BF234" i="3"/>
  <c r="U234" i="3"/>
  <c r="AY234" i="3" s="1"/>
  <c r="AX234" i="3"/>
  <c r="BI232" i="3"/>
  <c r="BU232" i="3"/>
  <c r="BQ232" i="3"/>
  <c r="AZ232" i="3"/>
  <c r="BM232" i="3"/>
  <c r="BC232" i="3"/>
  <c r="AS232" i="3"/>
  <c r="BH232" i="3" s="1"/>
  <c r="U232" i="3"/>
  <c r="AY232" i="3" s="1"/>
  <c r="AX232" i="3"/>
  <c r="BU233" i="3"/>
  <c r="BI233" i="3"/>
  <c r="BC233" i="3"/>
  <c r="BQ233" i="3"/>
  <c r="BM233" i="3"/>
  <c r="AZ233" i="3"/>
  <c r="AS233" i="3"/>
  <c r="BH233" i="3" s="1"/>
  <c r="BF233" i="3"/>
  <c r="U233" i="3"/>
  <c r="AY233" i="3" s="1"/>
  <c r="AX233" i="3"/>
  <c r="BU239" i="3"/>
  <c r="BI239" i="3"/>
  <c r="BM239" i="3"/>
  <c r="AZ239" i="3"/>
  <c r="BQ239" i="3"/>
  <c r="BC239" i="3"/>
  <c r="BP239" i="3" a="1"/>
  <c r="BP239" i="3" s="1"/>
  <c r="BT239" i="3" s="1"/>
  <c r="AS239" i="3"/>
  <c r="BH239" i="3" s="1"/>
  <c r="BF239" i="3"/>
  <c r="U239" i="3"/>
  <c r="AY239" i="3" s="1"/>
  <c r="AX239" i="3"/>
  <c r="BU236" i="3"/>
  <c r="AZ236" i="3"/>
  <c r="BI236" i="3"/>
  <c r="BQ236" i="3"/>
  <c r="BC236" i="3"/>
  <c r="BM236" i="3"/>
  <c r="AS236" i="3"/>
  <c r="BH236" i="3" s="1"/>
  <c r="U236" i="3"/>
  <c r="AY236" i="3" s="1"/>
  <c r="AX236" i="3"/>
  <c r="BF241" i="3"/>
  <c r="AP242" i="3"/>
  <c r="AQ242" i="3" s="1"/>
  <c r="BB242" i="3"/>
  <c r="BP242" i="3" a="1"/>
  <c r="BP242" i="3" s="1"/>
  <c r="AS242" i="3"/>
  <c r="BH242" i="3" s="1"/>
  <c r="BE242" i="3"/>
  <c r="AX241" i="3"/>
  <c r="BF242" i="3"/>
  <c r="AP241" i="3"/>
  <c r="AQ241" i="3" s="1"/>
  <c r="BD272" i="3"/>
  <c r="BA272" i="3"/>
  <c r="AY272" i="3"/>
  <c r="AR272" i="3"/>
  <c r="AO272" i="3"/>
  <c r="E272" i="3"/>
  <c r="BD271" i="3"/>
  <c r="BA271" i="3"/>
  <c r="AY271" i="3"/>
  <c r="AR271" i="3"/>
  <c r="AO271" i="3"/>
  <c r="E271" i="3"/>
  <c r="C171" i="5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O171" i="3"/>
  <c r="AX171" i="3"/>
  <c r="C167" i="5"/>
  <c r="C168" i="5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AX168" i="3"/>
  <c r="AH274" i="3"/>
  <c r="BA279" i="1" s="1"/>
  <c r="BD274" i="3"/>
  <c r="BA274" i="3"/>
  <c r="AZ274" i="3"/>
  <c r="AY274" i="3"/>
  <c r="AR274" i="3"/>
  <c r="AO274" i="3"/>
  <c r="BD273" i="3"/>
  <c r="BA273" i="3"/>
  <c r="AZ273" i="3"/>
  <c r="AY273" i="3"/>
  <c r="AR273" i="3"/>
  <c r="AO273" i="3"/>
  <c r="H95" i="17"/>
  <c r="I95" i="17"/>
  <c r="C58" i="3"/>
  <c r="I74" i="17"/>
  <c r="H74" i="17"/>
  <c r="N230" i="1"/>
  <c r="F228" i="3"/>
  <c r="AS230" i="1" s="1"/>
  <c r="BD228" i="3"/>
  <c r="BA228" i="3"/>
  <c r="AR228" i="3"/>
  <c r="AO228" i="3"/>
  <c r="AH228" i="3"/>
  <c r="BA230" i="1" s="1"/>
  <c r="AH287" i="3"/>
  <c r="BA329" i="1" s="1"/>
  <c r="BU287" i="3"/>
  <c r="BQ287" i="3"/>
  <c r="BM287" i="3"/>
  <c r="BI287" i="3"/>
  <c r="BD287" i="3"/>
  <c r="BC287" i="3"/>
  <c r="BA287" i="3"/>
  <c r="AZ287" i="3"/>
  <c r="AY287" i="3"/>
  <c r="AR287" i="3"/>
  <c r="AO287" i="3"/>
  <c r="G287" i="3"/>
  <c r="AT329" i="1" s="1"/>
  <c r="AU329" i="1" s="1"/>
  <c r="E287" i="3"/>
  <c r="I5" i="17"/>
  <c r="I4" i="17"/>
  <c r="I83" i="17"/>
  <c r="I72" i="17"/>
  <c r="H72" i="17"/>
  <c r="I2" i="17"/>
  <c r="E105" i="3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9" i="5"/>
  <c r="C170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BW103" i="1"/>
  <c r="BW104" i="1"/>
  <c r="BW105" i="1"/>
  <c r="BW106" i="1"/>
  <c r="BW107" i="1"/>
  <c r="BW108" i="1"/>
  <c r="BW127" i="1"/>
  <c r="I174" i="1"/>
  <c r="P174" i="1"/>
  <c r="CA174" i="1" s="1"/>
  <c r="AC174" i="1"/>
  <c r="AO174" i="1"/>
  <c r="AR174" i="1"/>
  <c r="AS174" i="1"/>
  <c r="AV174" i="1"/>
  <c r="BB174" i="1"/>
  <c r="BM174" i="1"/>
  <c r="BT174" i="1"/>
  <c r="AW174" i="1" s="1"/>
  <c r="BV174" i="1"/>
  <c r="BY174" i="1"/>
  <c r="I175" i="1"/>
  <c r="P175" i="1"/>
  <c r="CA175" i="1" s="1"/>
  <c r="X175" i="1"/>
  <c r="K175" i="5" s="1"/>
  <c r="AC175" i="1"/>
  <c r="AO175" i="1"/>
  <c r="AR175" i="1"/>
  <c r="AS175" i="1"/>
  <c r="AV175" i="1"/>
  <c r="BB175" i="1"/>
  <c r="BM175" i="1"/>
  <c r="BT175" i="1"/>
  <c r="AW175" i="1" s="1"/>
  <c r="BV175" i="1"/>
  <c r="BY175" i="1"/>
  <c r="P176" i="1"/>
  <c r="CA176" i="1" s="1"/>
  <c r="X176" i="1"/>
  <c r="AA176" i="1" s="1"/>
  <c r="AC176" i="1"/>
  <c r="AO176" i="1"/>
  <c r="AR176" i="1"/>
  <c r="BB176" i="1"/>
  <c r="BM176" i="1"/>
  <c r="BT176" i="1"/>
  <c r="AW176" i="1" s="1"/>
  <c r="BV176" i="1"/>
  <c r="BY176" i="1"/>
  <c r="I177" i="1"/>
  <c r="P177" i="1"/>
  <c r="CA177" i="1" s="1"/>
  <c r="X177" i="1"/>
  <c r="AC177" i="1"/>
  <c r="AO177" i="1"/>
  <c r="AR177" i="1"/>
  <c r="AS177" i="1"/>
  <c r="AV177" i="1"/>
  <c r="BB177" i="1"/>
  <c r="BM177" i="1"/>
  <c r="BT177" i="1"/>
  <c r="AW177" i="1" s="1"/>
  <c r="BV177" i="1"/>
  <c r="BY177" i="1"/>
  <c r="P178" i="1"/>
  <c r="CA178" i="1" s="1"/>
  <c r="X178" i="1"/>
  <c r="AC178" i="1"/>
  <c r="AO178" i="1"/>
  <c r="BD178" i="1" s="1"/>
  <c r="AR178" i="1"/>
  <c r="BB178" i="1"/>
  <c r="BT178" i="1"/>
  <c r="AW178" i="1" s="1"/>
  <c r="BV178" i="1"/>
  <c r="BY178" i="1"/>
  <c r="P179" i="1"/>
  <c r="CA179" i="1" s="1"/>
  <c r="X179" i="1"/>
  <c r="AB179" i="1" s="1"/>
  <c r="AC179" i="1"/>
  <c r="AO179" i="1"/>
  <c r="AR179" i="1"/>
  <c r="AS179" i="1"/>
  <c r="AV179" i="1"/>
  <c r="BA179" i="1"/>
  <c r="BB179" i="1"/>
  <c r="BM179" i="1"/>
  <c r="BT179" i="1"/>
  <c r="AW179" i="1" s="1"/>
  <c r="BV179" i="1"/>
  <c r="BY179" i="1"/>
  <c r="P180" i="1"/>
  <c r="CA180" i="1" s="1"/>
  <c r="X180" i="1"/>
  <c r="Z180" i="1" s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Y180" i="1"/>
  <c r="I181" i="1"/>
  <c r="P181" i="1"/>
  <c r="CA181" i="1" s="1"/>
  <c r="X181" i="1"/>
  <c r="K181" i="5" s="1"/>
  <c r="AC181" i="1"/>
  <c r="AO181" i="1"/>
  <c r="AR181" i="1"/>
  <c r="AS181" i="1"/>
  <c r="AV181" i="1"/>
  <c r="BB181" i="1"/>
  <c r="BM181" i="1"/>
  <c r="BT181" i="1"/>
  <c r="AW181" i="1" s="1"/>
  <c r="BV181" i="1"/>
  <c r="BY181" i="1"/>
  <c r="P182" i="1"/>
  <c r="CA182" i="1" s="1"/>
  <c r="X182" i="1"/>
  <c r="AC182" i="1"/>
  <c r="AO182" i="1"/>
  <c r="AR182" i="1"/>
  <c r="AS182" i="1"/>
  <c r="AV182" i="1"/>
  <c r="BA182" i="1"/>
  <c r="BB182" i="1"/>
  <c r="BM182" i="1"/>
  <c r="BT182" i="1"/>
  <c r="AW182" i="1" s="1"/>
  <c r="BV182" i="1"/>
  <c r="BY182" i="1"/>
  <c r="I210" i="1"/>
  <c r="P210" i="1"/>
  <c r="CA210" i="1" s="1"/>
  <c r="AC210" i="1"/>
  <c r="AO210" i="1"/>
  <c r="AR210" i="1"/>
  <c r="AS210" i="1"/>
  <c r="AT210" i="1"/>
  <c r="AU210" i="1" s="1"/>
  <c r="AV210" i="1"/>
  <c r="BB210" i="1"/>
  <c r="BM210" i="1"/>
  <c r="BT210" i="1"/>
  <c r="AW210" i="1" s="1"/>
  <c r="BV210" i="1"/>
  <c r="BY210" i="1"/>
  <c r="I211" i="1"/>
  <c r="P211" i="1"/>
  <c r="CA211" i="1" s="1"/>
  <c r="AC211" i="1"/>
  <c r="AO211" i="1"/>
  <c r="AR211" i="1"/>
  <c r="AS211" i="1"/>
  <c r="AT211" i="1"/>
  <c r="AU211" i="1" s="1"/>
  <c r="AV211" i="1"/>
  <c r="BB211" i="1"/>
  <c r="BM211" i="1"/>
  <c r="BT211" i="1"/>
  <c r="AW211" i="1" s="1"/>
  <c r="BV211" i="1"/>
  <c r="BY211" i="1"/>
  <c r="I212" i="1"/>
  <c r="P212" i="1"/>
  <c r="CA212" i="1" s="1"/>
  <c r="AC212" i="1"/>
  <c r="AO212" i="1"/>
  <c r="AR212" i="1"/>
  <c r="AS212" i="1"/>
  <c r="AT212" i="1"/>
  <c r="AU212" i="1" s="1"/>
  <c r="AV212" i="1"/>
  <c r="BB212" i="1"/>
  <c r="BM212" i="1"/>
  <c r="BT212" i="1"/>
  <c r="AW212" i="1" s="1"/>
  <c r="BV212" i="1"/>
  <c r="BY212" i="1"/>
  <c r="I213" i="1"/>
  <c r="P213" i="1"/>
  <c r="CA213" i="1" s="1"/>
  <c r="AC213" i="1"/>
  <c r="AO213" i="1"/>
  <c r="AR213" i="1"/>
  <c r="AS213" i="1"/>
  <c r="AT213" i="1"/>
  <c r="AU213" i="1" s="1"/>
  <c r="AV213" i="1"/>
  <c r="BA213" i="1"/>
  <c r="BB213" i="1"/>
  <c r="BM213" i="1"/>
  <c r="BT213" i="1"/>
  <c r="AW213" i="1" s="1"/>
  <c r="BV213" i="1"/>
  <c r="BY213" i="1"/>
  <c r="I214" i="1"/>
  <c r="P214" i="1"/>
  <c r="CA214" i="1" s="1"/>
  <c r="AC214" i="1"/>
  <c r="AO214" i="1"/>
  <c r="AR214" i="1"/>
  <c r="AS214" i="1"/>
  <c r="AT214" i="1"/>
  <c r="AU214" i="1" s="1"/>
  <c r="AV214" i="1"/>
  <c r="BA214" i="1"/>
  <c r="BB214" i="1"/>
  <c r="BM214" i="1"/>
  <c r="BT214" i="1"/>
  <c r="AW214" i="1" s="1"/>
  <c r="BV214" i="1"/>
  <c r="BY214" i="1"/>
  <c r="I215" i="1"/>
  <c r="P215" i="1"/>
  <c r="CA215" i="1" s="1"/>
  <c r="AC215" i="1"/>
  <c r="AO215" i="1"/>
  <c r="AR215" i="1"/>
  <c r="AS215" i="1"/>
  <c r="AT215" i="1"/>
  <c r="AU215" i="1" s="1"/>
  <c r="AV215" i="1"/>
  <c r="BA215" i="1"/>
  <c r="BB215" i="1"/>
  <c r="BM215" i="1"/>
  <c r="BT215" i="1"/>
  <c r="AW215" i="1" s="1"/>
  <c r="BV215" i="1"/>
  <c r="BY215" i="1"/>
  <c r="I216" i="1"/>
  <c r="P216" i="1"/>
  <c r="CA216" i="1" s="1"/>
  <c r="AC216" i="1"/>
  <c r="AO216" i="1"/>
  <c r="AR216" i="1"/>
  <c r="AS216" i="1"/>
  <c r="AT216" i="1"/>
  <c r="AU216" i="1" s="1"/>
  <c r="AV216" i="1"/>
  <c r="BA216" i="1"/>
  <c r="BB216" i="1"/>
  <c r="BM216" i="1"/>
  <c r="BT216" i="1"/>
  <c r="AW216" i="1" s="1"/>
  <c r="BV216" i="1"/>
  <c r="BY216" i="1"/>
  <c r="I217" i="1"/>
  <c r="P217" i="1"/>
  <c r="CA217" i="1" s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Y217" i="1"/>
  <c r="I218" i="1"/>
  <c r="P218" i="1"/>
  <c r="CA218" i="1" s="1"/>
  <c r="AC218" i="1"/>
  <c r="AO218" i="1"/>
  <c r="AR218" i="1"/>
  <c r="AT218" i="1"/>
  <c r="AU218" i="1" s="1"/>
  <c r="BB218" i="1"/>
  <c r="BM218" i="1"/>
  <c r="BT218" i="1"/>
  <c r="AW218" i="1" s="1"/>
  <c r="BV218" i="1"/>
  <c r="BY218" i="1"/>
  <c r="I219" i="1"/>
  <c r="P219" i="1"/>
  <c r="CA219" i="1" s="1"/>
  <c r="AC219" i="1"/>
  <c r="AO219" i="1"/>
  <c r="AR219" i="1"/>
  <c r="AS219" i="1"/>
  <c r="AT219" i="1"/>
  <c r="AU219" i="1" s="1"/>
  <c r="AV219" i="1"/>
  <c r="BB219" i="1"/>
  <c r="BM219" i="1"/>
  <c r="BT219" i="1"/>
  <c r="AW219" i="1" s="1"/>
  <c r="BV219" i="1"/>
  <c r="BY219" i="1"/>
  <c r="I220" i="1"/>
  <c r="P220" i="1"/>
  <c r="CA220" i="1" s="1"/>
  <c r="AC220" i="1"/>
  <c r="AO220" i="1"/>
  <c r="AR220" i="1"/>
  <c r="AS220" i="1"/>
  <c r="AT220" i="1"/>
  <c r="AU220" i="1" s="1"/>
  <c r="AV220" i="1"/>
  <c r="BB220" i="1"/>
  <c r="BM220" i="1"/>
  <c r="BT220" i="1"/>
  <c r="AW220" i="1" s="1"/>
  <c r="BV220" i="1"/>
  <c r="BY220" i="1"/>
  <c r="I221" i="1"/>
  <c r="P221" i="1"/>
  <c r="CA221" i="1" s="1"/>
  <c r="AC221" i="1"/>
  <c r="AO221" i="1"/>
  <c r="AR221" i="1"/>
  <c r="AT221" i="1"/>
  <c r="AU221" i="1" s="1"/>
  <c r="BB221" i="1"/>
  <c r="BM221" i="1"/>
  <c r="BT221" i="1"/>
  <c r="AW221" i="1" s="1"/>
  <c r="BV221" i="1"/>
  <c r="BY221" i="1"/>
  <c r="P222" i="1"/>
  <c r="CA222" i="1" s="1"/>
  <c r="AC222" i="1"/>
  <c r="AO222" i="1"/>
  <c r="AR222" i="1"/>
  <c r="AS222" i="1"/>
  <c r="AV222" i="1"/>
  <c r="BB222" i="1"/>
  <c r="BM222" i="1"/>
  <c r="BT222" i="1"/>
  <c r="AW222" i="1" s="1"/>
  <c r="BV222" i="1"/>
  <c r="BY222" i="1"/>
  <c r="I223" i="1"/>
  <c r="P223" i="1"/>
  <c r="CA223" i="1" s="1"/>
  <c r="X223" i="1"/>
  <c r="AC223" i="1"/>
  <c r="AO223" i="1"/>
  <c r="AR223" i="1"/>
  <c r="AS223" i="1"/>
  <c r="AV223" i="1"/>
  <c r="BA223" i="1"/>
  <c r="BB223" i="1"/>
  <c r="BM223" i="1"/>
  <c r="BT223" i="1"/>
  <c r="AW223" i="1" s="1"/>
  <c r="BV223" i="1"/>
  <c r="BY223" i="1"/>
  <c r="I224" i="1"/>
  <c r="P224" i="1"/>
  <c r="CA224" i="1" s="1"/>
  <c r="AC224" i="1"/>
  <c r="AO224" i="1"/>
  <c r="AR224" i="1"/>
  <c r="AT224" i="1"/>
  <c r="AU224" i="1" s="1"/>
  <c r="BB224" i="1"/>
  <c r="BM224" i="1"/>
  <c r="BT224" i="1"/>
  <c r="AW224" i="1" s="1"/>
  <c r="BV224" i="1"/>
  <c r="BY224" i="1"/>
  <c r="I225" i="1"/>
  <c r="P225" i="1"/>
  <c r="CA225" i="1" s="1"/>
  <c r="AC225" i="1"/>
  <c r="AO225" i="1"/>
  <c r="AR225" i="1"/>
  <c r="AS225" i="1"/>
  <c r="AT225" i="1"/>
  <c r="AU225" i="1" s="1"/>
  <c r="AV225" i="1"/>
  <c r="BB225" i="1"/>
  <c r="BM225" i="1"/>
  <c r="BT225" i="1"/>
  <c r="AW225" i="1" s="1"/>
  <c r="BV225" i="1"/>
  <c r="BY225" i="1"/>
  <c r="I226" i="1"/>
  <c r="P226" i="1"/>
  <c r="CA226" i="1" s="1"/>
  <c r="AC226" i="1"/>
  <c r="AO226" i="1"/>
  <c r="AR226" i="1"/>
  <c r="AS226" i="1"/>
  <c r="AT226" i="1"/>
  <c r="AU226" i="1" s="1"/>
  <c r="AV226" i="1"/>
  <c r="BB226" i="1"/>
  <c r="BM226" i="1"/>
  <c r="BT226" i="1"/>
  <c r="AW226" i="1" s="1"/>
  <c r="BV226" i="1"/>
  <c r="BY226" i="1"/>
  <c r="I227" i="1"/>
  <c r="P227" i="1"/>
  <c r="AC227" i="1"/>
  <c r="AO227" i="1"/>
  <c r="AR227" i="1"/>
  <c r="AS227" i="1"/>
  <c r="AT227" i="1"/>
  <c r="AU227" i="1" s="1"/>
  <c r="AV227" i="1"/>
  <c r="BB227" i="1"/>
  <c r="BM227" i="1"/>
  <c r="BT227" i="1"/>
  <c r="AW227" i="1" s="1"/>
  <c r="BV227" i="1"/>
  <c r="BY227" i="1"/>
  <c r="I228" i="1"/>
  <c r="P228" i="1"/>
  <c r="X228" i="1"/>
  <c r="AC228" i="1"/>
  <c r="AO228" i="1"/>
  <c r="AR228" i="1"/>
  <c r="AT228" i="1"/>
  <c r="AU228" i="1" s="1"/>
  <c r="BB228" i="1"/>
  <c r="BM228" i="1"/>
  <c r="BT228" i="1"/>
  <c r="AW228" i="1" s="1"/>
  <c r="BV228" i="1"/>
  <c r="BY228" i="1"/>
  <c r="I229" i="1"/>
  <c r="P229" i="1"/>
  <c r="CA229" i="1" s="1"/>
  <c r="AC229" i="1"/>
  <c r="AO229" i="1"/>
  <c r="AR229" i="1"/>
  <c r="AS229" i="1"/>
  <c r="AT229" i="1"/>
  <c r="AU229" i="1" s="1"/>
  <c r="AV229" i="1"/>
  <c r="BA229" i="1"/>
  <c r="BB229" i="1"/>
  <c r="BM229" i="1"/>
  <c r="BT229" i="1"/>
  <c r="AW229" i="1" s="1"/>
  <c r="BV229" i="1"/>
  <c r="BY229" i="1"/>
  <c r="I230" i="1"/>
  <c r="P230" i="1"/>
  <c r="CA230" i="1" s="1"/>
  <c r="AC230" i="1"/>
  <c r="AO230" i="1"/>
  <c r="AR230" i="1"/>
  <c r="AT230" i="1"/>
  <c r="AU230" i="1" s="1"/>
  <c r="AV230" i="1"/>
  <c r="BB230" i="1"/>
  <c r="BM230" i="1"/>
  <c r="BT230" i="1"/>
  <c r="AW230" i="1" s="1"/>
  <c r="BV230" i="1"/>
  <c r="BY230" i="1"/>
  <c r="I231" i="1"/>
  <c r="BM231" i="1" s="1"/>
  <c r="P231" i="1"/>
  <c r="S231" i="1"/>
  <c r="T231" i="1" s="1"/>
  <c r="AC231" i="1"/>
  <c r="AI231" i="1"/>
  <c r="AK231" i="1" s="1"/>
  <c r="AO231" i="1"/>
  <c r="AR231" i="1"/>
  <c r="AS231" i="1"/>
  <c r="AT231" i="1"/>
  <c r="AU231" i="1" s="1"/>
  <c r="AV231" i="1"/>
  <c r="AX231" i="1"/>
  <c r="AZ231" i="1"/>
  <c r="BA231" i="1"/>
  <c r="BB231" i="1"/>
  <c r="BC231" i="1"/>
  <c r="BI231" i="1"/>
  <c r="BL231" i="1" s="1"/>
  <c r="BJ231" i="1"/>
  <c r="BO231" i="1"/>
  <c r="BT231" i="1"/>
  <c r="AW231" i="1" s="1"/>
  <c r="BV231" i="1"/>
  <c r="BY231" i="1"/>
  <c r="CB231" i="1"/>
  <c r="CC231" i="1"/>
  <c r="CE231" i="1"/>
  <c r="CF231" i="1"/>
  <c r="CG231" i="1"/>
  <c r="CH231" i="1"/>
  <c r="CI231" i="1"/>
  <c r="CJ231" i="1"/>
  <c r="I232" i="1"/>
  <c r="P232" i="1"/>
  <c r="S232" i="1"/>
  <c r="G232" i="5" s="1"/>
  <c r="AC232" i="1"/>
  <c r="AO232" i="1"/>
  <c r="AR232" i="1"/>
  <c r="AS232" i="1"/>
  <c r="AT232" i="1"/>
  <c r="AU232" i="1" s="1"/>
  <c r="AV232" i="1"/>
  <c r="AX232" i="1"/>
  <c r="AZ232" i="1"/>
  <c r="BA232" i="1"/>
  <c r="BB232" i="1"/>
  <c r="BC232" i="1"/>
  <c r="BI232" i="1"/>
  <c r="BJ232" i="1"/>
  <c r="BM232" i="1"/>
  <c r="BO232" i="1"/>
  <c r="BT232" i="1"/>
  <c r="AW232" i="1" s="1"/>
  <c r="BV232" i="1"/>
  <c r="BY232" i="1"/>
  <c r="CB232" i="1"/>
  <c r="CC232" i="1"/>
  <c r="CE232" i="1"/>
  <c r="CF232" i="1"/>
  <c r="CG232" i="1"/>
  <c r="CH232" i="1"/>
  <c r="CI232" i="1"/>
  <c r="CJ232" i="1"/>
  <c r="I233" i="1"/>
  <c r="BM233" i="1" s="1"/>
  <c r="P233" i="1"/>
  <c r="S233" i="1"/>
  <c r="AC233" i="1"/>
  <c r="AO233" i="1"/>
  <c r="AR233" i="1"/>
  <c r="AS233" i="1"/>
  <c r="AT233" i="1"/>
  <c r="AU233" i="1" s="1"/>
  <c r="AV233" i="1"/>
  <c r="AX233" i="1"/>
  <c r="AZ233" i="1"/>
  <c r="BA233" i="1"/>
  <c r="BB233" i="1"/>
  <c r="BC233" i="1"/>
  <c r="BI233" i="1"/>
  <c r="BL233" i="1" s="1"/>
  <c r="BJ233" i="1"/>
  <c r="BO233" i="1"/>
  <c r="BT233" i="1"/>
  <c r="AW233" i="1" s="1"/>
  <c r="BV233" i="1"/>
  <c r="BY233" i="1"/>
  <c r="CB233" i="1"/>
  <c r="CC233" i="1"/>
  <c r="CE233" i="1"/>
  <c r="CF233" i="1"/>
  <c r="CG233" i="1"/>
  <c r="CH233" i="1"/>
  <c r="CI233" i="1"/>
  <c r="CJ233" i="1"/>
  <c r="I234" i="1"/>
  <c r="P234" i="1"/>
  <c r="CA234" i="1" s="1"/>
  <c r="S234" i="1"/>
  <c r="W234" i="1" s="1"/>
  <c r="AC234" i="1"/>
  <c r="AI234" i="1"/>
  <c r="AJ234" i="1" s="1"/>
  <c r="AO234" i="1"/>
  <c r="AR234" i="1"/>
  <c r="AS234" i="1"/>
  <c r="AT234" i="1"/>
  <c r="AU234" i="1" s="1"/>
  <c r="AV234" i="1"/>
  <c r="AX234" i="1"/>
  <c r="AZ234" i="1"/>
  <c r="BA234" i="1"/>
  <c r="BB234" i="1"/>
  <c r="BC234" i="1"/>
  <c r="BI234" i="1"/>
  <c r="BL234" i="1" s="1"/>
  <c r="BJ234" i="1"/>
  <c r="BM234" i="1"/>
  <c r="BO234" i="1"/>
  <c r="BT234" i="1"/>
  <c r="AW234" i="1" s="1"/>
  <c r="BV234" i="1"/>
  <c r="BY234" i="1"/>
  <c r="CB234" i="1"/>
  <c r="CC234" i="1"/>
  <c r="CE234" i="1"/>
  <c r="CF234" i="1"/>
  <c r="CG234" i="1"/>
  <c r="CH234" i="1"/>
  <c r="CI234" i="1"/>
  <c r="CJ234" i="1"/>
  <c r="I235" i="1"/>
  <c r="P235" i="1"/>
  <c r="CA235" i="1" s="1"/>
  <c r="S235" i="1"/>
  <c r="T235" i="1" s="1"/>
  <c r="AC235" i="1"/>
  <c r="AI235" i="1"/>
  <c r="AK235" i="1" s="1"/>
  <c r="AO235" i="1"/>
  <c r="BD235" i="1" s="1"/>
  <c r="AR235" i="1"/>
  <c r="AS235" i="1"/>
  <c r="AT235" i="1"/>
  <c r="AU235" i="1" s="1"/>
  <c r="AV235" i="1"/>
  <c r="AX235" i="1"/>
  <c r="AZ235" i="1"/>
  <c r="BA235" i="1"/>
  <c r="BB235" i="1"/>
  <c r="BC235" i="1"/>
  <c r="BI235" i="1"/>
  <c r="BL235" i="1" s="1"/>
  <c r="BJ235" i="1"/>
  <c r="BM235" i="1"/>
  <c r="BO235" i="1"/>
  <c r="BT235" i="1"/>
  <c r="AW235" i="1" s="1"/>
  <c r="BV235" i="1"/>
  <c r="BY235" i="1"/>
  <c r="CB235" i="1"/>
  <c r="CC235" i="1"/>
  <c r="CE235" i="1"/>
  <c r="CF235" i="1"/>
  <c r="CG235" i="1"/>
  <c r="CH235" i="1"/>
  <c r="CI235" i="1"/>
  <c r="CJ235" i="1"/>
  <c r="I236" i="1"/>
  <c r="P236" i="1"/>
  <c r="CA236" i="1" s="1"/>
  <c r="S236" i="1"/>
  <c r="AC236" i="1"/>
  <c r="AO236" i="1"/>
  <c r="AR236" i="1"/>
  <c r="AS236" i="1"/>
  <c r="AT236" i="1"/>
  <c r="AU236" i="1" s="1"/>
  <c r="AV236" i="1"/>
  <c r="AX236" i="1"/>
  <c r="AZ236" i="1"/>
  <c r="BA236" i="1"/>
  <c r="BB236" i="1"/>
  <c r="BC236" i="1"/>
  <c r="BI236" i="1"/>
  <c r="BL236" i="1" s="1"/>
  <c r="BJ236" i="1"/>
  <c r="BM236" i="1"/>
  <c r="BO236" i="1"/>
  <c r="BT236" i="1"/>
  <c r="AW236" i="1" s="1"/>
  <c r="BV236" i="1"/>
  <c r="BY236" i="1"/>
  <c r="CB236" i="1"/>
  <c r="CC236" i="1"/>
  <c r="CE236" i="1"/>
  <c r="CF236" i="1"/>
  <c r="CG236" i="1"/>
  <c r="CH236" i="1"/>
  <c r="CI236" i="1"/>
  <c r="CJ236" i="1"/>
  <c r="I237" i="1"/>
  <c r="N237" i="1"/>
  <c r="O237" i="1"/>
  <c r="P237" i="1"/>
  <c r="CA237" i="1" s="1"/>
  <c r="AC237" i="1"/>
  <c r="AI237" i="1"/>
  <c r="AO237" i="1"/>
  <c r="AR237" i="1"/>
  <c r="AS237" i="1"/>
  <c r="AT237" i="1"/>
  <c r="AU237" i="1" s="1"/>
  <c r="AV237" i="1"/>
  <c r="AX237" i="1"/>
  <c r="BA237" i="1"/>
  <c r="BB237" i="1"/>
  <c r="BC237" i="1"/>
  <c r="BI237" i="1"/>
  <c r="BL237" i="1" s="1"/>
  <c r="BJ237" i="1"/>
  <c r="BM237" i="1"/>
  <c r="BO237" i="1"/>
  <c r="BT237" i="1"/>
  <c r="AW237" i="1" s="1"/>
  <c r="BV237" i="1"/>
  <c r="BY237" i="1"/>
  <c r="CB237" i="1"/>
  <c r="CC237" i="1"/>
  <c r="CE237" i="1"/>
  <c r="CF237" i="1"/>
  <c r="CG237" i="1"/>
  <c r="CH237" i="1"/>
  <c r="CI237" i="1"/>
  <c r="CJ237" i="1"/>
  <c r="I238" i="1"/>
  <c r="P238" i="1"/>
  <c r="CA238" i="1" s="1"/>
  <c r="AC238" i="1"/>
  <c r="AO238" i="1"/>
  <c r="AR238" i="1"/>
  <c r="AS238" i="1"/>
  <c r="AT238" i="1"/>
  <c r="AU238" i="1" s="1"/>
  <c r="AV238" i="1"/>
  <c r="AX238" i="1"/>
  <c r="BA238" i="1"/>
  <c r="BB238" i="1"/>
  <c r="BC238" i="1"/>
  <c r="BI238" i="1"/>
  <c r="BL238" i="1" s="1"/>
  <c r="BJ238" i="1"/>
  <c r="BM238" i="1"/>
  <c r="BO238" i="1"/>
  <c r="BT238" i="1"/>
  <c r="AW238" i="1" s="1"/>
  <c r="BV238" i="1"/>
  <c r="BY238" i="1"/>
  <c r="CB238" i="1"/>
  <c r="CC238" i="1"/>
  <c r="CE238" i="1"/>
  <c r="CF238" i="1"/>
  <c r="CG238" i="1"/>
  <c r="CH238" i="1"/>
  <c r="CI238" i="1"/>
  <c r="CJ238" i="1"/>
  <c r="I239" i="1"/>
  <c r="P239" i="1"/>
  <c r="CA239" i="1" s="1"/>
  <c r="S239" i="1"/>
  <c r="T239" i="1" s="1"/>
  <c r="AC239" i="1"/>
  <c r="AO239" i="1"/>
  <c r="AR239" i="1"/>
  <c r="AS239" i="1"/>
  <c r="AT239" i="1"/>
  <c r="AU239" i="1" s="1"/>
  <c r="AV239" i="1"/>
  <c r="AX239" i="1"/>
  <c r="AZ239" i="1"/>
  <c r="BA239" i="1"/>
  <c r="BB239" i="1"/>
  <c r="BC239" i="1"/>
  <c r="BI239" i="1"/>
  <c r="BL239" i="1" s="1"/>
  <c r="BJ239" i="1"/>
  <c r="BM239" i="1"/>
  <c r="BO239" i="1"/>
  <c r="BT239" i="1"/>
  <c r="AW239" i="1" s="1"/>
  <c r="BV239" i="1"/>
  <c r="BY239" i="1"/>
  <c r="CB239" i="1"/>
  <c r="CC239" i="1"/>
  <c r="CE239" i="1"/>
  <c r="CF239" i="1"/>
  <c r="CG239" i="1"/>
  <c r="CH239" i="1"/>
  <c r="CI239" i="1"/>
  <c r="CJ239" i="1"/>
  <c r="I240" i="1"/>
  <c r="P240" i="1"/>
  <c r="CA240" i="1" s="1"/>
  <c r="S240" i="1"/>
  <c r="T240" i="1" s="1"/>
  <c r="AC240" i="1"/>
  <c r="AO240" i="1"/>
  <c r="AR240" i="1"/>
  <c r="AS240" i="1"/>
  <c r="AT240" i="1"/>
  <c r="AU240" i="1" s="1"/>
  <c r="AV240" i="1"/>
  <c r="AX240" i="1"/>
  <c r="AZ240" i="1"/>
  <c r="BA240" i="1"/>
  <c r="BB240" i="1"/>
  <c r="BC240" i="1"/>
  <c r="BI240" i="1"/>
  <c r="BL240" i="1" s="1"/>
  <c r="BJ240" i="1"/>
  <c r="BM240" i="1"/>
  <c r="BO240" i="1"/>
  <c r="BT240" i="1"/>
  <c r="AW240" i="1" s="1"/>
  <c r="BV240" i="1"/>
  <c r="BY240" i="1"/>
  <c r="CB240" i="1"/>
  <c r="CC240" i="1"/>
  <c r="CE240" i="1"/>
  <c r="CF240" i="1"/>
  <c r="CG240" i="1"/>
  <c r="CH240" i="1"/>
  <c r="CI240" i="1"/>
  <c r="CJ240" i="1"/>
  <c r="I241" i="1"/>
  <c r="P241" i="1"/>
  <c r="CA241" i="1" s="1"/>
  <c r="S241" i="1"/>
  <c r="T241" i="1" s="1"/>
  <c r="AC241" i="1"/>
  <c r="AO241" i="1"/>
  <c r="AR241" i="1"/>
  <c r="AS241" i="1"/>
  <c r="AT241" i="1"/>
  <c r="AU241" i="1" s="1"/>
  <c r="AV241" i="1"/>
  <c r="AX241" i="1"/>
  <c r="AZ241" i="1"/>
  <c r="BA241" i="1"/>
  <c r="BB241" i="1"/>
  <c r="BC241" i="1"/>
  <c r="BI241" i="1"/>
  <c r="BL241" i="1" s="1"/>
  <c r="BJ241" i="1"/>
  <c r="BM241" i="1"/>
  <c r="BO241" i="1"/>
  <c r="BT241" i="1"/>
  <c r="AW241" i="1" s="1"/>
  <c r="BV241" i="1"/>
  <c r="BY241" i="1"/>
  <c r="CB241" i="1"/>
  <c r="CC241" i="1"/>
  <c r="CE241" i="1"/>
  <c r="CF241" i="1"/>
  <c r="CG241" i="1"/>
  <c r="CH241" i="1"/>
  <c r="CI241" i="1"/>
  <c r="CJ241" i="1"/>
  <c r="I242" i="1"/>
  <c r="N242" i="1"/>
  <c r="O242" i="1"/>
  <c r="P242" i="1"/>
  <c r="CA242" i="1" s="1"/>
  <c r="S242" i="1"/>
  <c r="AC242" i="1"/>
  <c r="AI242" i="1"/>
  <c r="AJ242" i="1" s="1"/>
  <c r="AO242" i="1"/>
  <c r="K242" i="1" s="1"/>
  <c r="AR242" i="1"/>
  <c r="AS242" i="1"/>
  <c r="AT242" i="1"/>
  <c r="AU242" i="1" s="1"/>
  <c r="AV242" i="1"/>
  <c r="AX242" i="1"/>
  <c r="AZ242" i="1"/>
  <c r="BA242" i="1"/>
  <c r="BB242" i="1"/>
  <c r="BC242" i="1"/>
  <c r="BI242" i="1"/>
  <c r="BL242" i="1" s="1"/>
  <c r="BJ242" i="1"/>
  <c r="BM242" i="1"/>
  <c r="BO242" i="1"/>
  <c r="BT242" i="1"/>
  <c r="AW242" i="1" s="1"/>
  <c r="BV242" i="1"/>
  <c r="BY242" i="1"/>
  <c r="CB242" i="1"/>
  <c r="CC242" i="1"/>
  <c r="CE242" i="1"/>
  <c r="CF242" i="1"/>
  <c r="CG242" i="1"/>
  <c r="CH242" i="1"/>
  <c r="CI242" i="1"/>
  <c r="CJ242" i="1"/>
  <c r="I243" i="1"/>
  <c r="N243" i="1"/>
  <c r="O243" i="1"/>
  <c r="P243" i="1"/>
  <c r="CA243" i="1" s="1"/>
  <c r="AC243" i="1"/>
  <c r="AI243" i="1"/>
  <c r="AJ243" i="1" s="1"/>
  <c r="AO243" i="1"/>
  <c r="AP243" i="1" s="1"/>
  <c r="AB243" i="5" s="1"/>
  <c r="AR243" i="1"/>
  <c r="AS243" i="1"/>
  <c r="AT243" i="1"/>
  <c r="AU243" i="1" s="1"/>
  <c r="AV243" i="1"/>
  <c r="AX243" i="1"/>
  <c r="BA243" i="1"/>
  <c r="BB243" i="1"/>
  <c r="BC243" i="1"/>
  <c r="BI243" i="1"/>
  <c r="BL243" i="1" s="1"/>
  <c r="BJ243" i="1"/>
  <c r="BM243" i="1"/>
  <c r="BO243" i="1"/>
  <c r="BT243" i="1"/>
  <c r="AW243" i="1" s="1"/>
  <c r="BV243" i="1"/>
  <c r="BY243" i="1"/>
  <c r="CB243" i="1"/>
  <c r="CC243" i="1"/>
  <c r="CE243" i="1"/>
  <c r="CF243" i="1"/>
  <c r="CG243" i="1"/>
  <c r="CH243" i="1"/>
  <c r="CI243" i="1"/>
  <c r="CJ243" i="1"/>
  <c r="I244" i="1"/>
  <c r="P244" i="1"/>
  <c r="CA244" i="1" s="1"/>
  <c r="S244" i="1"/>
  <c r="V244" i="1" s="1"/>
  <c r="AC244" i="1"/>
  <c r="AO244" i="1"/>
  <c r="AR244" i="1"/>
  <c r="AS244" i="1"/>
  <c r="AT244" i="1"/>
  <c r="AU244" i="1" s="1"/>
  <c r="AV244" i="1"/>
  <c r="AX244" i="1"/>
  <c r="BA244" i="1"/>
  <c r="BB244" i="1"/>
  <c r="BC244" i="1"/>
  <c r="BI244" i="1"/>
  <c r="BL244" i="1" s="1"/>
  <c r="BJ244" i="1"/>
  <c r="BM244" i="1"/>
  <c r="BO244" i="1"/>
  <c r="BT244" i="1"/>
  <c r="AW244" i="1" s="1"/>
  <c r="BV244" i="1"/>
  <c r="BY244" i="1"/>
  <c r="CB244" i="1"/>
  <c r="CC244" i="1"/>
  <c r="CE244" i="1"/>
  <c r="CF244" i="1"/>
  <c r="CG244" i="1"/>
  <c r="CH244" i="1"/>
  <c r="CI244" i="1"/>
  <c r="CJ244" i="1"/>
  <c r="I245" i="1"/>
  <c r="P245" i="1"/>
  <c r="CA245" i="1" s="1"/>
  <c r="S245" i="1"/>
  <c r="U245" i="1" s="1"/>
  <c r="AC245" i="1"/>
  <c r="AI245" i="1"/>
  <c r="S245" i="5" s="1"/>
  <c r="AO245" i="1"/>
  <c r="AR245" i="1"/>
  <c r="AS245" i="1"/>
  <c r="AT245" i="1"/>
  <c r="AU245" i="1" s="1"/>
  <c r="AV245" i="1"/>
  <c r="AX245" i="1"/>
  <c r="AZ245" i="1"/>
  <c r="BA245" i="1"/>
  <c r="BB245" i="1"/>
  <c r="BC245" i="1"/>
  <c r="BI245" i="1"/>
  <c r="BL245" i="1" s="1"/>
  <c r="BJ245" i="1"/>
  <c r="BM245" i="1"/>
  <c r="BO245" i="1"/>
  <c r="BT245" i="1"/>
  <c r="AW245" i="1" s="1"/>
  <c r="BV245" i="1"/>
  <c r="BY245" i="1"/>
  <c r="CB245" i="1"/>
  <c r="CC245" i="1"/>
  <c r="CE245" i="1"/>
  <c r="CF245" i="1"/>
  <c r="CG245" i="1"/>
  <c r="CH245" i="1"/>
  <c r="CI245" i="1"/>
  <c r="CJ245" i="1"/>
  <c r="I246" i="1"/>
  <c r="P246" i="1"/>
  <c r="CA246" i="1" s="1"/>
  <c r="S246" i="1"/>
  <c r="T246" i="1" s="1"/>
  <c r="AC246" i="1"/>
  <c r="AI246" i="1"/>
  <c r="S246" i="5" s="1"/>
  <c r="AO246" i="1"/>
  <c r="AR246" i="1"/>
  <c r="AS246" i="1"/>
  <c r="AT246" i="1"/>
  <c r="AU246" i="1" s="1"/>
  <c r="AV246" i="1"/>
  <c r="AX246" i="1"/>
  <c r="BA246" i="1"/>
  <c r="BB246" i="1"/>
  <c r="BC246" i="1"/>
  <c r="BI246" i="1"/>
  <c r="BL246" i="1" s="1"/>
  <c r="BJ246" i="1"/>
  <c r="BM246" i="1"/>
  <c r="BO246" i="1"/>
  <c r="BT246" i="1"/>
  <c r="AW246" i="1" s="1"/>
  <c r="BV246" i="1"/>
  <c r="BY246" i="1"/>
  <c r="CB246" i="1"/>
  <c r="CC246" i="1"/>
  <c r="CE246" i="1"/>
  <c r="CF246" i="1"/>
  <c r="CG246" i="1"/>
  <c r="CH246" i="1"/>
  <c r="CI246" i="1"/>
  <c r="CJ246" i="1"/>
  <c r="I247" i="1"/>
  <c r="N247" i="1"/>
  <c r="O247" i="1"/>
  <c r="P247" i="1"/>
  <c r="CA247" i="1" s="1"/>
  <c r="S247" i="1"/>
  <c r="AC247" i="1"/>
  <c r="AO247" i="1"/>
  <c r="AR247" i="1"/>
  <c r="AS247" i="1"/>
  <c r="AT247" i="1"/>
  <c r="AU247" i="1" s="1"/>
  <c r="AV247" i="1"/>
  <c r="AX247" i="1"/>
  <c r="AZ247" i="1"/>
  <c r="BA247" i="1"/>
  <c r="BB247" i="1"/>
  <c r="BC247" i="1"/>
  <c r="BI247" i="1"/>
  <c r="BL247" i="1" s="1"/>
  <c r="BJ247" i="1"/>
  <c r="BM247" i="1"/>
  <c r="BO247" i="1"/>
  <c r="BT247" i="1"/>
  <c r="AW247" i="1" s="1"/>
  <c r="BV247" i="1"/>
  <c r="BY247" i="1"/>
  <c r="CB247" i="1"/>
  <c r="CC247" i="1"/>
  <c r="CE247" i="1"/>
  <c r="CF247" i="1"/>
  <c r="CG247" i="1"/>
  <c r="CH247" i="1"/>
  <c r="CI247" i="1"/>
  <c r="CJ247" i="1"/>
  <c r="I248" i="1"/>
  <c r="N248" i="1"/>
  <c r="O248" i="1"/>
  <c r="P248" i="1"/>
  <c r="CA248" i="1" s="1"/>
  <c r="S248" i="1"/>
  <c r="G248" i="5" s="1"/>
  <c r="AC248" i="1"/>
  <c r="AO248" i="1"/>
  <c r="AR248" i="1"/>
  <c r="AS248" i="1"/>
  <c r="AT248" i="1"/>
  <c r="AU248" i="1" s="1"/>
  <c r="AV248" i="1"/>
  <c r="AX248" i="1"/>
  <c r="AZ248" i="1"/>
  <c r="BA248" i="1"/>
  <c r="BB248" i="1"/>
  <c r="BC248" i="1"/>
  <c r="BI248" i="1"/>
  <c r="BL248" i="1" s="1"/>
  <c r="BJ248" i="1"/>
  <c r="BM248" i="1"/>
  <c r="BO248" i="1"/>
  <c r="BT248" i="1"/>
  <c r="AW248" i="1" s="1"/>
  <c r="BV248" i="1"/>
  <c r="BY248" i="1"/>
  <c r="CB248" i="1"/>
  <c r="CC248" i="1"/>
  <c r="CE248" i="1"/>
  <c r="CF248" i="1"/>
  <c r="CG248" i="1"/>
  <c r="CH248" i="1"/>
  <c r="CI248" i="1"/>
  <c r="CJ248" i="1"/>
  <c r="I249" i="1"/>
  <c r="P249" i="1"/>
  <c r="CA249" i="1" s="1"/>
  <c r="S249" i="1"/>
  <c r="G249" i="5" s="1"/>
  <c r="AC249" i="1"/>
  <c r="AO249" i="1"/>
  <c r="BE249" i="1" s="1"/>
  <c r="AR249" i="1"/>
  <c r="AS249" i="1"/>
  <c r="AT249" i="1"/>
  <c r="AU249" i="1" s="1"/>
  <c r="AV249" i="1"/>
  <c r="AX249" i="1"/>
  <c r="BA249" i="1"/>
  <c r="BB249" i="1"/>
  <c r="BC249" i="1"/>
  <c r="BI249" i="1"/>
  <c r="BL249" i="1" s="1"/>
  <c r="BJ249" i="1"/>
  <c r="BM249" i="1"/>
  <c r="BO249" i="1"/>
  <c r="BT249" i="1"/>
  <c r="AW249" i="1" s="1"/>
  <c r="BV249" i="1"/>
  <c r="BY249" i="1"/>
  <c r="CB249" i="1"/>
  <c r="CC249" i="1"/>
  <c r="CE249" i="1"/>
  <c r="CF249" i="1"/>
  <c r="CG249" i="1"/>
  <c r="CH249" i="1"/>
  <c r="CI249" i="1"/>
  <c r="CJ249" i="1"/>
  <c r="I250" i="1"/>
  <c r="P250" i="1"/>
  <c r="CA250" i="1" s="1"/>
  <c r="AI250" i="1"/>
  <c r="AO250" i="1"/>
  <c r="AR250" i="1"/>
  <c r="AS250" i="1"/>
  <c r="AT250" i="1"/>
  <c r="AU250" i="1" s="1"/>
  <c r="AV250" i="1"/>
  <c r="AX250" i="1"/>
  <c r="AZ250" i="1"/>
  <c r="BA250" i="1"/>
  <c r="BB250" i="1"/>
  <c r="BC250" i="1"/>
  <c r="BI250" i="1"/>
  <c r="BL250" i="1" s="1"/>
  <c r="BJ250" i="1"/>
  <c r="BM250" i="1"/>
  <c r="BO250" i="1"/>
  <c r="BT250" i="1"/>
  <c r="AW250" i="1" s="1"/>
  <c r="BV250" i="1"/>
  <c r="BY250" i="1"/>
  <c r="CB250" i="1"/>
  <c r="CC250" i="1"/>
  <c r="CE250" i="1"/>
  <c r="CF250" i="1"/>
  <c r="CG250" i="1"/>
  <c r="CH250" i="1"/>
  <c r="CI250" i="1"/>
  <c r="CJ250" i="1"/>
  <c r="I251" i="1"/>
  <c r="P251" i="1"/>
  <c r="CA251" i="1" s="1"/>
  <c r="S251" i="1"/>
  <c r="G251" i="5" s="1"/>
  <c r="AC251" i="1"/>
  <c r="AO251" i="1"/>
  <c r="K251" i="1" s="1"/>
  <c r="AR251" i="1"/>
  <c r="AS251" i="1"/>
  <c r="AT251" i="1"/>
  <c r="AU251" i="1" s="1"/>
  <c r="AV251" i="1"/>
  <c r="AX251" i="1"/>
  <c r="AZ251" i="1"/>
  <c r="BA251" i="1"/>
  <c r="BB251" i="1"/>
  <c r="BC251" i="1"/>
  <c r="BI251" i="1"/>
  <c r="BL251" i="1" s="1"/>
  <c r="BJ251" i="1"/>
  <c r="BM251" i="1"/>
  <c r="BO251" i="1"/>
  <c r="BT251" i="1"/>
  <c r="AW251" i="1" s="1"/>
  <c r="BV251" i="1"/>
  <c r="BY251" i="1"/>
  <c r="CB251" i="1"/>
  <c r="CC251" i="1"/>
  <c r="CE251" i="1"/>
  <c r="CF251" i="1"/>
  <c r="CG251" i="1"/>
  <c r="CH251" i="1"/>
  <c r="CI251" i="1"/>
  <c r="CJ251" i="1"/>
  <c r="I252" i="1"/>
  <c r="P252" i="1"/>
  <c r="CA252" i="1" s="1"/>
  <c r="S252" i="1"/>
  <c r="T252" i="1" s="1"/>
  <c r="AC252" i="1"/>
  <c r="AO252" i="1"/>
  <c r="BD252" i="1" s="1"/>
  <c r="AR252" i="1"/>
  <c r="AS252" i="1"/>
  <c r="AT252" i="1"/>
  <c r="AU252" i="1" s="1"/>
  <c r="AV252" i="1"/>
  <c r="AX252" i="1"/>
  <c r="AZ252" i="1"/>
  <c r="BA252" i="1"/>
  <c r="BB252" i="1"/>
  <c r="BC252" i="1"/>
  <c r="BI252" i="1"/>
  <c r="BL252" i="1" s="1"/>
  <c r="BJ252" i="1"/>
  <c r="BM252" i="1"/>
  <c r="BO252" i="1"/>
  <c r="BT252" i="1"/>
  <c r="AW252" i="1" s="1"/>
  <c r="BV252" i="1"/>
  <c r="BY252" i="1"/>
  <c r="CB252" i="1"/>
  <c r="CC252" i="1"/>
  <c r="CE252" i="1"/>
  <c r="CF252" i="1"/>
  <c r="CG252" i="1"/>
  <c r="CH252" i="1"/>
  <c r="CI252" i="1"/>
  <c r="CJ252" i="1"/>
  <c r="N253" i="1"/>
  <c r="O253" i="1"/>
  <c r="P253" i="1"/>
  <c r="CA253" i="1" s="1"/>
  <c r="AC253" i="1"/>
  <c r="AI253" i="1"/>
  <c r="AJ253" i="1" s="1"/>
  <c r="AO253" i="1"/>
  <c r="AR253" i="1"/>
  <c r="AS253" i="1"/>
  <c r="AT253" i="1"/>
  <c r="AU253" i="1" s="1"/>
  <c r="AV253" i="1"/>
  <c r="AX253" i="1"/>
  <c r="AZ253" i="1"/>
  <c r="BA253" i="1"/>
  <c r="BB253" i="1"/>
  <c r="AW235" i="3" s="1"/>
  <c r="BC253" i="1"/>
  <c r="BI253" i="1"/>
  <c r="BL253" i="1" s="1"/>
  <c r="BJ253" i="1"/>
  <c r="BM253" i="1"/>
  <c r="BO253" i="1"/>
  <c r="BT253" i="1"/>
  <c r="AW253" i="1" s="1"/>
  <c r="BV253" i="1"/>
  <c r="BY253" i="1"/>
  <c r="CB253" i="1"/>
  <c r="CC253" i="1"/>
  <c r="CE253" i="1"/>
  <c r="CF253" i="1"/>
  <c r="CG253" i="1"/>
  <c r="CH253" i="1"/>
  <c r="CI253" i="1"/>
  <c r="CJ253" i="1"/>
  <c r="I254" i="1"/>
  <c r="N254" i="1"/>
  <c r="O254" i="1"/>
  <c r="P254" i="1"/>
  <c r="CA254" i="1" s="1"/>
  <c r="AC254" i="1"/>
  <c r="AI254" i="1"/>
  <c r="AJ254" i="1" s="1"/>
  <c r="AO254" i="1"/>
  <c r="AR254" i="1"/>
  <c r="AS254" i="1"/>
  <c r="AT254" i="1"/>
  <c r="AU254" i="1" s="1"/>
  <c r="AV254" i="1"/>
  <c r="AX254" i="1"/>
  <c r="BA254" i="1"/>
  <c r="BB254" i="1"/>
  <c r="BC254" i="1"/>
  <c r="BI254" i="1"/>
  <c r="BL254" i="1" s="1"/>
  <c r="BJ254" i="1"/>
  <c r="BM254" i="1"/>
  <c r="BO254" i="1"/>
  <c r="BT254" i="1"/>
  <c r="AW254" i="1" s="1"/>
  <c r="BV254" i="1"/>
  <c r="BY254" i="1"/>
  <c r="CB254" i="1"/>
  <c r="CC254" i="1"/>
  <c r="CE254" i="1"/>
  <c r="CF254" i="1"/>
  <c r="CG254" i="1"/>
  <c r="CH254" i="1"/>
  <c r="CI254" i="1"/>
  <c r="CJ254" i="1"/>
  <c r="I255" i="1"/>
  <c r="P255" i="1"/>
  <c r="CA255" i="1" s="1"/>
  <c r="S255" i="1"/>
  <c r="G255" i="5" s="1"/>
  <c r="AC255" i="1"/>
  <c r="AI255" i="1"/>
  <c r="AK255" i="1" s="1"/>
  <c r="AO255" i="1"/>
  <c r="AR255" i="1"/>
  <c r="AS255" i="1"/>
  <c r="AT255" i="1"/>
  <c r="AU255" i="1" s="1"/>
  <c r="AV255" i="1"/>
  <c r="AX255" i="1"/>
  <c r="BA255" i="1"/>
  <c r="BB255" i="1"/>
  <c r="AW237" i="3" s="1"/>
  <c r="BC255" i="1"/>
  <c r="BI255" i="1"/>
  <c r="BL255" i="1" s="1"/>
  <c r="BJ255" i="1"/>
  <c r="BM255" i="1"/>
  <c r="BO255" i="1"/>
  <c r="BT255" i="1"/>
  <c r="AW255" i="1" s="1"/>
  <c r="BV255" i="1"/>
  <c r="BY255" i="1"/>
  <c r="CB255" i="1"/>
  <c r="CC255" i="1"/>
  <c r="CE255" i="1"/>
  <c r="CF255" i="1"/>
  <c r="CG255" i="1"/>
  <c r="CH255" i="1"/>
  <c r="CI255" i="1"/>
  <c r="CJ255" i="1"/>
  <c r="I256" i="1"/>
  <c r="P256" i="1"/>
  <c r="CA256" i="1" s="1"/>
  <c r="S256" i="1"/>
  <c r="G256" i="5" s="1"/>
  <c r="AC256" i="1"/>
  <c r="AI256" i="1"/>
  <c r="S256" i="5" s="1"/>
  <c r="AO256" i="1"/>
  <c r="AR256" i="1"/>
  <c r="AS256" i="1"/>
  <c r="AT256" i="1"/>
  <c r="AU256" i="1" s="1"/>
  <c r="AV256" i="1"/>
  <c r="AX256" i="1"/>
  <c r="BA256" i="1"/>
  <c r="BB256" i="1"/>
  <c r="BC256" i="1"/>
  <c r="BI256" i="1"/>
  <c r="BJ256" i="1"/>
  <c r="BM256" i="1"/>
  <c r="BO256" i="1"/>
  <c r="BT256" i="1"/>
  <c r="AW256" i="1" s="1"/>
  <c r="BV256" i="1"/>
  <c r="BY256" i="1"/>
  <c r="CB256" i="1"/>
  <c r="CC256" i="1"/>
  <c r="CE256" i="1"/>
  <c r="CF256" i="1"/>
  <c r="CG256" i="1"/>
  <c r="CH256" i="1"/>
  <c r="CI256" i="1"/>
  <c r="CJ256" i="1"/>
  <c r="I257" i="1"/>
  <c r="P257" i="1"/>
  <c r="CA257" i="1" s="1"/>
  <c r="S257" i="1"/>
  <c r="G257" i="5" s="1"/>
  <c r="AC257" i="1"/>
  <c r="AI257" i="1"/>
  <c r="S257" i="5" s="1"/>
  <c r="AO257" i="1"/>
  <c r="BD257" i="1" s="1"/>
  <c r="AR257" i="1"/>
  <c r="AS257" i="1"/>
  <c r="AT257" i="1"/>
  <c r="AU257" i="1" s="1"/>
  <c r="AV257" i="1"/>
  <c r="AX257" i="1"/>
  <c r="AZ257" i="1"/>
  <c r="BA257" i="1"/>
  <c r="BB257" i="1"/>
  <c r="BC257" i="1"/>
  <c r="BI257" i="1"/>
  <c r="BL257" i="1" s="1"/>
  <c r="BJ257" i="1"/>
  <c r="BM257" i="1"/>
  <c r="BO257" i="1"/>
  <c r="BT257" i="1"/>
  <c r="AW257" i="1" s="1"/>
  <c r="BV257" i="1"/>
  <c r="BY257" i="1"/>
  <c r="CB257" i="1"/>
  <c r="CC257" i="1"/>
  <c r="CE257" i="1"/>
  <c r="CF257" i="1"/>
  <c r="CG257" i="1"/>
  <c r="CH257" i="1"/>
  <c r="CI257" i="1"/>
  <c r="CJ257" i="1"/>
  <c r="I258" i="1"/>
  <c r="P258" i="1"/>
  <c r="CA258" i="1" s="1"/>
  <c r="S258" i="1"/>
  <c r="U258" i="1" s="1"/>
  <c r="AC258" i="1"/>
  <c r="AI258" i="1"/>
  <c r="AK258" i="1" s="1"/>
  <c r="AO258" i="1"/>
  <c r="AR258" i="1"/>
  <c r="AS258" i="1"/>
  <c r="AT258" i="1"/>
  <c r="AU258" i="1" s="1"/>
  <c r="AV258" i="1"/>
  <c r="AX258" i="1"/>
  <c r="AZ258" i="1"/>
  <c r="BA258" i="1"/>
  <c r="BB258" i="1"/>
  <c r="BC258" i="1"/>
  <c r="BI258" i="1"/>
  <c r="BJ258" i="1"/>
  <c r="BM258" i="1"/>
  <c r="BO258" i="1"/>
  <c r="BT258" i="1"/>
  <c r="AW258" i="1" s="1"/>
  <c r="BV258" i="1"/>
  <c r="BY258" i="1"/>
  <c r="CB258" i="1"/>
  <c r="CC258" i="1"/>
  <c r="CE258" i="1"/>
  <c r="CF258" i="1"/>
  <c r="CG258" i="1"/>
  <c r="CH258" i="1"/>
  <c r="CI258" i="1"/>
  <c r="CJ258" i="1"/>
  <c r="I259" i="1"/>
  <c r="N259" i="1"/>
  <c r="O259" i="1"/>
  <c r="P259" i="1"/>
  <c r="CA259" i="1" s="1"/>
  <c r="S259" i="1"/>
  <c r="G259" i="5" s="1"/>
  <c r="AC259" i="1"/>
  <c r="AO259" i="1"/>
  <c r="AR259" i="1"/>
  <c r="AS259" i="1"/>
  <c r="AT259" i="1"/>
  <c r="AU259" i="1" s="1"/>
  <c r="AV259" i="1"/>
  <c r="AX259" i="1"/>
  <c r="AZ259" i="1"/>
  <c r="BA259" i="1"/>
  <c r="BB259" i="1"/>
  <c r="BC259" i="1"/>
  <c r="BI259" i="1"/>
  <c r="BL259" i="1" s="1"/>
  <c r="BJ259" i="1"/>
  <c r="BM259" i="1"/>
  <c r="BO259" i="1"/>
  <c r="BT259" i="1"/>
  <c r="AW259" i="1" s="1"/>
  <c r="BV259" i="1"/>
  <c r="BY259" i="1"/>
  <c r="CB259" i="1"/>
  <c r="CC259" i="1"/>
  <c r="CE259" i="1"/>
  <c r="CF259" i="1"/>
  <c r="CG259" i="1"/>
  <c r="CH259" i="1"/>
  <c r="CI259" i="1"/>
  <c r="CJ259" i="1"/>
  <c r="I260" i="1"/>
  <c r="N260" i="1"/>
  <c r="O260" i="1"/>
  <c r="P260" i="1"/>
  <c r="S260" i="1"/>
  <c r="T260" i="1" s="1"/>
  <c r="AC260" i="1"/>
  <c r="AI260" i="1"/>
  <c r="AJ260" i="1" s="1"/>
  <c r="AO260" i="1"/>
  <c r="AR260" i="1"/>
  <c r="AS260" i="1"/>
  <c r="AT260" i="1"/>
  <c r="AU260" i="1" s="1"/>
  <c r="AV260" i="1"/>
  <c r="AX260" i="1"/>
  <c r="AZ260" i="1"/>
  <c r="BA260" i="1"/>
  <c r="BB260" i="1"/>
  <c r="BC260" i="1"/>
  <c r="BI260" i="1"/>
  <c r="BL260" i="1" s="1"/>
  <c r="BJ260" i="1"/>
  <c r="BM260" i="1"/>
  <c r="BO260" i="1"/>
  <c r="BT260" i="1"/>
  <c r="AW260" i="1" s="1"/>
  <c r="BV260" i="1"/>
  <c r="BY260" i="1"/>
  <c r="CB260" i="1"/>
  <c r="CC260" i="1"/>
  <c r="CE260" i="1"/>
  <c r="CF260" i="1"/>
  <c r="CG260" i="1"/>
  <c r="CH260" i="1"/>
  <c r="CI260" i="1"/>
  <c r="CJ260" i="1"/>
  <c r="I261" i="1"/>
  <c r="P261" i="1"/>
  <c r="CA261" i="1" s="1"/>
  <c r="S261" i="1"/>
  <c r="G261" i="5" s="1"/>
  <c r="AC261" i="1"/>
  <c r="AI261" i="1"/>
  <c r="AJ261" i="1" s="1"/>
  <c r="AO261" i="1"/>
  <c r="AR261" i="1"/>
  <c r="AS261" i="1"/>
  <c r="AT261" i="1"/>
  <c r="AU261" i="1" s="1"/>
  <c r="AV261" i="1"/>
  <c r="AX261" i="1"/>
  <c r="BA261" i="1"/>
  <c r="BB261" i="1"/>
  <c r="BC261" i="1"/>
  <c r="BI261" i="1"/>
  <c r="BL261" i="1" s="1"/>
  <c r="BJ261" i="1"/>
  <c r="BM261" i="1"/>
  <c r="BO261" i="1"/>
  <c r="BT261" i="1"/>
  <c r="AW261" i="1" s="1"/>
  <c r="BV261" i="1"/>
  <c r="BY261" i="1"/>
  <c r="CB261" i="1"/>
  <c r="CC261" i="1"/>
  <c r="CE261" i="1"/>
  <c r="CF261" i="1"/>
  <c r="CG261" i="1"/>
  <c r="CH261" i="1"/>
  <c r="CI261" i="1"/>
  <c r="CJ261" i="1"/>
  <c r="I262" i="1"/>
  <c r="P262" i="1"/>
  <c r="CA262" i="1" s="1"/>
  <c r="S262" i="1"/>
  <c r="G262" i="5" s="1"/>
  <c r="AI262" i="1"/>
  <c r="AO262" i="1"/>
  <c r="BE210" i="3" s="1"/>
  <c r="AR262" i="1"/>
  <c r="AS262" i="1"/>
  <c r="AT262" i="1"/>
  <c r="AU262" i="1" s="1"/>
  <c r="AV262" i="1"/>
  <c r="AX262" i="1"/>
  <c r="BA262" i="1"/>
  <c r="BB262" i="1"/>
  <c r="BC262" i="1"/>
  <c r="BI262" i="1"/>
  <c r="BJ262" i="1"/>
  <c r="BM262" i="1"/>
  <c r="BO262" i="1"/>
  <c r="BT262" i="1"/>
  <c r="AW262" i="1" s="1"/>
  <c r="BV262" i="1"/>
  <c r="BY262" i="1"/>
  <c r="CB262" i="1"/>
  <c r="CC262" i="1"/>
  <c r="CE262" i="1"/>
  <c r="CF262" i="1"/>
  <c r="CG262" i="1"/>
  <c r="CH262" i="1"/>
  <c r="CI262" i="1"/>
  <c r="CJ262" i="1"/>
  <c r="I263" i="1"/>
  <c r="N263" i="1"/>
  <c r="O263" i="1"/>
  <c r="P263" i="1"/>
  <c r="CA263" i="1" s="1"/>
  <c r="S263" i="1"/>
  <c r="G263" i="5" s="1"/>
  <c r="AC263" i="1"/>
  <c r="AO263" i="1"/>
  <c r="BD263" i="1" s="1"/>
  <c r="AR263" i="1"/>
  <c r="AS263" i="1"/>
  <c r="AT263" i="1"/>
  <c r="AU263" i="1" s="1"/>
  <c r="AV263" i="1"/>
  <c r="AX263" i="1"/>
  <c r="BA263" i="1"/>
  <c r="BB263" i="1"/>
  <c r="BC263" i="1"/>
  <c r="BI263" i="1"/>
  <c r="BL263" i="1" s="1"/>
  <c r="BJ263" i="1"/>
  <c r="BM263" i="1"/>
  <c r="BO263" i="1"/>
  <c r="BT263" i="1"/>
  <c r="AW263" i="1" s="1"/>
  <c r="BV263" i="1"/>
  <c r="BY263" i="1"/>
  <c r="CB263" i="1"/>
  <c r="CC263" i="1"/>
  <c r="CE263" i="1"/>
  <c r="CF263" i="1"/>
  <c r="CG263" i="1"/>
  <c r="CH263" i="1"/>
  <c r="CI263" i="1"/>
  <c r="CJ263" i="1"/>
  <c r="I264" i="1"/>
  <c r="N264" i="1"/>
  <c r="O264" i="1"/>
  <c r="P264" i="1"/>
  <c r="CA264" i="1" s="1"/>
  <c r="S264" i="1"/>
  <c r="T264" i="1" s="1"/>
  <c r="AC264" i="1"/>
  <c r="AI264" i="1"/>
  <c r="S264" i="5" s="1"/>
  <c r="AO264" i="1"/>
  <c r="AR264" i="1"/>
  <c r="AS264" i="1"/>
  <c r="AT264" i="1"/>
  <c r="AU264" i="1" s="1"/>
  <c r="AV264" i="1"/>
  <c r="AX264" i="1"/>
  <c r="AZ264" i="1"/>
  <c r="BA264" i="1"/>
  <c r="BB264" i="1"/>
  <c r="BC264" i="1"/>
  <c r="BI264" i="1"/>
  <c r="BJ264" i="1"/>
  <c r="BM264" i="1"/>
  <c r="BO264" i="1"/>
  <c r="BT264" i="1"/>
  <c r="AW264" i="1" s="1"/>
  <c r="BV264" i="1"/>
  <c r="BY264" i="1"/>
  <c r="CB264" i="1"/>
  <c r="CC264" i="1"/>
  <c r="CE264" i="1"/>
  <c r="CF264" i="1"/>
  <c r="CG264" i="1"/>
  <c r="CH264" i="1"/>
  <c r="CI264" i="1"/>
  <c r="CJ264" i="1"/>
  <c r="I265" i="1"/>
  <c r="N265" i="1"/>
  <c r="O265" i="1"/>
  <c r="P265" i="1"/>
  <c r="CA265" i="1" s="1"/>
  <c r="S265" i="1"/>
  <c r="V265" i="1" s="1"/>
  <c r="AC265" i="1"/>
  <c r="AI265" i="1"/>
  <c r="AO265" i="1"/>
  <c r="AR265" i="1"/>
  <c r="AS265" i="1"/>
  <c r="AT265" i="1"/>
  <c r="AU265" i="1" s="1"/>
  <c r="AV265" i="1"/>
  <c r="AX265" i="1"/>
  <c r="AZ265" i="1"/>
  <c r="BA265" i="1"/>
  <c r="BB265" i="1"/>
  <c r="BC265" i="1"/>
  <c r="BI265" i="1"/>
  <c r="BL265" i="1" s="1"/>
  <c r="BJ265" i="1"/>
  <c r="BM265" i="1"/>
  <c r="BO265" i="1"/>
  <c r="BT265" i="1"/>
  <c r="AW265" i="1" s="1"/>
  <c r="BV265" i="1"/>
  <c r="BY265" i="1"/>
  <c r="CB265" i="1"/>
  <c r="CC265" i="1"/>
  <c r="CE265" i="1"/>
  <c r="CF265" i="1"/>
  <c r="CG265" i="1"/>
  <c r="CH265" i="1"/>
  <c r="CI265" i="1"/>
  <c r="CJ265" i="1"/>
  <c r="I266" i="1"/>
  <c r="P266" i="1"/>
  <c r="CA266" i="1" s="1"/>
  <c r="AC266" i="1"/>
  <c r="AO266" i="1"/>
  <c r="AR266" i="1"/>
  <c r="AT266" i="1"/>
  <c r="AU266" i="1" s="1"/>
  <c r="BB266" i="1"/>
  <c r="BM266" i="1"/>
  <c r="BT266" i="1"/>
  <c r="AW266" i="1" s="1"/>
  <c r="BV266" i="1"/>
  <c r="BY266" i="1"/>
  <c r="I267" i="1"/>
  <c r="P267" i="1"/>
  <c r="CA267" i="1" s="1"/>
  <c r="S267" i="1"/>
  <c r="U267" i="1" s="1"/>
  <c r="AC267" i="1"/>
  <c r="AI267" i="1"/>
  <c r="S267" i="5" s="1"/>
  <c r="AO267" i="1"/>
  <c r="AR267" i="1"/>
  <c r="AS267" i="1"/>
  <c r="AT267" i="1"/>
  <c r="AU267" i="1" s="1"/>
  <c r="AV267" i="1"/>
  <c r="AX267" i="1"/>
  <c r="AZ267" i="1"/>
  <c r="BA267" i="1"/>
  <c r="BB267" i="1"/>
  <c r="BC267" i="1"/>
  <c r="BI267" i="1"/>
  <c r="BL267" i="1" s="1"/>
  <c r="BJ267" i="1"/>
  <c r="BM267" i="1"/>
  <c r="BO267" i="1"/>
  <c r="BT267" i="1"/>
  <c r="AW267" i="1" s="1"/>
  <c r="BV267" i="1"/>
  <c r="BY267" i="1"/>
  <c r="CB267" i="1"/>
  <c r="CC267" i="1"/>
  <c r="CE267" i="1"/>
  <c r="CF267" i="1"/>
  <c r="CG267" i="1"/>
  <c r="CH267" i="1"/>
  <c r="CI267" i="1"/>
  <c r="CJ267" i="1"/>
  <c r="I268" i="1"/>
  <c r="P268" i="1"/>
  <c r="CA268" i="1" s="1"/>
  <c r="S268" i="1"/>
  <c r="U268" i="1" s="1"/>
  <c r="AC268" i="1"/>
  <c r="AO268" i="1"/>
  <c r="AR268" i="1"/>
  <c r="AS268" i="1"/>
  <c r="AT268" i="1"/>
  <c r="AU268" i="1" s="1"/>
  <c r="AV268" i="1"/>
  <c r="AX268" i="1"/>
  <c r="AZ268" i="1"/>
  <c r="BA268" i="1"/>
  <c r="BB268" i="1"/>
  <c r="BC268" i="1"/>
  <c r="BI268" i="1"/>
  <c r="BL268" i="1" s="1"/>
  <c r="BJ268" i="1"/>
  <c r="BM268" i="1"/>
  <c r="BO268" i="1"/>
  <c r="BT268" i="1"/>
  <c r="AW268" i="1" s="1"/>
  <c r="BV268" i="1"/>
  <c r="BY268" i="1"/>
  <c r="CB268" i="1"/>
  <c r="CC268" i="1"/>
  <c r="CE268" i="1"/>
  <c r="CF268" i="1"/>
  <c r="CG268" i="1"/>
  <c r="CH268" i="1"/>
  <c r="CI268" i="1"/>
  <c r="CJ268" i="1"/>
  <c r="I269" i="1"/>
  <c r="N269" i="1"/>
  <c r="O269" i="1"/>
  <c r="P269" i="1"/>
  <c r="CA269" i="1" s="1"/>
  <c r="S269" i="1"/>
  <c r="AC269" i="1"/>
  <c r="AI269" i="1"/>
  <c r="AK269" i="1" s="1"/>
  <c r="AO269" i="1"/>
  <c r="AR269" i="1"/>
  <c r="AS269" i="1"/>
  <c r="AT269" i="1"/>
  <c r="AU269" i="1" s="1"/>
  <c r="AV269" i="1"/>
  <c r="AX269" i="1"/>
  <c r="AZ269" i="1"/>
  <c r="BA269" i="1"/>
  <c r="BB269" i="1"/>
  <c r="BC269" i="1"/>
  <c r="BI269" i="1"/>
  <c r="BL269" i="1" s="1"/>
  <c r="BJ269" i="1"/>
  <c r="BM269" i="1"/>
  <c r="BO269" i="1"/>
  <c r="BT269" i="1"/>
  <c r="AW269" i="1" s="1"/>
  <c r="BV269" i="1"/>
  <c r="BY269" i="1"/>
  <c r="CB269" i="1"/>
  <c r="CC269" i="1"/>
  <c r="CE269" i="1"/>
  <c r="CF269" i="1"/>
  <c r="CG269" i="1"/>
  <c r="CH269" i="1"/>
  <c r="CI269" i="1"/>
  <c r="CJ269" i="1"/>
  <c r="I270" i="1"/>
  <c r="N270" i="1"/>
  <c r="O270" i="1"/>
  <c r="P270" i="1"/>
  <c r="CA270" i="1" s="1"/>
  <c r="S270" i="1"/>
  <c r="G270" i="5" s="1"/>
  <c r="AC270" i="1"/>
  <c r="AI270" i="1"/>
  <c r="S270" i="5" s="1"/>
  <c r="AO270" i="1"/>
  <c r="K270" i="1" s="1"/>
  <c r="AR270" i="1"/>
  <c r="AS270" i="1"/>
  <c r="AT270" i="1"/>
  <c r="AU270" i="1" s="1"/>
  <c r="AV270" i="1"/>
  <c r="AX270" i="1"/>
  <c r="AZ270" i="1"/>
  <c r="BA270" i="1"/>
  <c r="BB270" i="1"/>
  <c r="BC270" i="1"/>
  <c r="BI270" i="1"/>
  <c r="BL270" i="1" s="1"/>
  <c r="BJ270" i="1"/>
  <c r="BM270" i="1"/>
  <c r="BO270" i="1"/>
  <c r="BT270" i="1"/>
  <c r="AW270" i="1" s="1"/>
  <c r="BV270" i="1"/>
  <c r="BY270" i="1"/>
  <c r="CB270" i="1"/>
  <c r="CC270" i="1"/>
  <c r="CE270" i="1"/>
  <c r="CF270" i="1"/>
  <c r="CG270" i="1"/>
  <c r="CH270" i="1"/>
  <c r="CI270" i="1"/>
  <c r="CJ270" i="1"/>
  <c r="I271" i="1"/>
  <c r="N271" i="1"/>
  <c r="O271" i="1"/>
  <c r="P271" i="1"/>
  <c r="CA271" i="1" s="1"/>
  <c r="S271" i="1"/>
  <c r="T271" i="1" s="1"/>
  <c r="AC271" i="1"/>
  <c r="AI271" i="1"/>
  <c r="S271" i="5" s="1"/>
  <c r="AO271" i="1"/>
  <c r="AR271" i="1"/>
  <c r="AS271" i="1"/>
  <c r="AT271" i="1"/>
  <c r="AU271" i="1" s="1"/>
  <c r="AV271" i="1"/>
  <c r="AX271" i="1"/>
  <c r="AZ271" i="1"/>
  <c r="BA271" i="1"/>
  <c r="BB271" i="1"/>
  <c r="BC271" i="1"/>
  <c r="BI271" i="1"/>
  <c r="BL271" i="1" s="1"/>
  <c r="BJ271" i="1"/>
  <c r="BM271" i="1"/>
  <c r="BO271" i="1"/>
  <c r="BT271" i="1"/>
  <c r="AW271" i="1" s="1"/>
  <c r="BV271" i="1"/>
  <c r="BY271" i="1"/>
  <c r="CB271" i="1"/>
  <c r="CC271" i="1"/>
  <c r="CE271" i="1"/>
  <c r="CF271" i="1"/>
  <c r="CG271" i="1"/>
  <c r="CH271" i="1"/>
  <c r="CI271" i="1"/>
  <c r="CJ271" i="1"/>
  <c r="I272" i="1"/>
  <c r="N272" i="1"/>
  <c r="O272" i="1"/>
  <c r="P272" i="1"/>
  <c r="CA272" i="1" s="1"/>
  <c r="S272" i="1"/>
  <c r="G272" i="5" s="1"/>
  <c r="AC272" i="1"/>
  <c r="AI272" i="1"/>
  <c r="AO272" i="1"/>
  <c r="AR272" i="1"/>
  <c r="AS272" i="1"/>
  <c r="AT272" i="1"/>
  <c r="AU272" i="1" s="1"/>
  <c r="AV272" i="1"/>
  <c r="AX272" i="1"/>
  <c r="BA272" i="1"/>
  <c r="BB272" i="1"/>
  <c r="BC272" i="1"/>
  <c r="BI272" i="1"/>
  <c r="BL272" i="1" s="1"/>
  <c r="BJ272" i="1"/>
  <c r="BM272" i="1"/>
  <c r="BO272" i="1"/>
  <c r="BT272" i="1"/>
  <c r="AW272" i="1" s="1"/>
  <c r="BV272" i="1"/>
  <c r="BY272" i="1"/>
  <c r="CB272" i="1"/>
  <c r="CC272" i="1"/>
  <c r="CE272" i="1"/>
  <c r="CF272" i="1"/>
  <c r="CG272" i="1"/>
  <c r="CH272" i="1"/>
  <c r="CI272" i="1"/>
  <c r="CJ272" i="1"/>
  <c r="N273" i="1"/>
  <c r="O273" i="1"/>
  <c r="P273" i="1"/>
  <c r="CA273" i="1" s="1"/>
  <c r="AC273" i="1"/>
  <c r="AI273" i="1"/>
  <c r="AO273" i="1"/>
  <c r="BD273" i="1" s="1"/>
  <c r="AR273" i="1"/>
  <c r="AS273" i="1"/>
  <c r="AT273" i="1"/>
  <c r="AU273" i="1" s="1"/>
  <c r="AV273" i="1"/>
  <c r="AX273" i="1"/>
  <c r="AZ273" i="1"/>
  <c r="BA273" i="1"/>
  <c r="BB273" i="1"/>
  <c r="BC273" i="1"/>
  <c r="BI273" i="1"/>
  <c r="BJ273" i="1"/>
  <c r="BM273" i="1"/>
  <c r="BO273" i="1"/>
  <c r="BT273" i="1"/>
  <c r="AW273" i="1" s="1"/>
  <c r="BV273" i="1"/>
  <c r="BY273" i="1"/>
  <c r="CB273" i="1"/>
  <c r="CC273" i="1"/>
  <c r="CE273" i="1"/>
  <c r="CF273" i="1"/>
  <c r="CG273" i="1"/>
  <c r="CH273" i="1"/>
  <c r="CI273" i="1"/>
  <c r="CJ273" i="1"/>
  <c r="I274" i="1"/>
  <c r="N274" i="1"/>
  <c r="O274" i="1"/>
  <c r="P274" i="1"/>
  <c r="CA274" i="1" s="1"/>
  <c r="S274" i="1"/>
  <c r="U274" i="1" s="1"/>
  <c r="AC274" i="1"/>
  <c r="AO274" i="1"/>
  <c r="AR274" i="1"/>
  <c r="AS274" i="1"/>
  <c r="AT274" i="1"/>
  <c r="AU274" i="1" s="1"/>
  <c r="AV274" i="1"/>
  <c r="AX274" i="1"/>
  <c r="AZ274" i="1"/>
  <c r="BA274" i="1"/>
  <c r="BB274" i="1"/>
  <c r="BC274" i="1"/>
  <c r="BI274" i="1"/>
  <c r="BJ274" i="1"/>
  <c r="BM274" i="1"/>
  <c r="BO274" i="1"/>
  <c r="BT274" i="1"/>
  <c r="AW274" i="1" s="1"/>
  <c r="BV274" i="1"/>
  <c r="BY274" i="1"/>
  <c r="CB274" i="1"/>
  <c r="CC274" i="1"/>
  <c r="CE274" i="1"/>
  <c r="CF274" i="1"/>
  <c r="CG274" i="1"/>
  <c r="CH274" i="1"/>
  <c r="CI274" i="1"/>
  <c r="CJ274" i="1"/>
  <c r="I275" i="1"/>
  <c r="N275" i="1"/>
  <c r="O275" i="1"/>
  <c r="P275" i="1"/>
  <c r="S275" i="1"/>
  <c r="G275" i="5" s="1"/>
  <c r="AC275" i="1"/>
  <c r="AI275" i="1"/>
  <c r="AO275" i="1"/>
  <c r="AR275" i="1"/>
  <c r="AS275" i="1"/>
  <c r="AT275" i="1"/>
  <c r="AU275" i="1" s="1"/>
  <c r="AV275" i="1"/>
  <c r="AX275" i="1"/>
  <c r="AZ275" i="1"/>
  <c r="BA275" i="1"/>
  <c r="BB275" i="1"/>
  <c r="BC275" i="1"/>
  <c r="BI275" i="1"/>
  <c r="BL275" i="1" s="1"/>
  <c r="BJ275" i="1"/>
  <c r="BM275" i="1"/>
  <c r="BO275" i="1"/>
  <c r="BT275" i="1"/>
  <c r="AW275" i="1" s="1"/>
  <c r="BV275" i="1"/>
  <c r="BY275" i="1"/>
  <c r="CB275" i="1"/>
  <c r="CC275" i="1"/>
  <c r="CE275" i="1"/>
  <c r="CF275" i="1"/>
  <c r="CG275" i="1"/>
  <c r="CH275" i="1"/>
  <c r="CI275" i="1"/>
  <c r="CJ275" i="1"/>
  <c r="I276" i="1"/>
  <c r="P276" i="1"/>
  <c r="S276" i="1"/>
  <c r="T276" i="1" s="1"/>
  <c r="AC276" i="1"/>
  <c r="AO276" i="1"/>
  <c r="AR276" i="1"/>
  <c r="AS276" i="1"/>
  <c r="AT276" i="1"/>
  <c r="AU276" i="1" s="1"/>
  <c r="AV276" i="1"/>
  <c r="AX276" i="1"/>
  <c r="AZ276" i="1"/>
  <c r="BA276" i="1"/>
  <c r="BB276" i="1"/>
  <c r="BC276" i="1"/>
  <c r="BI276" i="1"/>
  <c r="BL276" i="1" s="1"/>
  <c r="BJ276" i="1"/>
  <c r="BM276" i="1"/>
  <c r="BO276" i="1"/>
  <c r="BT276" i="1"/>
  <c r="AW276" i="1" s="1"/>
  <c r="BV276" i="1"/>
  <c r="BY276" i="1"/>
  <c r="CB276" i="1"/>
  <c r="CC276" i="1"/>
  <c r="CE276" i="1"/>
  <c r="CF276" i="1"/>
  <c r="CG276" i="1"/>
  <c r="CH276" i="1"/>
  <c r="CI276" i="1"/>
  <c r="CJ276" i="1"/>
  <c r="I277" i="1"/>
  <c r="P277" i="1"/>
  <c r="S277" i="1"/>
  <c r="T277" i="1" s="1"/>
  <c r="AC277" i="1"/>
  <c r="AO277" i="1"/>
  <c r="K277" i="1" s="1"/>
  <c r="AR277" i="1"/>
  <c r="AS277" i="1"/>
  <c r="AT277" i="1"/>
  <c r="AU277" i="1" s="1"/>
  <c r="AV277" i="1"/>
  <c r="AX277" i="1"/>
  <c r="AZ277" i="1"/>
  <c r="BA277" i="1"/>
  <c r="BB277" i="1"/>
  <c r="BC277" i="1"/>
  <c r="BI277" i="1"/>
  <c r="BJ277" i="1"/>
  <c r="BM277" i="1"/>
  <c r="BO277" i="1"/>
  <c r="BT277" i="1"/>
  <c r="AW277" i="1" s="1"/>
  <c r="BV277" i="1"/>
  <c r="BY277" i="1"/>
  <c r="CB277" i="1"/>
  <c r="CC277" i="1"/>
  <c r="CE277" i="1"/>
  <c r="CF277" i="1"/>
  <c r="CG277" i="1"/>
  <c r="CH277" i="1"/>
  <c r="CI277" i="1"/>
  <c r="CJ277" i="1"/>
  <c r="I278" i="1"/>
  <c r="P278" i="1"/>
  <c r="AC278" i="1"/>
  <c r="AO278" i="1"/>
  <c r="AR278" i="1"/>
  <c r="AS278" i="1"/>
  <c r="AT278" i="1"/>
  <c r="AU278" i="1" s="1"/>
  <c r="AV278" i="1"/>
  <c r="BA278" i="1"/>
  <c r="BB278" i="1"/>
  <c r="BM278" i="1"/>
  <c r="BT278" i="1"/>
  <c r="AW278" i="1" s="1"/>
  <c r="BV278" i="1"/>
  <c r="BY278" i="1"/>
  <c r="I279" i="1"/>
  <c r="P279" i="1"/>
  <c r="AC279" i="1"/>
  <c r="AO279" i="1"/>
  <c r="AR279" i="1"/>
  <c r="AS279" i="1"/>
  <c r="AT279" i="1"/>
  <c r="AU279" i="1" s="1"/>
  <c r="AV279" i="1"/>
  <c r="BB279" i="1"/>
  <c r="BM279" i="1"/>
  <c r="BT279" i="1"/>
  <c r="AW279" i="1" s="1"/>
  <c r="BV279" i="1"/>
  <c r="BY279" i="1"/>
  <c r="I280" i="1"/>
  <c r="N280" i="1"/>
  <c r="O280" i="1"/>
  <c r="P280" i="1"/>
  <c r="CA280" i="1" s="1"/>
  <c r="S280" i="1"/>
  <c r="G280" i="5" s="1"/>
  <c r="AC280" i="1"/>
  <c r="AO280" i="1"/>
  <c r="AR280" i="1"/>
  <c r="AS280" i="1"/>
  <c r="AT280" i="1"/>
  <c r="AU280" i="1" s="1"/>
  <c r="AV280" i="1"/>
  <c r="AX280" i="1"/>
  <c r="AZ280" i="1"/>
  <c r="BA280" i="1"/>
  <c r="BB280" i="1"/>
  <c r="BC280" i="1"/>
  <c r="BI280" i="1"/>
  <c r="BL280" i="1" s="1"/>
  <c r="BJ280" i="1"/>
  <c r="BM280" i="1"/>
  <c r="BO280" i="1"/>
  <c r="BT280" i="1"/>
  <c r="AW280" i="1" s="1"/>
  <c r="BV280" i="1"/>
  <c r="BY280" i="1"/>
  <c r="CB280" i="1"/>
  <c r="CC280" i="1"/>
  <c r="CE280" i="1"/>
  <c r="CF280" i="1"/>
  <c r="CG280" i="1"/>
  <c r="CH280" i="1"/>
  <c r="CI280" i="1"/>
  <c r="CJ280" i="1"/>
  <c r="P281" i="1"/>
  <c r="CA281" i="1" s="1"/>
  <c r="AC281" i="1"/>
  <c r="AI281" i="1"/>
  <c r="S281" i="5" s="1"/>
  <c r="AO281" i="1"/>
  <c r="AR281" i="1"/>
  <c r="AS281" i="1"/>
  <c r="AT281" i="1"/>
  <c r="AU281" i="1" s="1"/>
  <c r="AV281" i="1"/>
  <c r="AX281" i="1"/>
  <c r="BA281" i="1"/>
  <c r="BB281" i="1"/>
  <c r="BC281" i="1"/>
  <c r="BI281" i="1"/>
  <c r="BJ281" i="1"/>
  <c r="BM281" i="1"/>
  <c r="BO281" i="1"/>
  <c r="BT281" i="1"/>
  <c r="AW281" i="1" s="1"/>
  <c r="BV281" i="1"/>
  <c r="BY281" i="1"/>
  <c r="CB281" i="1"/>
  <c r="CC281" i="1"/>
  <c r="CE281" i="1"/>
  <c r="CF281" i="1"/>
  <c r="CG281" i="1"/>
  <c r="CH281" i="1"/>
  <c r="CI281" i="1"/>
  <c r="CJ281" i="1"/>
  <c r="I282" i="1"/>
  <c r="N282" i="1"/>
  <c r="O282" i="1"/>
  <c r="P282" i="1"/>
  <c r="AC282" i="1"/>
  <c r="AI282" i="1"/>
  <c r="S282" i="5" s="1"/>
  <c r="AO282" i="1"/>
  <c r="AR282" i="1"/>
  <c r="AS282" i="1"/>
  <c r="AT282" i="1"/>
  <c r="AU282" i="1" s="1"/>
  <c r="AV282" i="1"/>
  <c r="AX282" i="1"/>
  <c r="BA282" i="1"/>
  <c r="BB282" i="1"/>
  <c r="BC282" i="1"/>
  <c r="BI282" i="1"/>
  <c r="BJ282" i="1"/>
  <c r="BM282" i="1"/>
  <c r="BO282" i="1"/>
  <c r="BT282" i="1"/>
  <c r="AW282" i="1" s="1"/>
  <c r="BV282" i="1"/>
  <c r="BY282" i="1"/>
  <c r="CB282" i="1"/>
  <c r="CC282" i="1"/>
  <c r="CE282" i="1"/>
  <c r="CF282" i="1"/>
  <c r="CG282" i="1"/>
  <c r="CH282" i="1"/>
  <c r="CI282" i="1"/>
  <c r="CJ282" i="1"/>
  <c r="I283" i="1"/>
  <c r="N283" i="1"/>
  <c r="O283" i="1"/>
  <c r="P283" i="1"/>
  <c r="CA283" i="1" s="1"/>
  <c r="S283" i="1"/>
  <c r="U283" i="1" s="1"/>
  <c r="AC283" i="1"/>
  <c r="AI283" i="1"/>
  <c r="AK283" i="1" s="1"/>
  <c r="AO283" i="1"/>
  <c r="AR283" i="1"/>
  <c r="AS283" i="1"/>
  <c r="AT283" i="1"/>
  <c r="AU283" i="1" s="1"/>
  <c r="AV283" i="1"/>
  <c r="AX283" i="1"/>
  <c r="BA283" i="1"/>
  <c r="BB283" i="1"/>
  <c r="BC283" i="1"/>
  <c r="BI283" i="1"/>
  <c r="BL283" i="1" s="1"/>
  <c r="BJ283" i="1"/>
  <c r="BM283" i="1"/>
  <c r="BO283" i="1"/>
  <c r="BT283" i="1"/>
  <c r="AW283" i="1" s="1"/>
  <c r="BV283" i="1"/>
  <c r="BY283" i="1"/>
  <c r="CB283" i="1"/>
  <c r="CC283" i="1"/>
  <c r="CE283" i="1"/>
  <c r="CF283" i="1"/>
  <c r="CG283" i="1"/>
  <c r="CH283" i="1"/>
  <c r="CI283" i="1"/>
  <c r="CJ283" i="1"/>
  <c r="I284" i="1"/>
  <c r="N284" i="1"/>
  <c r="O284" i="1"/>
  <c r="P284" i="1"/>
  <c r="CA284" i="1" s="1"/>
  <c r="S284" i="1"/>
  <c r="AC284" i="1"/>
  <c r="AO284" i="1"/>
  <c r="AR284" i="1"/>
  <c r="AS284" i="1"/>
  <c r="AT284" i="1"/>
  <c r="AU284" i="1" s="1"/>
  <c r="AV284" i="1"/>
  <c r="AX284" i="1"/>
  <c r="BA284" i="1"/>
  <c r="BB284" i="1"/>
  <c r="BC284" i="1"/>
  <c r="BI284" i="1"/>
  <c r="BL284" i="1" s="1"/>
  <c r="BJ284" i="1"/>
  <c r="BM284" i="1"/>
  <c r="BO284" i="1"/>
  <c r="BT284" i="1"/>
  <c r="AW284" i="1" s="1"/>
  <c r="BV284" i="1"/>
  <c r="BY284" i="1"/>
  <c r="CB284" i="1"/>
  <c r="CC284" i="1"/>
  <c r="CE284" i="1"/>
  <c r="CF284" i="1"/>
  <c r="CG284" i="1"/>
  <c r="CH284" i="1"/>
  <c r="CI284" i="1"/>
  <c r="CJ284" i="1"/>
  <c r="I285" i="1"/>
  <c r="N285" i="1"/>
  <c r="O285" i="1"/>
  <c r="P285" i="1"/>
  <c r="CA285" i="1" s="1"/>
  <c r="AC285" i="1"/>
  <c r="AI285" i="1"/>
  <c r="AJ285" i="1" s="1"/>
  <c r="AO285" i="1"/>
  <c r="AR285" i="1"/>
  <c r="AS285" i="1"/>
  <c r="AT285" i="1"/>
  <c r="AU285" i="1" s="1"/>
  <c r="AV285" i="1"/>
  <c r="AX285" i="1"/>
  <c r="BA285" i="1"/>
  <c r="BB285" i="1"/>
  <c r="BC285" i="1"/>
  <c r="BI285" i="1"/>
  <c r="BL285" i="1" s="1"/>
  <c r="BJ285" i="1"/>
  <c r="BM285" i="1"/>
  <c r="BO285" i="1"/>
  <c r="BT285" i="1"/>
  <c r="AW285" i="1" s="1"/>
  <c r="BV285" i="1"/>
  <c r="BY285" i="1"/>
  <c r="CB285" i="1"/>
  <c r="CC285" i="1"/>
  <c r="CE285" i="1"/>
  <c r="CF285" i="1"/>
  <c r="CG285" i="1"/>
  <c r="CH285" i="1"/>
  <c r="CI285" i="1"/>
  <c r="CJ285" i="1"/>
  <c r="I286" i="1"/>
  <c r="N286" i="1"/>
  <c r="O286" i="1"/>
  <c r="P286" i="1"/>
  <c r="S286" i="1"/>
  <c r="U286" i="1" s="1"/>
  <c r="AC286" i="1"/>
  <c r="AO286" i="1"/>
  <c r="BC301" i="3" s="1"/>
  <c r="BM301" i="3" s="1"/>
  <c r="AR286" i="1"/>
  <c r="AS286" i="1"/>
  <c r="AT286" i="1"/>
  <c r="AU286" i="1" s="1"/>
  <c r="AV286" i="1"/>
  <c r="AX286" i="1"/>
  <c r="BA286" i="1"/>
  <c r="BB286" i="1"/>
  <c r="BC286" i="1"/>
  <c r="BI286" i="1"/>
  <c r="BJ286" i="1"/>
  <c r="BM286" i="1"/>
  <c r="BO286" i="1"/>
  <c r="BT286" i="1"/>
  <c r="AW286" i="1" s="1"/>
  <c r="BV286" i="1"/>
  <c r="BY286" i="1"/>
  <c r="CB286" i="1"/>
  <c r="CC286" i="1"/>
  <c r="CE286" i="1"/>
  <c r="CF286" i="1"/>
  <c r="CG286" i="1"/>
  <c r="CH286" i="1"/>
  <c r="CI286" i="1"/>
  <c r="CJ286" i="1"/>
  <c r="I287" i="1"/>
  <c r="P287" i="1"/>
  <c r="S287" i="1"/>
  <c r="T287" i="1" s="1"/>
  <c r="AC287" i="1"/>
  <c r="AI287" i="1"/>
  <c r="AK287" i="1" s="1"/>
  <c r="AO287" i="1"/>
  <c r="AR287" i="1"/>
  <c r="AS287" i="1"/>
  <c r="AT287" i="1"/>
  <c r="AU287" i="1" s="1"/>
  <c r="AV287" i="1"/>
  <c r="AX287" i="1"/>
  <c r="BA287" i="1"/>
  <c r="BB287" i="1"/>
  <c r="BC287" i="1"/>
  <c r="BI287" i="1"/>
  <c r="BL287" i="1" s="1"/>
  <c r="BJ287" i="1"/>
  <c r="BM287" i="1"/>
  <c r="BO287" i="1"/>
  <c r="BT287" i="1"/>
  <c r="AW287" i="1" s="1"/>
  <c r="BV287" i="1"/>
  <c r="BY287" i="1"/>
  <c r="CB287" i="1"/>
  <c r="CC287" i="1"/>
  <c r="CE287" i="1"/>
  <c r="CF287" i="1"/>
  <c r="CG287" i="1"/>
  <c r="CH287" i="1"/>
  <c r="CI287" i="1"/>
  <c r="CJ287" i="1"/>
  <c r="I288" i="1"/>
  <c r="P288" i="1"/>
  <c r="CA288" i="1" s="1"/>
  <c r="S288" i="1"/>
  <c r="G288" i="5" s="1"/>
  <c r="AC288" i="1"/>
  <c r="AI288" i="1"/>
  <c r="AM288" i="1" s="1"/>
  <c r="AO288" i="1"/>
  <c r="AR288" i="1"/>
  <c r="AS288" i="1"/>
  <c r="AT288" i="1"/>
  <c r="AU288" i="1" s="1"/>
  <c r="AV288" i="1"/>
  <c r="AX288" i="1"/>
  <c r="BA288" i="1"/>
  <c r="BB288" i="1"/>
  <c r="BC288" i="1"/>
  <c r="BI288" i="1"/>
  <c r="BL288" i="1" s="1"/>
  <c r="BJ288" i="1"/>
  <c r="BM288" i="1"/>
  <c r="BO288" i="1"/>
  <c r="BT288" i="1"/>
  <c r="AW288" i="1" s="1"/>
  <c r="BV288" i="1"/>
  <c r="BY288" i="1"/>
  <c r="CB288" i="1"/>
  <c r="CC288" i="1"/>
  <c r="CE288" i="1"/>
  <c r="CF288" i="1"/>
  <c r="CG288" i="1"/>
  <c r="CH288" i="1"/>
  <c r="CI288" i="1"/>
  <c r="CJ288" i="1"/>
  <c r="I289" i="1"/>
  <c r="P289" i="1"/>
  <c r="CA289" i="1" s="1"/>
  <c r="S289" i="1"/>
  <c r="T289" i="1" s="1"/>
  <c r="AC289" i="1"/>
  <c r="AI289" i="1"/>
  <c r="S289" i="5" s="1"/>
  <c r="AO289" i="1"/>
  <c r="AR289" i="1"/>
  <c r="AS289" i="1"/>
  <c r="AT289" i="1"/>
  <c r="AU289" i="1" s="1"/>
  <c r="AV289" i="1"/>
  <c r="AX289" i="1"/>
  <c r="AZ289" i="1"/>
  <c r="BA289" i="1"/>
  <c r="BB289" i="1"/>
  <c r="BC289" i="1"/>
  <c r="BI289" i="1"/>
  <c r="BL289" i="1" s="1"/>
  <c r="BJ289" i="1"/>
  <c r="BM289" i="1"/>
  <c r="BO289" i="1"/>
  <c r="BT289" i="1"/>
  <c r="AW289" i="1" s="1"/>
  <c r="BV289" i="1"/>
  <c r="BY289" i="1"/>
  <c r="CB289" i="1"/>
  <c r="CC289" i="1"/>
  <c r="CE289" i="1"/>
  <c r="CF289" i="1"/>
  <c r="CG289" i="1"/>
  <c r="CH289" i="1"/>
  <c r="CI289" i="1"/>
  <c r="CJ289" i="1"/>
  <c r="I290" i="1"/>
  <c r="BM290" i="1" s="1"/>
  <c r="P290" i="1"/>
  <c r="CA290" i="1" s="1"/>
  <c r="S290" i="1"/>
  <c r="AC290" i="1"/>
  <c r="AI290" i="1"/>
  <c r="S290" i="5" s="1"/>
  <c r="AO290" i="1"/>
  <c r="AR290" i="1"/>
  <c r="AS290" i="1"/>
  <c r="AT290" i="1"/>
  <c r="AU290" i="1" s="1"/>
  <c r="AV290" i="1"/>
  <c r="AX290" i="1"/>
  <c r="AZ290" i="1"/>
  <c r="BA290" i="1"/>
  <c r="BB290" i="1"/>
  <c r="BC290" i="1"/>
  <c r="BI290" i="1"/>
  <c r="BL290" i="1" s="1"/>
  <c r="BJ290" i="1"/>
  <c r="BO290" i="1"/>
  <c r="BT290" i="1"/>
  <c r="AW290" i="1" s="1"/>
  <c r="BV290" i="1"/>
  <c r="BY290" i="1"/>
  <c r="CB290" i="1"/>
  <c r="CC290" i="1"/>
  <c r="CE290" i="1"/>
  <c r="CF290" i="1"/>
  <c r="CG290" i="1"/>
  <c r="CH290" i="1"/>
  <c r="CI290" i="1"/>
  <c r="CJ290" i="1"/>
  <c r="I291" i="1"/>
  <c r="P291" i="1"/>
  <c r="S291" i="1"/>
  <c r="AC291" i="1"/>
  <c r="AI291" i="1"/>
  <c r="AJ291" i="1" s="1"/>
  <c r="AO291" i="1"/>
  <c r="AR291" i="1"/>
  <c r="AS291" i="1"/>
  <c r="AT291" i="1"/>
  <c r="AU291" i="1" s="1"/>
  <c r="AV291" i="1"/>
  <c r="AX291" i="1"/>
  <c r="BA291" i="1"/>
  <c r="BB291" i="1"/>
  <c r="BC291" i="1"/>
  <c r="BI291" i="1"/>
  <c r="BJ291" i="1"/>
  <c r="BM291" i="1"/>
  <c r="BO291" i="1"/>
  <c r="BT291" i="1"/>
  <c r="AW291" i="1" s="1"/>
  <c r="BV291" i="1"/>
  <c r="BY291" i="1"/>
  <c r="CB291" i="1"/>
  <c r="CC291" i="1"/>
  <c r="CE291" i="1"/>
  <c r="CF291" i="1"/>
  <c r="CG291" i="1"/>
  <c r="CH291" i="1"/>
  <c r="CI291" i="1"/>
  <c r="CJ291" i="1"/>
  <c r="I292" i="1"/>
  <c r="N292" i="1"/>
  <c r="O292" i="1"/>
  <c r="P292" i="1"/>
  <c r="CA292" i="1" s="1"/>
  <c r="S292" i="1"/>
  <c r="T292" i="1" s="1"/>
  <c r="AC292" i="1"/>
  <c r="AI292" i="1"/>
  <c r="AJ292" i="1" s="1"/>
  <c r="AO292" i="1"/>
  <c r="AR292" i="1"/>
  <c r="AS292" i="1"/>
  <c r="AT292" i="1"/>
  <c r="AU292" i="1" s="1"/>
  <c r="AV292" i="1"/>
  <c r="AX292" i="1"/>
  <c r="BA292" i="1"/>
  <c r="BB292" i="1"/>
  <c r="BC292" i="1"/>
  <c r="BI292" i="1"/>
  <c r="BL292" i="1" s="1"/>
  <c r="BJ292" i="1"/>
  <c r="BM292" i="1"/>
  <c r="BO292" i="1"/>
  <c r="BT292" i="1"/>
  <c r="AW292" i="1" s="1"/>
  <c r="BV292" i="1"/>
  <c r="BY292" i="1"/>
  <c r="CB292" i="1"/>
  <c r="CC292" i="1"/>
  <c r="CE292" i="1"/>
  <c r="CF292" i="1"/>
  <c r="CG292" i="1"/>
  <c r="CH292" i="1"/>
  <c r="CI292" i="1"/>
  <c r="CJ292" i="1"/>
  <c r="I293" i="1"/>
  <c r="N293" i="1"/>
  <c r="O293" i="1"/>
  <c r="P293" i="1"/>
  <c r="CA293" i="1" s="1"/>
  <c r="AC293" i="1"/>
  <c r="AO293" i="1"/>
  <c r="AR293" i="1"/>
  <c r="AS293" i="1"/>
  <c r="AT293" i="1"/>
  <c r="AU293" i="1" s="1"/>
  <c r="AV293" i="1"/>
  <c r="AX293" i="1"/>
  <c r="AZ293" i="1"/>
  <c r="BA293" i="1"/>
  <c r="BB293" i="1"/>
  <c r="BC293" i="1"/>
  <c r="BI293" i="1"/>
  <c r="BL293" i="1" s="1"/>
  <c r="BJ293" i="1"/>
  <c r="BM293" i="1"/>
  <c r="BO293" i="1"/>
  <c r="BT293" i="1"/>
  <c r="AW293" i="1" s="1"/>
  <c r="BV293" i="1"/>
  <c r="BY293" i="1"/>
  <c r="CB293" i="1"/>
  <c r="CC293" i="1"/>
  <c r="CE293" i="1"/>
  <c r="CF293" i="1"/>
  <c r="CG293" i="1"/>
  <c r="CH293" i="1"/>
  <c r="CI293" i="1"/>
  <c r="CJ293" i="1"/>
  <c r="I294" i="1"/>
  <c r="N294" i="1"/>
  <c r="O294" i="1"/>
  <c r="P294" i="1"/>
  <c r="CA294" i="1" s="1"/>
  <c r="S294" i="1"/>
  <c r="AC294" i="1"/>
  <c r="AO294" i="1"/>
  <c r="BC265" i="3" s="1"/>
  <c r="AR294" i="1"/>
  <c r="AS294" i="1"/>
  <c r="AT294" i="1"/>
  <c r="AU294" i="1" s="1"/>
  <c r="AV294" i="1"/>
  <c r="AX294" i="1"/>
  <c r="AZ294" i="1"/>
  <c r="BA294" i="1"/>
  <c r="BB294" i="1"/>
  <c r="BC294" i="1"/>
  <c r="BI294" i="1"/>
  <c r="BL294" i="1" s="1"/>
  <c r="BJ294" i="1"/>
  <c r="BM294" i="1"/>
  <c r="BO294" i="1"/>
  <c r="BT294" i="1"/>
  <c r="AW294" i="1" s="1"/>
  <c r="BV294" i="1"/>
  <c r="BY294" i="1"/>
  <c r="CB294" i="1"/>
  <c r="CC294" i="1"/>
  <c r="CE294" i="1"/>
  <c r="CF294" i="1"/>
  <c r="CG294" i="1"/>
  <c r="CH294" i="1"/>
  <c r="CI294" i="1"/>
  <c r="CJ294" i="1"/>
  <c r="N295" i="1"/>
  <c r="O295" i="1"/>
  <c r="P295" i="1"/>
  <c r="CA295" i="1" s="1"/>
  <c r="AC295" i="1"/>
  <c r="AI295" i="1"/>
  <c r="S295" i="5" s="1"/>
  <c r="AO295" i="1"/>
  <c r="AR295" i="1"/>
  <c r="AS295" i="1"/>
  <c r="AT295" i="1"/>
  <c r="AU295" i="1" s="1"/>
  <c r="AV295" i="1"/>
  <c r="AX295" i="1"/>
  <c r="AZ295" i="1"/>
  <c r="BA295" i="1"/>
  <c r="BB295" i="1"/>
  <c r="BC295" i="1"/>
  <c r="BI295" i="1"/>
  <c r="BL295" i="1" s="1"/>
  <c r="BJ295" i="1"/>
  <c r="BM295" i="1"/>
  <c r="BO295" i="1"/>
  <c r="BT295" i="1"/>
  <c r="AW295" i="1" s="1"/>
  <c r="BV295" i="1"/>
  <c r="BY295" i="1"/>
  <c r="CB295" i="1"/>
  <c r="CC295" i="1"/>
  <c r="CE295" i="1"/>
  <c r="CF295" i="1"/>
  <c r="CG295" i="1"/>
  <c r="CH295" i="1"/>
  <c r="CI295" i="1"/>
  <c r="CJ295" i="1"/>
  <c r="I296" i="1"/>
  <c r="P296" i="1"/>
  <c r="S296" i="1"/>
  <c r="T296" i="1" s="1"/>
  <c r="AC296" i="1"/>
  <c r="AI296" i="1"/>
  <c r="AJ296" i="1" s="1"/>
  <c r="AO296" i="1"/>
  <c r="AR296" i="1"/>
  <c r="AS296" i="1"/>
  <c r="AT296" i="1"/>
  <c r="AU296" i="1" s="1"/>
  <c r="AV296" i="1"/>
  <c r="AX296" i="1"/>
  <c r="BA296" i="1"/>
  <c r="BB296" i="1"/>
  <c r="BC296" i="1"/>
  <c r="BI296" i="1"/>
  <c r="BJ296" i="1"/>
  <c r="BM296" i="1"/>
  <c r="BO296" i="1"/>
  <c r="BT296" i="1"/>
  <c r="AW296" i="1" s="1"/>
  <c r="BV296" i="1"/>
  <c r="BY296" i="1"/>
  <c r="CB296" i="1"/>
  <c r="CC296" i="1"/>
  <c r="CE296" i="1"/>
  <c r="CF296" i="1"/>
  <c r="CG296" i="1"/>
  <c r="CH296" i="1"/>
  <c r="CI296" i="1"/>
  <c r="CJ296" i="1"/>
  <c r="I297" i="1"/>
  <c r="P297" i="1"/>
  <c r="S297" i="1"/>
  <c r="U297" i="1" s="1"/>
  <c r="AC297" i="1"/>
  <c r="AI297" i="1"/>
  <c r="S297" i="5" s="1"/>
  <c r="AO297" i="1"/>
  <c r="AP297" i="1" s="1"/>
  <c r="AB297" i="5" s="1"/>
  <c r="AR297" i="1"/>
  <c r="AS297" i="1"/>
  <c r="AT297" i="1"/>
  <c r="AU297" i="1" s="1"/>
  <c r="AV297" i="1"/>
  <c r="AX297" i="1"/>
  <c r="AZ297" i="1"/>
  <c r="BA297" i="1"/>
  <c r="BB297" i="1"/>
  <c r="BC297" i="1"/>
  <c r="BI297" i="1"/>
  <c r="BJ297" i="1"/>
  <c r="BM297" i="1"/>
  <c r="BO297" i="1"/>
  <c r="BT297" i="1"/>
  <c r="AW297" i="1" s="1"/>
  <c r="BV297" i="1"/>
  <c r="BY297" i="1"/>
  <c r="CB297" i="1"/>
  <c r="CC297" i="1"/>
  <c r="CE297" i="1"/>
  <c r="CF297" i="1"/>
  <c r="CG297" i="1"/>
  <c r="CH297" i="1"/>
  <c r="CI297" i="1"/>
  <c r="CJ297" i="1"/>
  <c r="I298" i="1"/>
  <c r="P298" i="1"/>
  <c r="S298" i="1"/>
  <c r="T298" i="1" s="1"/>
  <c r="AC298" i="1"/>
  <c r="AO298" i="1"/>
  <c r="J298" i="1" s="1"/>
  <c r="CD298" i="1" s="1"/>
  <c r="AR298" i="1"/>
  <c r="AS298" i="1"/>
  <c r="AT298" i="1"/>
  <c r="AU298" i="1" s="1"/>
  <c r="AV298" i="1"/>
  <c r="AX298" i="1"/>
  <c r="AZ298" i="1"/>
  <c r="BA298" i="1"/>
  <c r="BB298" i="1"/>
  <c r="BC298" i="1"/>
  <c r="BI298" i="1"/>
  <c r="BL298" i="1" s="1"/>
  <c r="BJ298" i="1"/>
  <c r="BM298" i="1"/>
  <c r="BO298" i="1"/>
  <c r="BT298" i="1"/>
  <c r="AW298" i="1" s="1"/>
  <c r="BV298" i="1"/>
  <c r="BY298" i="1"/>
  <c r="CB298" i="1"/>
  <c r="CC298" i="1"/>
  <c r="CE298" i="1"/>
  <c r="CF298" i="1"/>
  <c r="CG298" i="1"/>
  <c r="CH298" i="1"/>
  <c r="CI298" i="1"/>
  <c r="CJ298" i="1"/>
  <c r="I299" i="1"/>
  <c r="P299" i="1"/>
  <c r="S299" i="1"/>
  <c r="T299" i="1" s="1"/>
  <c r="AC299" i="1"/>
  <c r="AI299" i="1"/>
  <c r="AM299" i="1" s="1"/>
  <c r="AO299" i="1"/>
  <c r="AR299" i="1"/>
  <c r="AS299" i="1"/>
  <c r="AT299" i="1"/>
  <c r="AU299" i="1" s="1"/>
  <c r="AV299" i="1"/>
  <c r="AX299" i="1"/>
  <c r="AZ299" i="1"/>
  <c r="BA299" i="1"/>
  <c r="BB299" i="1"/>
  <c r="BC299" i="1"/>
  <c r="BI299" i="1"/>
  <c r="BL299" i="1" s="1"/>
  <c r="BJ299" i="1"/>
  <c r="BM299" i="1"/>
  <c r="BO299" i="1"/>
  <c r="BT299" i="1"/>
  <c r="AW299" i="1" s="1"/>
  <c r="BV299" i="1"/>
  <c r="BY299" i="1"/>
  <c r="CB299" i="1"/>
  <c r="CC299" i="1"/>
  <c r="CE299" i="1"/>
  <c r="CF299" i="1"/>
  <c r="CG299" i="1"/>
  <c r="CH299" i="1"/>
  <c r="CI299" i="1"/>
  <c r="CJ299" i="1"/>
  <c r="I300" i="1"/>
  <c r="P300" i="1"/>
  <c r="CA300" i="1" s="1"/>
  <c r="AC300" i="1"/>
  <c r="AO300" i="1"/>
  <c r="AR300" i="1"/>
  <c r="AS300" i="1"/>
  <c r="AT300" i="1"/>
  <c r="AU300" i="1" s="1"/>
  <c r="AV300" i="1"/>
  <c r="BA300" i="1"/>
  <c r="BB300" i="1"/>
  <c r="BM300" i="1"/>
  <c r="BT300" i="1"/>
  <c r="AW300" i="1" s="1"/>
  <c r="BV300" i="1"/>
  <c r="BY300" i="1"/>
  <c r="I301" i="1"/>
  <c r="P301" i="1"/>
  <c r="CA301" i="1" s="1"/>
  <c r="S301" i="1"/>
  <c r="G301" i="5" s="1"/>
  <c r="AC301" i="1"/>
  <c r="AO301" i="1"/>
  <c r="BE260" i="3" s="1"/>
  <c r="BL260" i="3" s="1"/>
  <c r="AR301" i="1"/>
  <c r="AS301" i="1"/>
  <c r="AT301" i="1"/>
  <c r="AU301" i="1" s="1"/>
  <c r="AV301" i="1"/>
  <c r="AX301" i="1"/>
  <c r="AZ301" i="1"/>
  <c r="BA301" i="1"/>
  <c r="BB301" i="1"/>
  <c r="BC301" i="1"/>
  <c r="BI301" i="1"/>
  <c r="BJ301" i="1"/>
  <c r="BM301" i="1"/>
  <c r="BO301" i="1"/>
  <c r="BT301" i="1"/>
  <c r="AW301" i="1" s="1"/>
  <c r="BV301" i="1"/>
  <c r="BY301" i="1"/>
  <c r="CB301" i="1"/>
  <c r="CC301" i="1"/>
  <c r="CE301" i="1"/>
  <c r="CF301" i="1"/>
  <c r="CG301" i="1"/>
  <c r="CH301" i="1"/>
  <c r="CI301" i="1"/>
  <c r="CJ301" i="1"/>
  <c r="I302" i="1"/>
  <c r="P302" i="1"/>
  <c r="CA302" i="1" s="1"/>
  <c r="S302" i="1"/>
  <c r="U302" i="1" s="1"/>
  <c r="AC302" i="1"/>
  <c r="AI302" i="1"/>
  <c r="AK302" i="1" s="1"/>
  <c r="AO302" i="1"/>
  <c r="BE261" i="3" s="1"/>
  <c r="AR302" i="1"/>
  <c r="AS302" i="1"/>
  <c r="AT302" i="1"/>
  <c r="AU302" i="1" s="1"/>
  <c r="AV302" i="1"/>
  <c r="AX302" i="1"/>
  <c r="AZ302" i="1"/>
  <c r="BA302" i="1"/>
  <c r="BB302" i="1"/>
  <c r="BC302" i="1"/>
  <c r="BI302" i="1"/>
  <c r="BL302" i="1" s="1"/>
  <c r="BJ302" i="1"/>
  <c r="BM302" i="1"/>
  <c r="BO302" i="1"/>
  <c r="BT302" i="1"/>
  <c r="AW302" i="1" s="1"/>
  <c r="BV302" i="1"/>
  <c r="BY302" i="1"/>
  <c r="CB302" i="1"/>
  <c r="CC302" i="1"/>
  <c r="CE302" i="1"/>
  <c r="CF302" i="1"/>
  <c r="CG302" i="1"/>
  <c r="CH302" i="1"/>
  <c r="CI302" i="1"/>
  <c r="CJ302" i="1"/>
  <c r="N303" i="1"/>
  <c r="O303" i="1"/>
  <c r="P303" i="1"/>
  <c r="CA303" i="1" s="1"/>
  <c r="AC303" i="1"/>
  <c r="AI303" i="1"/>
  <c r="AK303" i="1" s="1"/>
  <c r="AO303" i="1"/>
  <c r="AR303" i="1"/>
  <c r="AS303" i="1"/>
  <c r="AT303" i="1"/>
  <c r="AU303" i="1" s="1"/>
  <c r="AV303" i="1"/>
  <c r="AX303" i="1"/>
  <c r="BA303" i="1"/>
  <c r="BB303" i="1"/>
  <c r="BC303" i="1"/>
  <c r="BI303" i="1"/>
  <c r="BJ303" i="1"/>
  <c r="BM303" i="1"/>
  <c r="BO303" i="1"/>
  <c r="BT303" i="1"/>
  <c r="AW303" i="1" s="1"/>
  <c r="BV303" i="1"/>
  <c r="BY303" i="1"/>
  <c r="CB303" i="1"/>
  <c r="CC303" i="1"/>
  <c r="CE303" i="1"/>
  <c r="CF303" i="1"/>
  <c r="CG303" i="1"/>
  <c r="CH303" i="1"/>
  <c r="CI303" i="1"/>
  <c r="CJ303" i="1"/>
  <c r="I304" i="1"/>
  <c r="P304" i="1"/>
  <c r="CA304" i="1" s="1"/>
  <c r="AC304" i="1"/>
  <c r="AI304" i="1"/>
  <c r="AO304" i="1"/>
  <c r="AR304" i="1"/>
  <c r="AS304" i="1"/>
  <c r="AT304" i="1"/>
  <c r="AU304" i="1" s="1"/>
  <c r="AV304" i="1"/>
  <c r="AX304" i="1"/>
  <c r="BA304" i="1"/>
  <c r="BB304" i="1"/>
  <c r="BC304" i="1"/>
  <c r="BI304" i="1"/>
  <c r="BL304" i="1" s="1"/>
  <c r="BJ304" i="1"/>
  <c r="BM304" i="1"/>
  <c r="BO304" i="1"/>
  <c r="BT304" i="1"/>
  <c r="AW304" i="1" s="1"/>
  <c r="BV304" i="1"/>
  <c r="BY304" i="1"/>
  <c r="CB304" i="1"/>
  <c r="CC304" i="1"/>
  <c r="CE304" i="1"/>
  <c r="CF304" i="1"/>
  <c r="CG304" i="1"/>
  <c r="CH304" i="1"/>
  <c r="CI304" i="1"/>
  <c r="CJ304" i="1"/>
  <c r="I305" i="1"/>
  <c r="N305" i="1"/>
  <c r="O305" i="1"/>
  <c r="P305" i="1"/>
  <c r="CA305" i="1" s="1"/>
  <c r="AC305" i="1"/>
  <c r="AI305" i="1"/>
  <c r="S305" i="5" s="1"/>
  <c r="AO305" i="1"/>
  <c r="AR305" i="1"/>
  <c r="AS305" i="1"/>
  <c r="AT305" i="1"/>
  <c r="AU305" i="1" s="1"/>
  <c r="AV305" i="1"/>
  <c r="AX305" i="1"/>
  <c r="BA305" i="1"/>
  <c r="BB305" i="1"/>
  <c r="BC305" i="1"/>
  <c r="BI305" i="1"/>
  <c r="BL305" i="1" s="1"/>
  <c r="BJ305" i="1"/>
  <c r="BM305" i="1"/>
  <c r="BO305" i="1"/>
  <c r="BT305" i="1"/>
  <c r="AW305" i="1" s="1"/>
  <c r="BV305" i="1"/>
  <c r="BY305" i="1"/>
  <c r="CB305" i="1"/>
  <c r="CC305" i="1"/>
  <c r="CE305" i="1"/>
  <c r="CF305" i="1"/>
  <c r="CG305" i="1"/>
  <c r="CH305" i="1"/>
  <c r="CI305" i="1"/>
  <c r="CJ305" i="1"/>
  <c r="I306" i="1"/>
  <c r="N306" i="1"/>
  <c r="O306" i="1"/>
  <c r="P306" i="1"/>
  <c r="CA306" i="1" s="1"/>
  <c r="S306" i="1"/>
  <c r="G306" i="5" s="1"/>
  <c r="AC306" i="1"/>
  <c r="AI306" i="1"/>
  <c r="AJ306" i="1" s="1"/>
  <c r="AO306" i="1"/>
  <c r="AR306" i="1"/>
  <c r="AS306" i="1"/>
  <c r="AT306" i="1"/>
  <c r="AU306" i="1" s="1"/>
  <c r="AV306" i="1"/>
  <c r="AX306" i="1"/>
  <c r="AZ306" i="1"/>
  <c r="BA306" i="1"/>
  <c r="BB306" i="1"/>
  <c r="BC306" i="1"/>
  <c r="BI306" i="1"/>
  <c r="BL306" i="1" s="1"/>
  <c r="BJ306" i="1"/>
  <c r="BM306" i="1"/>
  <c r="BO306" i="1"/>
  <c r="BT306" i="1"/>
  <c r="AW306" i="1" s="1"/>
  <c r="BV306" i="1"/>
  <c r="BY306" i="1"/>
  <c r="CB306" i="1"/>
  <c r="CC306" i="1"/>
  <c r="CE306" i="1"/>
  <c r="CF306" i="1"/>
  <c r="CG306" i="1"/>
  <c r="CH306" i="1"/>
  <c r="CI306" i="1"/>
  <c r="CJ306" i="1"/>
  <c r="I307" i="1"/>
  <c r="N307" i="1"/>
  <c r="O307" i="1"/>
  <c r="P307" i="1"/>
  <c r="CA307" i="1" s="1"/>
  <c r="S307" i="1"/>
  <c r="W307" i="1" s="1"/>
  <c r="AC307" i="1"/>
  <c r="AO307" i="1"/>
  <c r="AR307" i="1"/>
  <c r="AS307" i="1"/>
  <c r="AT307" i="1"/>
  <c r="AU307" i="1" s="1"/>
  <c r="AV307" i="1"/>
  <c r="AX307" i="1"/>
  <c r="BA307" i="1"/>
  <c r="BB307" i="1"/>
  <c r="BC307" i="1"/>
  <c r="BI307" i="1"/>
  <c r="BJ307" i="1"/>
  <c r="BM307" i="1"/>
  <c r="BO307" i="1"/>
  <c r="BT307" i="1"/>
  <c r="AW307" i="1" s="1"/>
  <c r="BV307" i="1"/>
  <c r="BY307" i="1"/>
  <c r="CB307" i="1"/>
  <c r="CC307" i="1"/>
  <c r="CE307" i="1"/>
  <c r="CF307" i="1"/>
  <c r="CG307" i="1"/>
  <c r="CH307" i="1"/>
  <c r="CI307" i="1"/>
  <c r="CJ307" i="1"/>
  <c r="I308" i="1"/>
  <c r="N308" i="1"/>
  <c r="O308" i="1"/>
  <c r="P308" i="1"/>
  <c r="CA308" i="1" s="1"/>
  <c r="S308" i="1"/>
  <c r="T308" i="1" s="1"/>
  <c r="AC308" i="1"/>
  <c r="AI308" i="1"/>
  <c r="AO308" i="1"/>
  <c r="K308" i="1" s="1"/>
  <c r="AR308" i="1"/>
  <c r="AS308" i="1"/>
  <c r="AT308" i="1"/>
  <c r="AU308" i="1" s="1"/>
  <c r="AV308" i="1"/>
  <c r="AX308" i="1"/>
  <c r="AZ308" i="1"/>
  <c r="BA308" i="1"/>
  <c r="BB308" i="1"/>
  <c r="BC308" i="1"/>
  <c r="BI308" i="1"/>
  <c r="BJ308" i="1"/>
  <c r="BM308" i="1"/>
  <c r="BO308" i="1"/>
  <c r="BT308" i="1"/>
  <c r="AW308" i="1" s="1"/>
  <c r="BV308" i="1"/>
  <c r="BY308" i="1"/>
  <c r="CB308" i="1"/>
  <c r="CC308" i="1"/>
  <c r="CE308" i="1"/>
  <c r="CF308" i="1"/>
  <c r="CG308" i="1"/>
  <c r="CH308" i="1"/>
  <c r="CI308" i="1"/>
  <c r="CJ308" i="1"/>
  <c r="I309" i="1"/>
  <c r="P309" i="1"/>
  <c r="CA309" i="1" s="1"/>
  <c r="AC309" i="1"/>
  <c r="AO309" i="1"/>
  <c r="AR309" i="1"/>
  <c r="AS309" i="1"/>
  <c r="AT309" i="1"/>
  <c r="AU309" i="1" s="1"/>
  <c r="AV309" i="1"/>
  <c r="BA309" i="1"/>
  <c r="BB309" i="1"/>
  <c r="BM309" i="1"/>
  <c r="BT309" i="1"/>
  <c r="AW309" i="1" s="1"/>
  <c r="BV309" i="1"/>
  <c r="BY309" i="1"/>
  <c r="I310" i="1"/>
  <c r="P310" i="1"/>
  <c r="CA310" i="1" s="1"/>
  <c r="S310" i="1"/>
  <c r="T310" i="1" s="1"/>
  <c r="AC310" i="1"/>
  <c r="AO310" i="1"/>
  <c r="AP310" i="1" s="1"/>
  <c r="AB310" i="5" s="1"/>
  <c r="AR310" i="1"/>
  <c r="AS310" i="1"/>
  <c r="AT310" i="1"/>
  <c r="AU310" i="1" s="1"/>
  <c r="AV310" i="1"/>
  <c r="AX310" i="1"/>
  <c r="BA310" i="1"/>
  <c r="BB310" i="1"/>
  <c r="BC310" i="1"/>
  <c r="BI310" i="1"/>
  <c r="BL310" i="1" s="1"/>
  <c r="BJ310" i="1"/>
  <c r="BM310" i="1"/>
  <c r="BO310" i="1"/>
  <c r="BT310" i="1"/>
  <c r="AW310" i="1" s="1"/>
  <c r="BV310" i="1"/>
  <c r="BY310" i="1"/>
  <c r="CB310" i="1"/>
  <c r="CC310" i="1"/>
  <c r="CE310" i="1"/>
  <c r="CF310" i="1"/>
  <c r="CG310" i="1"/>
  <c r="CH310" i="1"/>
  <c r="CI310" i="1"/>
  <c r="CJ310" i="1"/>
  <c r="I311" i="1"/>
  <c r="N311" i="1"/>
  <c r="O311" i="1"/>
  <c r="P311" i="1"/>
  <c r="CA311" i="1" s="1"/>
  <c r="AC311" i="1"/>
  <c r="AO311" i="1"/>
  <c r="BE329" i="3" s="1"/>
  <c r="AR311" i="1"/>
  <c r="AS311" i="1"/>
  <c r="AT311" i="1"/>
  <c r="AU311" i="1" s="1"/>
  <c r="AV311" i="1"/>
  <c r="AX311" i="1"/>
  <c r="AZ311" i="1"/>
  <c r="BA311" i="1"/>
  <c r="BB311" i="1"/>
  <c r="BC311" i="1"/>
  <c r="BI311" i="1"/>
  <c r="BL311" i="1" s="1"/>
  <c r="BJ311" i="1"/>
  <c r="BM311" i="1"/>
  <c r="BO311" i="1"/>
  <c r="BT311" i="1"/>
  <c r="AW311" i="1" s="1"/>
  <c r="BV311" i="1"/>
  <c r="BY311" i="1"/>
  <c r="CB311" i="1"/>
  <c r="CC311" i="1"/>
  <c r="CE311" i="1"/>
  <c r="CF311" i="1"/>
  <c r="CG311" i="1"/>
  <c r="CH311" i="1"/>
  <c r="CI311" i="1"/>
  <c r="CJ311" i="1"/>
  <c r="I312" i="1"/>
  <c r="N312" i="1"/>
  <c r="O312" i="1"/>
  <c r="P312" i="1"/>
  <c r="CA312" i="1" s="1"/>
  <c r="S312" i="1"/>
  <c r="G312" i="5" s="1"/>
  <c r="AC312" i="1"/>
  <c r="AO312" i="1"/>
  <c r="AR312" i="1"/>
  <c r="AS312" i="1"/>
  <c r="AT312" i="1"/>
  <c r="AU312" i="1" s="1"/>
  <c r="AV312" i="1"/>
  <c r="AX312" i="1"/>
  <c r="AZ312" i="1"/>
  <c r="BA312" i="1"/>
  <c r="BB312" i="1"/>
  <c r="BC312" i="1"/>
  <c r="BI312" i="1"/>
  <c r="BJ312" i="1"/>
  <c r="BM312" i="1"/>
  <c r="BO312" i="1"/>
  <c r="BT312" i="1"/>
  <c r="AW312" i="1" s="1"/>
  <c r="BV312" i="1"/>
  <c r="BY312" i="1"/>
  <c r="CB312" i="1"/>
  <c r="CC312" i="1"/>
  <c r="CE312" i="1"/>
  <c r="CF312" i="1"/>
  <c r="CG312" i="1"/>
  <c r="CH312" i="1"/>
  <c r="CI312" i="1"/>
  <c r="CJ312" i="1"/>
  <c r="I313" i="1"/>
  <c r="P313" i="1"/>
  <c r="CA313" i="1" s="1"/>
  <c r="S313" i="1"/>
  <c r="AC313" i="1"/>
  <c r="AI313" i="1"/>
  <c r="S313" i="5" s="1"/>
  <c r="AO313" i="1"/>
  <c r="BE313" i="1" s="1"/>
  <c r="AR313" i="1"/>
  <c r="AS313" i="1"/>
  <c r="AT313" i="1"/>
  <c r="AU313" i="1" s="1"/>
  <c r="AV313" i="1"/>
  <c r="AX313" i="1"/>
  <c r="AZ313" i="1"/>
  <c r="BA313" i="1"/>
  <c r="BB313" i="1"/>
  <c r="BC313" i="1"/>
  <c r="BI313" i="1"/>
  <c r="BJ313" i="1"/>
  <c r="BM313" i="1"/>
  <c r="BO313" i="1"/>
  <c r="BT313" i="1"/>
  <c r="AW313" i="1" s="1"/>
  <c r="BV313" i="1"/>
  <c r="BY313" i="1"/>
  <c r="CB313" i="1"/>
  <c r="CC313" i="1"/>
  <c r="CE313" i="1"/>
  <c r="CF313" i="1"/>
  <c r="CG313" i="1"/>
  <c r="CH313" i="1"/>
  <c r="CI313" i="1"/>
  <c r="CJ313" i="1"/>
  <c r="I314" i="1"/>
  <c r="N314" i="1"/>
  <c r="O314" i="1"/>
  <c r="P314" i="1"/>
  <c r="AC314" i="1"/>
  <c r="AI314" i="1"/>
  <c r="S314" i="5" s="1"/>
  <c r="AO314" i="1"/>
  <c r="BC291" i="3" s="1"/>
  <c r="AR314" i="1"/>
  <c r="AS314" i="1"/>
  <c r="AT314" i="1"/>
  <c r="AU314" i="1" s="1"/>
  <c r="AV314" i="1"/>
  <c r="AX314" i="1"/>
  <c r="BA314" i="1"/>
  <c r="BB314" i="1"/>
  <c r="BC314" i="1"/>
  <c r="BI314" i="1"/>
  <c r="BL314" i="1" s="1"/>
  <c r="BJ314" i="1"/>
  <c r="BM314" i="1"/>
  <c r="BO314" i="1"/>
  <c r="BT314" i="1"/>
  <c r="AW314" i="1" s="1"/>
  <c r="BV314" i="1"/>
  <c r="BY314" i="1"/>
  <c r="CB314" i="1"/>
  <c r="CC314" i="1"/>
  <c r="CE314" i="1"/>
  <c r="CF314" i="1"/>
  <c r="CG314" i="1"/>
  <c r="CH314" i="1"/>
  <c r="CI314" i="1"/>
  <c r="CJ314" i="1"/>
  <c r="I315" i="1"/>
  <c r="P315" i="1"/>
  <c r="CA315" i="1" s="1"/>
  <c r="S315" i="1"/>
  <c r="G315" i="5" s="1"/>
  <c r="J315" i="5" s="1"/>
  <c r="AC315" i="1"/>
  <c r="AO315" i="1"/>
  <c r="AR315" i="1"/>
  <c r="AS315" i="1"/>
  <c r="AT315" i="1"/>
  <c r="AU315" i="1" s="1"/>
  <c r="AV315" i="1"/>
  <c r="AX315" i="1"/>
  <c r="AZ315" i="1"/>
  <c r="BA315" i="1"/>
  <c r="BB315" i="1"/>
  <c r="BC315" i="1"/>
  <c r="BI315" i="1"/>
  <c r="BL315" i="1" s="1"/>
  <c r="BJ315" i="1"/>
  <c r="BM315" i="1"/>
  <c r="BO315" i="1"/>
  <c r="BT315" i="1"/>
  <c r="AW315" i="1" s="1"/>
  <c r="BV315" i="1"/>
  <c r="BY315" i="1"/>
  <c r="CB315" i="1"/>
  <c r="CC315" i="1"/>
  <c r="CE315" i="1"/>
  <c r="CF315" i="1"/>
  <c r="CG315" i="1"/>
  <c r="CH315" i="1"/>
  <c r="CI315" i="1"/>
  <c r="CJ315" i="1"/>
  <c r="I316" i="1"/>
  <c r="P316" i="1"/>
  <c r="S316" i="1"/>
  <c r="AC316" i="1"/>
  <c r="AO316" i="1"/>
  <c r="J316" i="1" s="1"/>
  <c r="AR316" i="1"/>
  <c r="AS316" i="1"/>
  <c r="AT316" i="1"/>
  <c r="AU316" i="1" s="1"/>
  <c r="AV316" i="1"/>
  <c r="AX316" i="1"/>
  <c r="AZ316" i="1"/>
  <c r="BA316" i="1"/>
  <c r="BB316" i="1"/>
  <c r="BC316" i="1"/>
  <c r="BI316" i="1"/>
  <c r="BL316" i="1" s="1"/>
  <c r="BJ316" i="1"/>
  <c r="BM316" i="1"/>
  <c r="BO316" i="1"/>
  <c r="BT316" i="1"/>
  <c r="AW316" i="1" s="1"/>
  <c r="BV316" i="1"/>
  <c r="BY316" i="1"/>
  <c r="CB316" i="1"/>
  <c r="CC316" i="1"/>
  <c r="CE316" i="1"/>
  <c r="CF316" i="1"/>
  <c r="CG316" i="1"/>
  <c r="CH316" i="1"/>
  <c r="CI316" i="1"/>
  <c r="CJ316" i="1"/>
  <c r="I317" i="1"/>
  <c r="N317" i="1"/>
  <c r="O317" i="1"/>
  <c r="P317" i="1"/>
  <c r="CA317" i="1" s="1"/>
  <c r="S317" i="1"/>
  <c r="G317" i="5" s="1"/>
  <c r="AC317" i="1"/>
  <c r="AO317" i="1"/>
  <c r="AI317" i="1" s="1"/>
  <c r="AR317" i="1"/>
  <c r="AS317" i="1"/>
  <c r="AT317" i="1"/>
  <c r="AU317" i="1" s="1"/>
  <c r="AV317" i="1"/>
  <c r="AX317" i="1"/>
  <c r="AZ317" i="1"/>
  <c r="BA317" i="1"/>
  <c r="BB317" i="1"/>
  <c r="BC317" i="1"/>
  <c r="BI317" i="1"/>
  <c r="BL317" i="1" s="1"/>
  <c r="BJ317" i="1"/>
  <c r="BM317" i="1"/>
  <c r="BO317" i="1"/>
  <c r="BT317" i="1"/>
  <c r="AW317" i="1" s="1"/>
  <c r="BV317" i="1"/>
  <c r="BY317" i="1"/>
  <c r="CB317" i="1"/>
  <c r="CC317" i="1"/>
  <c r="CE317" i="1"/>
  <c r="CF317" i="1"/>
  <c r="CG317" i="1"/>
  <c r="CH317" i="1"/>
  <c r="CI317" i="1"/>
  <c r="CJ317" i="1"/>
  <c r="I318" i="1"/>
  <c r="N318" i="1"/>
  <c r="O318" i="1"/>
  <c r="P318" i="1"/>
  <c r="CA318" i="1" s="1"/>
  <c r="S318" i="1"/>
  <c r="G318" i="5" s="1"/>
  <c r="AC318" i="1"/>
  <c r="AO318" i="1"/>
  <c r="K318" i="1" s="1"/>
  <c r="AR318" i="1"/>
  <c r="AS318" i="1"/>
  <c r="AT318" i="1"/>
  <c r="AU318" i="1" s="1"/>
  <c r="AV318" i="1"/>
  <c r="AX318" i="1"/>
  <c r="AZ318" i="1"/>
  <c r="BA318" i="1"/>
  <c r="BB318" i="1"/>
  <c r="BC318" i="1"/>
  <c r="BI318" i="1"/>
  <c r="BL318" i="1" s="1"/>
  <c r="BJ318" i="1"/>
  <c r="BM318" i="1"/>
  <c r="BO318" i="1"/>
  <c r="BT318" i="1"/>
  <c r="AW318" i="1" s="1"/>
  <c r="BV318" i="1"/>
  <c r="BY318" i="1"/>
  <c r="CB318" i="1"/>
  <c r="CC318" i="1"/>
  <c r="CE318" i="1"/>
  <c r="CF318" i="1"/>
  <c r="CG318" i="1"/>
  <c r="CH318" i="1"/>
  <c r="CI318" i="1"/>
  <c r="CJ318" i="1"/>
  <c r="I319" i="1"/>
  <c r="N319" i="1"/>
  <c r="O319" i="1"/>
  <c r="P319" i="1"/>
  <c r="CA319" i="1" s="1"/>
  <c r="S319" i="1"/>
  <c r="U319" i="1" s="1"/>
  <c r="AC319" i="1"/>
  <c r="AO319" i="1"/>
  <c r="BD319" i="1" s="1"/>
  <c r="AR319" i="1"/>
  <c r="AS319" i="1"/>
  <c r="AT319" i="1"/>
  <c r="AU319" i="1" s="1"/>
  <c r="AV319" i="1"/>
  <c r="AX319" i="1"/>
  <c r="BA319" i="1"/>
  <c r="BB319" i="1"/>
  <c r="BC319" i="1"/>
  <c r="BI319" i="1"/>
  <c r="BL319" i="1" s="1"/>
  <c r="BJ319" i="1"/>
  <c r="BM319" i="1"/>
  <c r="BO319" i="1"/>
  <c r="BT319" i="1"/>
  <c r="AW319" i="1" s="1"/>
  <c r="BV319" i="1"/>
  <c r="BY319" i="1"/>
  <c r="CB319" i="1"/>
  <c r="CC319" i="1"/>
  <c r="CE319" i="1"/>
  <c r="CF319" i="1"/>
  <c r="CG319" i="1"/>
  <c r="CH319" i="1"/>
  <c r="CI319" i="1"/>
  <c r="CJ319" i="1"/>
  <c r="I320" i="1"/>
  <c r="N320" i="1"/>
  <c r="O320" i="1"/>
  <c r="P320" i="1"/>
  <c r="CA320" i="1" s="1"/>
  <c r="S320" i="1"/>
  <c r="G320" i="5" s="1"/>
  <c r="AC320" i="1"/>
  <c r="AO320" i="1"/>
  <c r="AR320" i="1"/>
  <c r="AS320" i="1"/>
  <c r="AT320" i="1"/>
  <c r="AU320" i="1" s="1"/>
  <c r="AV320" i="1"/>
  <c r="AX320" i="1"/>
  <c r="BA320" i="1"/>
  <c r="BB320" i="1"/>
  <c r="BC320" i="1"/>
  <c r="BI320" i="1"/>
  <c r="BL320" i="1" s="1"/>
  <c r="BJ320" i="1"/>
  <c r="BM320" i="1"/>
  <c r="BO320" i="1"/>
  <c r="BT320" i="1"/>
  <c r="AW320" i="1" s="1"/>
  <c r="BV320" i="1"/>
  <c r="BY320" i="1"/>
  <c r="CB320" i="1"/>
  <c r="CC320" i="1"/>
  <c r="CE320" i="1"/>
  <c r="CF320" i="1"/>
  <c r="CG320" i="1"/>
  <c r="CH320" i="1"/>
  <c r="CI320" i="1"/>
  <c r="CJ320" i="1"/>
  <c r="I321" i="1"/>
  <c r="N321" i="1"/>
  <c r="O321" i="1"/>
  <c r="P321" i="1"/>
  <c r="CA321" i="1" s="1"/>
  <c r="S321" i="1"/>
  <c r="AC321" i="1"/>
  <c r="AI321" i="1"/>
  <c r="AO321" i="1"/>
  <c r="BE288" i="3" s="1"/>
  <c r="BL288" i="3" s="1"/>
  <c r="AR321" i="1"/>
  <c r="AS321" i="1"/>
  <c r="AT321" i="1"/>
  <c r="AU321" i="1" s="1"/>
  <c r="AV321" i="1"/>
  <c r="AX321" i="1"/>
  <c r="BA321" i="1"/>
  <c r="BB321" i="1"/>
  <c r="BC321" i="1"/>
  <c r="BI321" i="1"/>
  <c r="BL321" i="1" s="1"/>
  <c r="BJ321" i="1"/>
  <c r="BM321" i="1"/>
  <c r="BO321" i="1"/>
  <c r="BT321" i="1"/>
  <c r="AW321" i="1" s="1"/>
  <c r="BV321" i="1"/>
  <c r="BY321" i="1"/>
  <c r="CB321" i="1"/>
  <c r="CC321" i="1"/>
  <c r="CE321" i="1"/>
  <c r="CF321" i="1"/>
  <c r="CG321" i="1"/>
  <c r="CH321" i="1"/>
  <c r="CI321" i="1"/>
  <c r="CJ321" i="1"/>
  <c r="I322" i="1"/>
  <c r="N322" i="1"/>
  <c r="O322" i="1"/>
  <c r="P322" i="1"/>
  <c r="CA322" i="1" s="1"/>
  <c r="S322" i="1"/>
  <c r="U322" i="1" s="1"/>
  <c r="AC322" i="1"/>
  <c r="AO322" i="1"/>
  <c r="AR322" i="1"/>
  <c r="AS322" i="1"/>
  <c r="AT322" i="1"/>
  <c r="AU322" i="1" s="1"/>
  <c r="AV322" i="1"/>
  <c r="AX322" i="1"/>
  <c r="AZ322" i="1"/>
  <c r="BA322" i="1"/>
  <c r="BB322" i="1"/>
  <c r="BC322" i="1"/>
  <c r="BI322" i="1"/>
  <c r="BL322" i="1" s="1"/>
  <c r="BJ322" i="1"/>
  <c r="BM322" i="1"/>
  <c r="BO322" i="1"/>
  <c r="BT322" i="1"/>
  <c r="AW322" i="1" s="1"/>
  <c r="BV322" i="1"/>
  <c r="BY322" i="1"/>
  <c r="CB322" i="1"/>
  <c r="CC322" i="1"/>
  <c r="CE322" i="1"/>
  <c r="CF322" i="1"/>
  <c r="CG322" i="1"/>
  <c r="CH322" i="1"/>
  <c r="CI322" i="1"/>
  <c r="CJ322" i="1"/>
  <c r="N323" i="1"/>
  <c r="O323" i="1"/>
  <c r="P323" i="1"/>
  <c r="CA323" i="1" s="1"/>
  <c r="AC323" i="1"/>
  <c r="AI323" i="1"/>
  <c r="S323" i="5" s="1"/>
  <c r="T323" i="5" s="1"/>
  <c r="AO323" i="1"/>
  <c r="AP323" i="1" s="1"/>
  <c r="AB323" i="5" s="1"/>
  <c r="AR323" i="1"/>
  <c r="AS323" i="1"/>
  <c r="AT323" i="1"/>
  <c r="AU323" i="1" s="1"/>
  <c r="AV323" i="1"/>
  <c r="AX323" i="1"/>
  <c r="AZ323" i="1"/>
  <c r="BA323" i="1"/>
  <c r="BB323" i="1"/>
  <c r="BC323" i="1"/>
  <c r="BI323" i="1"/>
  <c r="BL323" i="1" s="1"/>
  <c r="BJ323" i="1"/>
  <c r="BM323" i="1"/>
  <c r="BO323" i="1"/>
  <c r="BT323" i="1"/>
  <c r="AW323" i="1" s="1"/>
  <c r="BV323" i="1"/>
  <c r="BY323" i="1"/>
  <c r="CB323" i="1"/>
  <c r="CC323" i="1"/>
  <c r="CE323" i="1"/>
  <c r="CF323" i="1"/>
  <c r="CG323" i="1"/>
  <c r="CH323" i="1"/>
  <c r="CI323" i="1"/>
  <c r="CJ323" i="1"/>
  <c r="I324" i="1"/>
  <c r="P324" i="1"/>
  <c r="CA324" i="1" s="1"/>
  <c r="X324" i="1"/>
  <c r="AC324" i="1"/>
  <c r="AO324" i="1"/>
  <c r="AR324" i="1"/>
  <c r="AS324" i="1"/>
  <c r="AV324" i="1"/>
  <c r="BB324" i="1"/>
  <c r="BM324" i="1"/>
  <c r="BT324" i="1"/>
  <c r="AW324" i="1" s="1"/>
  <c r="BV324" i="1"/>
  <c r="BY324" i="1"/>
  <c r="I325" i="1"/>
  <c r="N325" i="1"/>
  <c r="O325" i="1"/>
  <c r="P325" i="1"/>
  <c r="CA325" i="1" s="1"/>
  <c r="S325" i="1"/>
  <c r="AC325" i="1"/>
  <c r="AO325" i="1"/>
  <c r="AI325" i="1" s="1"/>
  <c r="AR325" i="1"/>
  <c r="AS325" i="1"/>
  <c r="AT325" i="1"/>
  <c r="AU325" i="1" s="1"/>
  <c r="AV325" i="1"/>
  <c r="AX325" i="1"/>
  <c r="AZ325" i="1"/>
  <c r="BA325" i="1"/>
  <c r="BB325" i="1"/>
  <c r="BC325" i="1"/>
  <c r="BI325" i="1"/>
  <c r="BL325" i="1" s="1"/>
  <c r="BJ325" i="1"/>
  <c r="BM325" i="1"/>
  <c r="BO325" i="1"/>
  <c r="BT325" i="1"/>
  <c r="AW325" i="1" s="1"/>
  <c r="BV325" i="1"/>
  <c r="BY325" i="1"/>
  <c r="CB325" i="1"/>
  <c r="CC325" i="1"/>
  <c r="CE325" i="1"/>
  <c r="CF325" i="1"/>
  <c r="CG325" i="1"/>
  <c r="CH325" i="1"/>
  <c r="CI325" i="1"/>
  <c r="CJ325" i="1"/>
  <c r="I326" i="1"/>
  <c r="N326" i="1"/>
  <c r="O326" i="1"/>
  <c r="P326" i="1"/>
  <c r="S326" i="1"/>
  <c r="G326" i="5" s="1"/>
  <c r="AC326" i="1"/>
  <c r="AO326" i="1"/>
  <c r="AI326" i="1" s="1"/>
  <c r="AR326" i="1"/>
  <c r="AS326" i="1"/>
  <c r="AT326" i="1"/>
  <c r="AU326" i="1" s="1"/>
  <c r="AV326" i="1"/>
  <c r="AX326" i="1"/>
  <c r="BA326" i="1"/>
  <c r="BB326" i="1"/>
  <c r="BC326" i="1"/>
  <c r="BI326" i="1"/>
  <c r="BL326" i="1" s="1"/>
  <c r="BJ326" i="1"/>
  <c r="BM326" i="1"/>
  <c r="BO326" i="1"/>
  <c r="BT326" i="1"/>
  <c r="AW326" i="1" s="1"/>
  <c r="BV326" i="1"/>
  <c r="BY326" i="1"/>
  <c r="CB326" i="1"/>
  <c r="CC326" i="1"/>
  <c r="CE326" i="1"/>
  <c r="CF326" i="1"/>
  <c r="CG326" i="1"/>
  <c r="CH326" i="1"/>
  <c r="CI326" i="1"/>
  <c r="CJ326" i="1"/>
  <c r="I327" i="1"/>
  <c r="N327" i="1"/>
  <c r="O327" i="1"/>
  <c r="P327" i="1"/>
  <c r="CA327" i="1" s="1"/>
  <c r="AC327" i="1"/>
  <c r="AI327" i="1"/>
  <c r="S327" i="5" s="1"/>
  <c r="T327" i="5" s="1"/>
  <c r="AO327" i="1"/>
  <c r="S327" i="1" s="1"/>
  <c r="U327" i="1" s="1"/>
  <c r="AR327" i="1"/>
  <c r="AS327" i="1"/>
  <c r="AT327" i="1"/>
  <c r="AU327" i="1" s="1"/>
  <c r="AV327" i="1"/>
  <c r="AX327" i="1"/>
  <c r="BA327" i="1"/>
  <c r="BB327" i="1"/>
  <c r="BC327" i="1"/>
  <c r="BI327" i="1"/>
  <c r="BL327" i="1" s="1"/>
  <c r="BJ327" i="1"/>
  <c r="BM327" i="1"/>
  <c r="BO327" i="1"/>
  <c r="BT327" i="1"/>
  <c r="AW327" i="1" s="1"/>
  <c r="BV327" i="1"/>
  <c r="BY327" i="1"/>
  <c r="CB327" i="1"/>
  <c r="CC327" i="1"/>
  <c r="CE327" i="1"/>
  <c r="CF327" i="1"/>
  <c r="CG327" i="1"/>
  <c r="CH327" i="1"/>
  <c r="CI327" i="1"/>
  <c r="CJ327" i="1"/>
  <c r="I328" i="1"/>
  <c r="N328" i="1"/>
  <c r="O328" i="1"/>
  <c r="P328" i="1"/>
  <c r="CA328" i="1" s="1"/>
  <c r="AC328" i="1"/>
  <c r="AI328" i="1"/>
  <c r="S328" i="5" s="1"/>
  <c r="AO328" i="1"/>
  <c r="AP328" i="1" s="1"/>
  <c r="AB328" i="5" s="1"/>
  <c r="AR328" i="1"/>
  <c r="AS328" i="1"/>
  <c r="AT328" i="1"/>
  <c r="AU328" i="1" s="1"/>
  <c r="AV328" i="1"/>
  <c r="AX328" i="1"/>
  <c r="BA328" i="1"/>
  <c r="BB328" i="1"/>
  <c r="BC328" i="1"/>
  <c r="BI328" i="1"/>
  <c r="BL328" i="1" s="1"/>
  <c r="BJ328" i="1"/>
  <c r="BM328" i="1"/>
  <c r="BO328" i="1"/>
  <c r="BT328" i="1"/>
  <c r="AW328" i="1" s="1"/>
  <c r="BV328" i="1"/>
  <c r="BY328" i="1"/>
  <c r="CB328" i="1"/>
  <c r="CC328" i="1"/>
  <c r="CE328" i="1"/>
  <c r="CF328" i="1"/>
  <c r="CG328" i="1"/>
  <c r="CH328" i="1"/>
  <c r="CI328" i="1"/>
  <c r="CJ328" i="1"/>
  <c r="I329" i="1"/>
  <c r="P329" i="1"/>
  <c r="CA329" i="1" s="1"/>
  <c r="AC329" i="1"/>
  <c r="AO329" i="1"/>
  <c r="AR329" i="1"/>
  <c r="AS329" i="1"/>
  <c r="AV329" i="1"/>
  <c r="BB329" i="1"/>
  <c r="BM329" i="1"/>
  <c r="BT329" i="1"/>
  <c r="AW329" i="1" s="1"/>
  <c r="BV329" i="1"/>
  <c r="BY329" i="1"/>
  <c r="I330" i="1"/>
  <c r="N330" i="1"/>
  <c r="O330" i="1"/>
  <c r="P330" i="1"/>
  <c r="CA330" i="1" s="1"/>
  <c r="S330" i="1"/>
  <c r="AC330" i="1"/>
  <c r="AI330" i="1"/>
  <c r="S330" i="5" s="1"/>
  <c r="AO330" i="1"/>
  <c r="BE268" i="3" s="1"/>
  <c r="AR330" i="1"/>
  <c r="AS330" i="1"/>
  <c r="AT330" i="1"/>
  <c r="AU330" i="1" s="1"/>
  <c r="AV330" i="1"/>
  <c r="AX330" i="1"/>
  <c r="AZ330" i="1"/>
  <c r="BA330" i="1"/>
  <c r="BB330" i="1"/>
  <c r="BC330" i="1"/>
  <c r="BI330" i="1"/>
  <c r="BL330" i="1" s="1"/>
  <c r="BJ330" i="1"/>
  <c r="BM330" i="1"/>
  <c r="BO330" i="1"/>
  <c r="BT330" i="1"/>
  <c r="AW330" i="1" s="1"/>
  <c r="BV330" i="1"/>
  <c r="BY330" i="1"/>
  <c r="CB330" i="1"/>
  <c r="CC330" i="1"/>
  <c r="CE330" i="1"/>
  <c r="CF330" i="1"/>
  <c r="CG330" i="1"/>
  <c r="CH330" i="1"/>
  <c r="CI330" i="1"/>
  <c r="CJ330" i="1"/>
  <c r="I331" i="1"/>
  <c r="P331" i="1"/>
  <c r="S331" i="1"/>
  <c r="U331" i="1" s="1"/>
  <c r="AC331" i="1"/>
  <c r="AI331" i="1"/>
  <c r="AO331" i="1"/>
  <c r="AR331" i="1"/>
  <c r="AS331" i="1"/>
  <c r="AT331" i="1"/>
  <c r="AU331" i="1" s="1"/>
  <c r="AV331" i="1"/>
  <c r="AX331" i="1"/>
  <c r="BA331" i="1"/>
  <c r="BB331" i="1"/>
  <c r="BC331" i="1"/>
  <c r="BI331" i="1"/>
  <c r="BL331" i="1" s="1"/>
  <c r="BJ331" i="1"/>
  <c r="BM331" i="1"/>
  <c r="BO331" i="1"/>
  <c r="BT331" i="1"/>
  <c r="AW331" i="1" s="1"/>
  <c r="BV331" i="1"/>
  <c r="BY331" i="1"/>
  <c r="CB331" i="1"/>
  <c r="CC331" i="1"/>
  <c r="CE331" i="1"/>
  <c r="CF331" i="1"/>
  <c r="CG331" i="1"/>
  <c r="CH331" i="1"/>
  <c r="CI331" i="1"/>
  <c r="CJ331" i="1"/>
  <c r="I332" i="1"/>
  <c r="N332" i="1"/>
  <c r="O332" i="1"/>
  <c r="P332" i="1"/>
  <c r="CA332" i="1" s="1"/>
  <c r="AC332" i="1"/>
  <c r="AI332" i="1"/>
  <c r="S332" i="5" s="1"/>
  <c r="T332" i="5" s="1"/>
  <c r="AO332" i="1"/>
  <c r="S332" i="1" s="1"/>
  <c r="U332" i="1" s="1"/>
  <c r="AR332" i="1"/>
  <c r="AS332" i="1"/>
  <c r="AT332" i="1"/>
  <c r="AU332" i="1" s="1"/>
  <c r="AV332" i="1"/>
  <c r="AX332" i="1"/>
  <c r="BA332" i="1"/>
  <c r="BB332" i="1"/>
  <c r="BC332" i="1"/>
  <c r="BI332" i="1"/>
  <c r="BL332" i="1" s="1"/>
  <c r="BJ332" i="1"/>
  <c r="BM332" i="1"/>
  <c r="BO332" i="1"/>
  <c r="BT332" i="1"/>
  <c r="AW332" i="1" s="1"/>
  <c r="BV332" i="1"/>
  <c r="BY332" i="1"/>
  <c r="CB332" i="1"/>
  <c r="CC332" i="1"/>
  <c r="CE332" i="1"/>
  <c r="CF332" i="1"/>
  <c r="CG332" i="1"/>
  <c r="CH332" i="1"/>
  <c r="CI332" i="1"/>
  <c r="CJ332" i="1"/>
  <c r="I333" i="1"/>
  <c r="P333" i="1"/>
  <c r="CA333" i="1" s="1"/>
  <c r="S333" i="1"/>
  <c r="G333" i="5" s="1"/>
  <c r="AC333" i="1"/>
  <c r="AO333" i="1"/>
  <c r="AR333" i="1"/>
  <c r="AS333" i="1"/>
  <c r="AT333" i="1"/>
  <c r="AU333" i="1" s="1"/>
  <c r="AV333" i="1"/>
  <c r="AX333" i="1"/>
  <c r="BA333" i="1"/>
  <c r="BB333" i="1"/>
  <c r="BC333" i="1"/>
  <c r="BI333" i="1"/>
  <c r="BL333" i="1" s="1"/>
  <c r="BJ333" i="1"/>
  <c r="BM333" i="1"/>
  <c r="BO333" i="1"/>
  <c r="BT333" i="1"/>
  <c r="AW333" i="1" s="1"/>
  <c r="BV333" i="1"/>
  <c r="BY333" i="1"/>
  <c r="CB333" i="1"/>
  <c r="CC333" i="1"/>
  <c r="CE333" i="1"/>
  <c r="CF333" i="1"/>
  <c r="CG333" i="1"/>
  <c r="CH333" i="1"/>
  <c r="CI333" i="1"/>
  <c r="CJ333" i="1"/>
  <c r="I334" i="1"/>
  <c r="P334" i="1"/>
  <c r="S334" i="1"/>
  <c r="G334" i="5" s="1"/>
  <c r="H334" i="5" s="1"/>
  <c r="AC334" i="1"/>
  <c r="AO334" i="1"/>
  <c r="AP334" i="1" s="1"/>
  <c r="AB334" i="5" s="1"/>
  <c r="AR334" i="1"/>
  <c r="AS334" i="1"/>
  <c r="AT334" i="1"/>
  <c r="AU334" i="1" s="1"/>
  <c r="AV334" i="1"/>
  <c r="AX334" i="1"/>
  <c r="AZ334" i="1"/>
  <c r="BA334" i="1"/>
  <c r="BB334" i="1"/>
  <c r="BC334" i="1"/>
  <c r="BI334" i="1"/>
  <c r="BL334" i="1" s="1"/>
  <c r="BJ334" i="1"/>
  <c r="BM334" i="1"/>
  <c r="BO334" i="1"/>
  <c r="BT334" i="1"/>
  <c r="AW334" i="1" s="1"/>
  <c r="BV334" i="1"/>
  <c r="BY334" i="1"/>
  <c r="CB334" i="1"/>
  <c r="CC334" i="1"/>
  <c r="CE334" i="1"/>
  <c r="CF334" i="1"/>
  <c r="CG334" i="1"/>
  <c r="CH334" i="1"/>
  <c r="CI334" i="1"/>
  <c r="CJ334" i="1"/>
  <c r="I335" i="1"/>
  <c r="N335" i="1"/>
  <c r="O335" i="1"/>
  <c r="P335" i="1"/>
  <c r="S335" i="1"/>
  <c r="T335" i="1" s="1"/>
  <c r="AC335" i="1"/>
  <c r="AO335" i="1"/>
  <c r="AR335" i="1"/>
  <c r="AS335" i="1"/>
  <c r="AT335" i="1"/>
  <c r="AU335" i="1" s="1"/>
  <c r="AV335" i="1"/>
  <c r="AX335" i="1"/>
  <c r="BA335" i="1"/>
  <c r="BB335" i="1"/>
  <c r="BC335" i="1"/>
  <c r="BI335" i="1"/>
  <c r="BL335" i="1" s="1"/>
  <c r="BJ335" i="1"/>
  <c r="BM335" i="1"/>
  <c r="BO335" i="1"/>
  <c r="BT335" i="1"/>
  <c r="AW335" i="1" s="1"/>
  <c r="BV335" i="1"/>
  <c r="BY335" i="1"/>
  <c r="CB335" i="1"/>
  <c r="CC335" i="1"/>
  <c r="CE335" i="1"/>
  <c r="CF335" i="1"/>
  <c r="CG335" i="1"/>
  <c r="CH335" i="1"/>
  <c r="CI335" i="1"/>
  <c r="CJ335" i="1"/>
  <c r="I336" i="1"/>
  <c r="N336" i="1"/>
  <c r="O336" i="1"/>
  <c r="P336" i="1"/>
  <c r="CA336" i="1" s="1"/>
  <c r="S336" i="1"/>
  <c r="G336" i="5" s="1"/>
  <c r="H336" i="5" s="1"/>
  <c r="AC336" i="1"/>
  <c r="AO336" i="1"/>
  <c r="BD336" i="1" s="1"/>
  <c r="AR336" i="1"/>
  <c r="AS336" i="1"/>
  <c r="AT336" i="1"/>
  <c r="AU336" i="1" s="1"/>
  <c r="AV336" i="1"/>
  <c r="AX336" i="1"/>
  <c r="BA336" i="1"/>
  <c r="BB336" i="1"/>
  <c r="BC336" i="1"/>
  <c r="BI336" i="1"/>
  <c r="BL336" i="1" s="1"/>
  <c r="BJ336" i="1"/>
  <c r="BM336" i="1"/>
  <c r="BO336" i="1"/>
  <c r="BT336" i="1"/>
  <c r="AW336" i="1" s="1"/>
  <c r="BV336" i="1"/>
  <c r="BY336" i="1"/>
  <c r="CB336" i="1"/>
  <c r="CC336" i="1"/>
  <c r="CE336" i="1"/>
  <c r="CF336" i="1"/>
  <c r="CG336" i="1"/>
  <c r="CH336" i="1"/>
  <c r="CI336" i="1"/>
  <c r="CJ336" i="1"/>
  <c r="I337" i="1"/>
  <c r="P337" i="1"/>
  <c r="CA337" i="1" s="1"/>
  <c r="S337" i="1"/>
  <c r="AC337" i="1"/>
  <c r="AI337" i="1"/>
  <c r="AJ337" i="1" s="1"/>
  <c r="AO337" i="1"/>
  <c r="BE250" i="3" s="1"/>
  <c r="BL250" i="3" s="1"/>
  <c r="AR337" i="1"/>
  <c r="AS337" i="1"/>
  <c r="AT337" i="1"/>
  <c r="AU337" i="1" s="1"/>
  <c r="AV337" i="1"/>
  <c r="AX337" i="1"/>
  <c r="BA337" i="1"/>
  <c r="BB337" i="1"/>
  <c r="BC337" i="1"/>
  <c r="BI337" i="1"/>
  <c r="BL337" i="1" s="1"/>
  <c r="BJ337" i="1"/>
  <c r="BM337" i="1"/>
  <c r="BO337" i="1"/>
  <c r="BT337" i="1"/>
  <c r="AW337" i="1" s="1"/>
  <c r="BV337" i="1"/>
  <c r="BY337" i="1"/>
  <c r="CB337" i="1"/>
  <c r="CC337" i="1"/>
  <c r="CE337" i="1"/>
  <c r="CF337" i="1"/>
  <c r="CG337" i="1"/>
  <c r="CH337" i="1"/>
  <c r="CI337" i="1"/>
  <c r="CJ337" i="1"/>
  <c r="I338" i="1"/>
  <c r="P338" i="1"/>
  <c r="CA338" i="1" s="1"/>
  <c r="S338" i="1"/>
  <c r="U338" i="1" s="1"/>
  <c r="AC338" i="1"/>
  <c r="AI338" i="1"/>
  <c r="AO338" i="1"/>
  <c r="BE252" i="3" s="1"/>
  <c r="AR338" i="1"/>
  <c r="AS338" i="1"/>
  <c r="AT338" i="1"/>
  <c r="AU338" i="1" s="1"/>
  <c r="AV338" i="1"/>
  <c r="AX338" i="1"/>
  <c r="BA338" i="1"/>
  <c r="BB338" i="1"/>
  <c r="BC338" i="1"/>
  <c r="BI338" i="1"/>
  <c r="BL338" i="1" s="1"/>
  <c r="BJ338" i="1"/>
  <c r="BM338" i="1"/>
  <c r="BO338" i="1"/>
  <c r="BT338" i="1"/>
  <c r="AW338" i="1" s="1"/>
  <c r="BV338" i="1"/>
  <c r="BY338" i="1"/>
  <c r="CB338" i="1"/>
  <c r="CC338" i="1"/>
  <c r="CE338" i="1"/>
  <c r="CF338" i="1"/>
  <c r="CG338" i="1"/>
  <c r="CH338" i="1"/>
  <c r="CI338" i="1"/>
  <c r="CJ338" i="1"/>
  <c r="I339" i="1"/>
  <c r="P339" i="1"/>
  <c r="S339" i="1"/>
  <c r="G339" i="5" s="1"/>
  <c r="AC339" i="1"/>
  <c r="AO339" i="1"/>
  <c r="AI339" i="1" s="1"/>
  <c r="AJ339" i="1" s="1"/>
  <c r="AR339" i="1"/>
  <c r="AS339" i="1"/>
  <c r="AT339" i="1"/>
  <c r="AU339" i="1" s="1"/>
  <c r="AV339" i="1"/>
  <c r="AX339" i="1"/>
  <c r="AZ339" i="1"/>
  <c r="BA339" i="1"/>
  <c r="BB339" i="1"/>
  <c r="BC339" i="1"/>
  <c r="BI339" i="1"/>
  <c r="BL339" i="1" s="1"/>
  <c r="BJ339" i="1"/>
  <c r="BM339" i="1"/>
  <c r="BO339" i="1"/>
  <c r="BT339" i="1"/>
  <c r="AW339" i="1" s="1"/>
  <c r="BV339" i="1"/>
  <c r="BY339" i="1"/>
  <c r="CB339" i="1"/>
  <c r="CC339" i="1"/>
  <c r="CE339" i="1"/>
  <c r="CF339" i="1"/>
  <c r="CG339" i="1"/>
  <c r="CH339" i="1"/>
  <c r="CI339" i="1"/>
  <c r="CJ339" i="1"/>
  <c r="I340" i="1"/>
  <c r="P340" i="1"/>
  <c r="CA340" i="1" s="1"/>
  <c r="AC340" i="1"/>
  <c r="AI340" i="1"/>
  <c r="AJ340" i="1" s="1"/>
  <c r="AO340" i="1"/>
  <c r="AR340" i="1"/>
  <c r="AS340" i="1"/>
  <c r="AT340" i="1"/>
  <c r="AU340" i="1" s="1"/>
  <c r="AV340" i="1"/>
  <c r="AX340" i="1"/>
  <c r="AZ340" i="1"/>
  <c r="BA340" i="1"/>
  <c r="BB340" i="1"/>
  <c r="BC340" i="1"/>
  <c r="BI340" i="1"/>
  <c r="BL340" i="1" s="1"/>
  <c r="BJ340" i="1"/>
  <c r="BM340" i="1"/>
  <c r="BO340" i="1"/>
  <c r="BT340" i="1"/>
  <c r="AW340" i="1" s="1"/>
  <c r="BV340" i="1"/>
  <c r="BY340" i="1"/>
  <c r="CB340" i="1"/>
  <c r="CC340" i="1"/>
  <c r="CE340" i="1"/>
  <c r="CF340" i="1"/>
  <c r="CG340" i="1"/>
  <c r="CH340" i="1"/>
  <c r="CI340" i="1"/>
  <c r="CJ340" i="1"/>
  <c r="I341" i="1"/>
  <c r="N341" i="1"/>
  <c r="O341" i="1"/>
  <c r="P341" i="1"/>
  <c r="CA341" i="1" s="1"/>
  <c r="AC341" i="1"/>
  <c r="AI341" i="1"/>
  <c r="S341" i="5" s="1"/>
  <c r="AO341" i="1"/>
  <c r="S341" i="1" s="1"/>
  <c r="T341" i="1" s="1"/>
  <c r="AR341" i="1"/>
  <c r="AS341" i="1"/>
  <c r="AT341" i="1"/>
  <c r="AU341" i="1" s="1"/>
  <c r="AV341" i="1"/>
  <c r="AX341" i="1"/>
  <c r="BA341" i="1"/>
  <c r="BB341" i="1"/>
  <c r="BC341" i="1"/>
  <c r="BI341" i="1"/>
  <c r="BL341" i="1" s="1"/>
  <c r="BJ341" i="1"/>
  <c r="BM341" i="1"/>
  <c r="BO341" i="1"/>
  <c r="BT341" i="1"/>
  <c r="AW341" i="1" s="1"/>
  <c r="BV341" i="1"/>
  <c r="BY341" i="1"/>
  <c r="CB341" i="1"/>
  <c r="CC341" i="1"/>
  <c r="CE341" i="1"/>
  <c r="CF341" i="1"/>
  <c r="CG341" i="1"/>
  <c r="CH341" i="1"/>
  <c r="CI341" i="1"/>
  <c r="CJ341" i="1"/>
  <c r="I342" i="1"/>
  <c r="N342" i="1"/>
  <c r="O342" i="1"/>
  <c r="P342" i="1"/>
  <c r="CA342" i="1" s="1"/>
  <c r="S342" i="1"/>
  <c r="G342" i="5" s="1"/>
  <c r="AC342" i="1"/>
  <c r="AI342" i="1"/>
  <c r="S342" i="5" s="1"/>
  <c r="AO342" i="1"/>
  <c r="AP342" i="1" s="1"/>
  <c r="AB342" i="5" s="1"/>
  <c r="AR342" i="1"/>
  <c r="AS342" i="1"/>
  <c r="AT342" i="1"/>
  <c r="AU342" i="1" s="1"/>
  <c r="AV342" i="1"/>
  <c r="AX342" i="1"/>
  <c r="AZ342" i="1"/>
  <c r="BA342" i="1"/>
  <c r="BB342" i="1"/>
  <c r="BC342" i="1"/>
  <c r="BI342" i="1"/>
  <c r="BL342" i="1" s="1"/>
  <c r="BJ342" i="1"/>
  <c r="BM342" i="1"/>
  <c r="BO342" i="1"/>
  <c r="BT342" i="1"/>
  <c r="AW342" i="1" s="1"/>
  <c r="BV342" i="1"/>
  <c r="BY342" i="1"/>
  <c r="CB342" i="1"/>
  <c r="CC342" i="1"/>
  <c r="CE342" i="1"/>
  <c r="CF342" i="1"/>
  <c r="CG342" i="1"/>
  <c r="CH342" i="1"/>
  <c r="CI342" i="1"/>
  <c r="CJ342" i="1"/>
  <c r="I343" i="1"/>
  <c r="P343" i="1"/>
  <c r="CA343" i="1" s="1"/>
  <c r="AC343" i="1"/>
  <c r="AO343" i="1"/>
  <c r="AR343" i="1"/>
  <c r="AS343" i="1"/>
  <c r="AT343" i="1"/>
  <c r="AU343" i="1" s="1"/>
  <c r="AV343" i="1"/>
  <c r="BA343" i="1"/>
  <c r="BB343" i="1"/>
  <c r="BM343" i="1"/>
  <c r="BT343" i="1"/>
  <c r="AW343" i="1" s="1"/>
  <c r="BV343" i="1"/>
  <c r="BY343" i="1"/>
  <c r="I344" i="1"/>
  <c r="P344" i="1"/>
  <c r="CA344" i="1" s="1"/>
  <c r="AC344" i="1"/>
  <c r="AO344" i="1"/>
  <c r="AR344" i="1"/>
  <c r="AS344" i="1"/>
  <c r="AT344" i="1"/>
  <c r="AU344" i="1" s="1"/>
  <c r="AV344" i="1"/>
  <c r="BA344" i="1"/>
  <c r="BB344" i="1"/>
  <c r="BM344" i="1"/>
  <c r="BT344" i="1"/>
  <c r="AW344" i="1" s="1"/>
  <c r="BV344" i="1"/>
  <c r="BY344" i="1"/>
  <c r="I345" i="1"/>
  <c r="P345" i="1"/>
  <c r="CA345" i="1" s="1"/>
  <c r="AC345" i="1"/>
  <c r="AI345" i="1"/>
  <c r="AJ345" i="1" s="1"/>
  <c r="AO345" i="1"/>
  <c r="AR345" i="1"/>
  <c r="AS345" i="1"/>
  <c r="AT345" i="1"/>
  <c r="AU345" i="1" s="1"/>
  <c r="AV345" i="1"/>
  <c r="AX345" i="1"/>
  <c r="AZ345" i="1"/>
  <c r="BA345" i="1"/>
  <c r="BB345" i="1"/>
  <c r="BC345" i="1"/>
  <c r="BI345" i="1"/>
  <c r="BL345" i="1" s="1"/>
  <c r="BJ345" i="1"/>
  <c r="BM345" i="1"/>
  <c r="BO345" i="1"/>
  <c r="BT345" i="1"/>
  <c r="AW345" i="1" s="1"/>
  <c r="BV345" i="1"/>
  <c r="BY345" i="1"/>
  <c r="CB345" i="1"/>
  <c r="CC345" i="1"/>
  <c r="CE345" i="1"/>
  <c r="CF345" i="1"/>
  <c r="CG345" i="1"/>
  <c r="CH345" i="1"/>
  <c r="CI345" i="1"/>
  <c r="CJ345" i="1"/>
  <c r="BT261" i="3" l="1"/>
  <c r="BK260" i="3"/>
  <c r="BK254" i="3"/>
  <c r="BS263" i="3"/>
  <c r="BN263" i="3"/>
  <c r="BJ263" i="3"/>
  <c r="BV263" i="3" s="1"/>
  <c r="BO237" i="3"/>
  <c r="BL237" i="3"/>
  <c r="BR235" i="3"/>
  <c r="BV235" i="3" s="1"/>
  <c r="BN235" i="3"/>
  <c r="BO235" i="3"/>
  <c r="BL235" i="3"/>
  <c r="AU235" i="3"/>
  <c r="BO254" i="3"/>
  <c r="BO263" i="3"/>
  <c r="BK244" i="3"/>
  <c r="AZ255" i="3"/>
  <c r="BB254" i="3"/>
  <c r="BN254" i="3" s="1"/>
  <c r="BB255" i="3"/>
  <c r="BN255" i="3" s="1"/>
  <c r="BU265" i="3"/>
  <c r="BM265" i="3"/>
  <c r="AX294" i="3"/>
  <c r="BB294" i="3"/>
  <c r="BJ294" i="3"/>
  <c r="AU254" i="3"/>
  <c r="BT254" i="3"/>
  <c r="BT305" i="3"/>
  <c r="BO260" i="3"/>
  <c r="BR254" i="3"/>
  <c r="BV254" i="3" s="1"/>
  <c r="BB260" i="3"/>
  <c r="BN260" i="3" s="1"/>
  <c r="AZ250" i="3"/>
  <c r="BI250" i="3"/>
  <c r="BU255" i="3"/>
  <c r="BQ255" i="3"/>
  <c r="BT215" i="3"/>
  <c r="BT220" i="3"/>
  <c r="BI317" i="3"/>
  <c r="BM317" i="3" s="1"/>
  <c r="BO244" i="3"/>
  <c r="BS230" i="3"/>
  <c r="BT317" i="3"/>
  <c r="BT230" i="3"/>
  <c r="BT285" i="3"/>
  <c r="BL268" i="3"/>
  <c r="BS268" i="3"/>
  <c r="BO250" i="3"/>
  <c r="BK250" i="3"/>
  <c r="BO288" i="3"/>
  <c r="BC288" i="3"/>
  <c r="BM288" i="3" s="1"/>
  <c r="AU255" i="3"/>
  <c r="BT306" i="3"/>
  <c r="AW261" i="3"/>
  <c r="AW268" i="3"/>
  <c r="AI301" i="1"/>
  <c r="G321" i="5"/>
  <c r="BB288" i="3"/>
  <c r="BC250" i="3"/>
  <c r="BC260" i="3"/>
  <c r="BM260" i="3"/>
  <c r="AZ260" i="3"/>
  <c r="BI260" i="3"/>
  <c r="BQ260" i="3"/>
  <c r="AV254" i="3"/>
  <c r="BS247" i="3"/>
  <c r="BK329" i="3"/>
  <c r="BI291" i="3"/>
  <c r="BU291" i="3" s="1"/>
  <c r="CA331" i="1"/>
  <c r="BO243" i="3"/>
  <c r="BQ250" i="3"/>
  <c r="BU250" i="3"/>
  <c r="AP331" i="1"/>
  <c r="AB331" i="5" s="1"/>
  <c r="BE263" i="3"/>
  <c r="BL263" i="3" s="1"/>
  <c r="BJ314" i="3"/>
  <c r="BR314" i="3" s="1"/>
  <c r="BV314" i="3" s="1"/>
  <c r="BT318" i="3"/>
  <c r="BL244" i="3"/>
  <c r="BK252" i="3"/>
  <c r="BO261" i="3"/>
  <c r="BL261" i="3"/>
  <c r="BK267" i="3"/>
  <c r="BK303" i="3"/>
  <c r="BS285" i="3"/>
  <c r="BQ261" i="3"/>
  <c r="BC261" i="3"/>
  <c r="BM261" i="3"/>
  <c r="AZ261" i="3"/>
  <c r="BU261" i="3"/>
  <c r="BI261" i="3"/>
  <c r="BT255" i="3"/>
  <c r="AP294" i="1"/>
  <c r="AB294" i="5" s="1"/>
  <c r="AW263" i="3"/>
  <c r="AW260" i="3"/>
  <c r="BB261" i="3"/>
  <c r="BJ261" i="3"/>
  <c r="BE254" i="3"/>
  <c r="BL254" i="3" s="1"/>
  <c r="BJ230" i="3"/>
  <c r="AU230" i="3"/>
  <c r="BH233" i="1"/>
  <c r="AW250" i="3"/>
  <c r="AU252" i="3"/>
  <c r="CA326" i="1"/>
  <c r="AP237" i="1"/>
  <c r="AB237" i="5" s="1"/>
  <c r="AW254" i="3"/>
  <c r="AI334" i="1"/>
  <c r="AK334" i="1" s="1"/>
  <c r="BB250" i="3"/>
  <c r="BJ250" i="3"/>
  <c r="BT303" i="3"/>
  <c r="BO255" i="3"/>
  <c r="BS255" i="3"/>
  <c r="BS317" i="3"/>
  <c r="AU267" i="3"/>
  <c r="BS288" i="3"/>
  <c r="CA334" i="1"/>
  <c r="AV268" i="3"/>
  <c r="AU314" i="3"/>
  <c r="BL230" i="3"/>
  <c r="BO230" i="3"/>
  <c r="BB252" i="3"/>
  <c r="BN252" i="3" s="1"/>
  <c r="CA335" i="1"/>
  <c r="AV255" i="3"/>
  <c r="BR252" i="3"/>
  <c r="BV252" i="3" s="1"/>
  <c r="BS294" i="3"/>
  <c r="BI294" i="3"/>
  <c r="BU294" i="3" s="1"/>
  <c r="AU291" i="3"/>
  <c r="AU288" i="3"/>
  <c r="BT293" i="3"/>
  <c r="AW253" i="3"/>
  <c r="BL313" i="1"/>
  <c r="BE253" i="3"/>
  <c r="BL253" i="3" s="1"/>
  <c r="K322" i="1"/>
  <c r="AW252" i="3"/>
  <c r="BB253" i="3"/>
  <c r="BJ253" i="3"/>
  <c r="AU253" i="3"/>
  <c r="BO253" i="3"/>
  <c r="BL252" i="3"/>
  <c r="BO252" i="3"/>
  <c r="J337" i="1"/>
  <c r="BH335" i="1"/>
  <c r="BE255" i="3"/>
  <c r="BL255" i="3" s="1"/>
  <c r="AW255" i="3"/>
  <c r="AI335" i="1"/>
  <c r="BK318" i="3"/>
  <c r="BO291" i="3"/>
  <c r="BI318" i="3"/>
  <c r="BM318" i="3" s="1"/>
  <c r="AV303" i="3"/>
  <c r="BO318" i="3"/>
  <c r="BE303" i="3"/>
  <c r="BL303" i="3" s="1"/>
  <c r="AV285" i="3"/>
  <c r="AW267" i="3"/>
  <c r="AW244" i="3"/>
  <c r="BH294" i="3"/>
  <c r="BO294" i="3" s="1"/>
  <c r="AU294" i="3"/>
  <c r="S311" i="1"/>
  <c r="AU318" i="3"/>
  <c r="BN244" i="3"/>
  <c r="BS282" i="3"/>
  <c r="AU244" i="3"/>
  <c r="AV329" i="3"/>
  <c r="CA339" i="1"/>
  <c r="BK284" i="3"/>
  <c r="BJ288" i="3"/>
  <c r="BR288" i="3" s="1"/>
  <c r="BV288" i="3" s="1"/>
  <c r="S314" i="1"/>
  <c r="U314" i="1" s="1"/>
  <c r="CA314" i="1"/>
  <c r="AW293" i="3"/>
  <c r="BK199" i="3"/>
  <c r="BJ285" i="3"/>
  <c r="BB285" i="3"/>
  <c r="V285" i="3"/>
  <c r="AW288" i="3"/>
  <c r="BE267" i="3"/>
  <c r="BL267" i="3" s="1"/>
  <c r="BL329" i="3"/>
  <c r="BO329" i="3"/>
  <c r="AV267" i="3"/>
  <c r="AW294" i="3"/>
  <c r="BE294" i="3"/>
  <c r="AV291" i="3"/>
  <c r="AW291" i="3"/>
  <c r="BT223" i="3"/>
  <c r="BO305" i="3"/>
  <c r="BR247" i="3"/>
  <c r="AX318" i="3"/>
  <c r="BI267" i="3"/>
  <c r="BO267" i="3"/>
  <c r="BT314" i="3"/>
  <c r="V247" i="3"/>
  <c r="AX247" i="3" s="1"/>
  <c r="BJ318" i="3"/>
  <c r="BR318" i="3" s="1"/>
  <c r="AV318" i="3"/>
  <c r="S285" i="1"/>
  <c r="W285" i="1" s="1"/>
  <c r="AW285" i="3"/>
  <c r="AU247" i="3"/>
  <c r="BO303" i="3"/>
  <c r="BS307" i="3"/>
  <c r="BK280" i="3"/>
  <c r="BE285" i="3"/>
  <c r="BL285" i="3" s="1"/>
  <c r="BE303" i="1"/>
  <c r="AW303" i="3"/>
  <c r="AU285" i="3"/>
  <c r="BO285" i="3"/>
  <c r="BK291" i="3"/>
  <c r="BS291" i="3"/>
  <c r="J311" i="1"/>
  <c r="CD311" i="1" s="1"/>
  <c r="AW329" i="3"/>
  <c r="BB247" i="3"/>
  <c r="BV294" i="3"/>
  <c r="BR294" i="3"/>
  <c r="BJ329" i="3"/>
  <c r="BB329" i="3"/>
  <c r="AV294" i="3"/>
  <c r="AI318" i="1"/>
  <c r="AK318" i="1" s="1"/>
  <c r="J314" i="1"/>
  <c r="BE291" i="3"/>
  <c r="BL291" i="3" s="1"/>
  <c r="AI311" i="1"/>
  <c r="BB318" i="3"/>
  <c r="AU303" i="3"/>
  <c r="BJ303" i="3"/>
  <c r="AU329" i="3"/>
  <c r="BC267" i="3"/>
  <c r="BT329" i="3"/>
  <c r="BJ267" i="3"/>
  <c r="V267" i="3"/>
  <c r="BB303" i="3"/>
  <c r="V291" i="3"/>
  <c r="BJ291" i="3"/>
  <c r="AW317" i="3"/>
  <c r="AW318" i="3"/>
  <c r="AZ344" i="1"/>
  <c r="BK293" i="3"/>
  <c r="BS321" i="3"/>
  <c r="AV317" i="3"/>
  <c r="BE317" i="3"/>
  <c r="BL317" i="3" s="1"/>
  <c r="BO317" i="3"/>
  <c r="AV288" i="3"/>
  <c r="AQ171" i="3"/>
  <c r="S329" i="1"/>
  <c r="G329" i="5" s="1"/>
  <c r="H329" i="5" s="1"/>
  <c r="S343" i="1"/>
  <c r="V343" i="1" s="1"/>
  <c r="AQ328" i="3"/>
  <c r="AU317" i="3"/>
  <c r="AX288" i="3"/>
  <c r="BH341" i="1"/>
  <c r="BE318" i="3"/>
  <c r="BL318" i="3" s="1"/>
  <c r="V317" i="3"/>
  <c r="BJ317" i="3"/>
  <c r="BB314" i="3"/>
  <c r="BI315" i="3"/>
  <c r="BM315" i="3" s="1"/>
  <c r="BT247" i="3"/>
  <c r="BS236" i="3"/>
  <c r="BO321" i="3"/>
  <c r="BE292" i="1"/>
  <c r="AI310" i="1"/>
  <c r="AM310" i="1" s="1"/>
  <c r="AP295" i="1"/>
  <c r="AB295" i="5" s="1"/>
  <c r="BO247" i="3"/>
  <c r="BL247" i="3"/>
  <c r="BL243" i="3"/>
  <c r="BK275" i="3"/>
  <c r="BM213" i="3"/>
  <c r="BS275" i="3"/>
  <c r="BI213" i="3"/>
  <c r="BK276" i="3"/>
  <c r="AU220" i="3"/>
  <c r="BS315" i="3"/>
  <c r="BO314" i="3"/>
  <c r="BK258" i="3"/>
  <c r="BS243" i="3"/>
  <c r="BC258" i="3"/>
  <c r="BM258" i="3"/>
  <c r="AZ258" i="3"/>
  <c r="BI258" i="3"/>
  <c r="BQ258" i="3"/>
  <c r="BS293" i="3"/>
  <c r="BU293" i="3"/>
  <c r="BM293" i="3"/>
  <c r="V293" i="3"/>
  <c r="BJ293" i="3"/>
  <c r="BO293" i="3"/>
  <c r="J312" i="1"/>
  <c r="CD312" i="1" s="1"/>
  <c r="S328" i="1"/>
  <c r="AU293" i="3"/>
  <c r="AI316" i="1"/>
  <c r="AM316" i="1" s="1"/>
  <c r="CA316" i="1"/>
  <c r="BS314" i="3"/>
  <c r="AU315" i="3"/>
  <c r="AX314" i="3"/>
  <c r="BN314" i="3"/>
  <c r="S304" i="1"/>
  <c r="T304" i="1" s="1"/>
  <c r="BU314" i="3"/>
  <c r="BT315" i="3"/>
  <c r="BO315" i="3"/>
  <c r="AP305" i="1"/>
  <c r="AB305" i="5" s="1"/>
  <c r="S305" i="1"/>
  <c r="V315" i="3"/>
  <c r="BJ315" i="3"/>
  <c r="BB315" i="3"/>
  <c r="BS320" i="3"/>
  <c r="AZ213" i="3"/>
  <c r="BI276" i="3"/>
  <c r="BM276" i="3" s="1"/>
  <c r="BT296" i="3"/>
  <c r="BC213" i="3"/>
  <c r="BK297" i="3"/>
  <c r="BT304" i="3"/>
  <c r="BK312" i="3"/>
  <c r="BK227" i="3"/>
  <c r="BQ213" i="3"/>
  <c r="BS210" i="3"/>
  <c r="BT265" i="3"/>
  <c r="BO306" i="3"/>
  <c r="BO320" i="3"/>
  <c r="BH290" i="1"/>
  <c r="BO312" i="3"/>
  <c r="AP283" i="1"/>
  <c r="AB283" i="5" s="1"/>
  <c r="BI296" i="3"/>
  <c r="BM296" i="3" s="1"/>
  <c r="BK296" i="3"/>
  <c r="BS211" i="3"/>
  <c r="BO214" i="3"/>
  <c r="BL214" i="3"/>
  <c r="BS214" i="3"/>
  <c r="BO258" i="3"/>
  <c r="BD282" i="1"/>
  <c r="BT258" i="3"/>
  <c r="CA298" i="1"/>
  <c r="K281" i="1"/>
  <c r="CA297" i="1"/>
  <c r="CA296" i="1"/>
  <c r="BK238" i="3"/>
  <c r="BO215" i="3"/>
  <c r="BO304" i="3"/>
  <c r="BK198" i="3"/>
  <c r="AZ227" i="3"/>
  <c r="BS251" i="3"/>
  <c r="BK265" i="3"/>
  <c r="AX329" i="1"/>
  <c r="BI238" i="3"/>
  <c r="BK304" i="3"/>
  <c r="BS222" i="3"/>
  <c r="BK327" i="3"/>
  <c r="BO213" i="3"/>
  <c r="BU238" i="3"/>
  <c r="BS245" i="3"/>
  <c r="CJ343" i="1"/>
  <c r="BO220" i="3"/>
  <c r="BL215" i="3"/>
  <c r="BC329" i="1"/>
  <c r="BO225" i="3"/>
  <c r="BT280" i="3"/>
  <c r="BO343" i="1"/>
  <c r="BQ343" i="1" s="1"/>
  <c r="BN343" i="1" s="1"/>
  <c r="BI277" i="3"/>
  <c r="BU277" i="3" s="1"/>
  <c r="BJ343" i="1"/>
  <c r="BK343" i="1" s="1"/>
  <c r="BI343" i="1"/>
  <c r="BL343" i="1" s="1"/>
  <c r="AI294" i="1"/>
  <c r="AL294" i="1" s="1"/>
  <c r="AU296" i="3"/>
  <c r="BO265" i="3"/>
  <c r="AZ229" i="3"/>
  <c r="BQ229" i="3"/>
  <c r="AZ238" i="3"/>
  <c r="BQ301" i="3"/>
  <c r="BC238" i="3"/>
  <c r="BQ238" i="3"/>
  <c r="BI208" i="3"/>
  <c r="BC208" i="3"/>
  <c r="BM208" i="3"/>
  <c r="AZ208" i="3"/>
  <c r="BB266" i="3"/>
  <c r="V266" i="3"/>
  <c r="AX266" i="3" s="1"/>
  <c r="K276" i="1"/>
  <c r="BO245" i="3"/>
  <c r="BO251" i="3"/>
  <c r="BU229" i="3"/>
  <c r="BI301" i="3"/>
  <c r="BU301" i="3" s="1"/>
  <c r="CB329" i="1"/>
  <c r="BS217" i="3"/>
  <c r="BO275" i="3"/>
  <c r="BM229" i="3"/>
  <c r="BC229" i="3"/>
  <c r="BK306" i="3"/>
  <c r="BL220" i="3"/>
  <c r="BU227" i="3"/>
  <c r="BK316" i="3"/>
  <c r="BO217" i="3"/>
  <c r="BL217" i="3"/>
  <c r="CA291" i="1"/>
  <c r="AI333" i="1"/>
  <c r="AK333" i="1" s="1"/>
  <c r="BS246" i="3"/>
  <c r="BK292" i="3"/>
  <c r="BM227" i="3"/>
  <c r="BS266" i="3"/>
  <c r="BO209" i="3"/>
  <c r="BQ208" i="3"/>
  <c r="BK324" i="3"/>
  <c r="BJ275" i="3"/>
  <c r="BR275" i="3" s="1"/>
  <c r="AU275" i="3"/>
  <c r="BC227" i="3"/>
  <c r="BS220" i="3"/>
  <c r="BQ227" i="3"/>
  <c r="BO316" i="3"/>
  <c r="BS207" i="3"/>
  <c r="BT198" i="3"/>
  <c r="BT199" i="3"/>
  <c r="BS216" i="3"/>
  <c r="BK213" i="3"/>
  <c r="BT301" i="3"/>
  <c r="BS229" i="3"/>
  <c r="BK249" i="3"/>
  <c r="BO207" i="3"/>
  <c r="AQ295" i="3"/>
  <c r="BL216" i="3"/>
  <c r="BO216" i="3"/>
  <c r="AI286" i="1"/>
  <c r="AL286" i="1" s="1"/>
  <c r="BD272" i="1"/>
  <c r="BH287" i="1"/>
  <c r="BS301" i="3"/>
  <c r="BL225" i="3"/>
  <c r="AI315" i="1"/>
  <c r="AM315" i="1" s="1"/>
  <c r="BS305" i="3"/>
  <c r="BS323" i="3"/>
  <c r="BL213" i="3"/>
  <c r="BQ225" i="3"/>
  <c r="AZ225" i="3"/>
  <c r="BU207" i="3"/>
  <c r="BC225" i="3"/>
  <c r="BI207" i="3"/>
  <c r="BM207" i="3"/>
  <c r="BS300" i="3"/>
  <c r="BK209" i="3"/>
  <c r="BK225" i="3"/>
  <c r="AZ207" i="3"/>
  <c r="BI225" i="3"/>
  <c r="BM225" i="3"/>
  <c r="BS277" i="3"/>
  <c r="BQ207" i="3"/>
  <c r="BT213" i="3"/>
  <c r="BT282" i="3"/>
  <c r="BO301" i="3"/>
  <c r="BH286" i="1"/>
  <c r="CA286" i="1"/>
  <c r="BJ296" i="3"/>
  <c r="BB296" i="3"/>
  <c r="V296" i="3"/>
  <c r="BH285" i="1"/>
  <c r="S281" i="1"/>
  <c r="W281" i="1" s="1"/>
  <c r="BO327" i="3"/>
  <c r="AP265" i="1"/>
  <c r="AB265" i="5" s="1"/>
  <c r="BT327" i="3"/>
  <c r="AI280" i="1"/>
  <c r="AJ280" i="1" s="1"/>
  <c r="AI276" i="1"/>
  <c r="AM276" i="1" s="1"/>
  <c r="BO280" i="3"/>
  <c r="AI268" i="1"/>
  <c r="AL268" i="1" s="1"/>
  <c r="AI312" i="1"/>
  <c r="AK312" i="1" s="1"/>
  <c r="BS215" i="3"/>
  <c r="CA276" i="1"/>
  <c r="CA275" i="1"/>
  <c r="BO284" i="3"/>
  <c r="AP259" i="1"/>
  <c r="AB259" i="5" s="1"/>
  <c r="BU220" i="3"/>
  <c r="AI284" i="1"/>
  <c r="AJ284" i="1" s="1"/>
  <c r="BO282" i="3"/>
  <c r="AI319" i="1"/>
  <c r="AK319" i="1" s="1"/>
  <c r="BJ199" i="3"/>
  <c r="V199" i="3"/>
  <c r="BB199" i="3"/>
  <c r="BO199" i="3"/>
  <c r="BJ198" i="3"/>
  <c r="V198" i="3"/>
  <c r="BO198" i="3"/>
  <c r="BB198" i="3"/>
  <c r="AU198" i="3"/>
  <c r="AP301" i="1"/>
  <c r="AB301" i="5" s="1"/>
  <c r="BH317" i="1"/>
  <c r="J338" i="1"/>
  <c r="CD338" i="1" s="1"/>
  <c r="AP306" i="1"/>
  <c r="AB306" i="5" s="1"/>
  <c r="AI322" i="1"/>
  <c r="AM322" i="1" s="1"/>
  <c r="AZ338" i="1"/>
  <c r="V275" i="3"/>
  <c r="AX275" i="3" s="1"/>
  <c r="BB229" i="3"/>
  <c r="BO229" i="3"/>
  <c r="CA282" i="1"/>
  <c r="BO307" i="3"/>
  <c r="BO297" i="3"/>
  <c r="BT297" i="3"/>
  <c r="CF329" i="1"/>
  <c r="CE329" i="1"/>
  <c r="BK281" i="3"/>
  <c r="BK298" i="3"/>
  <c r="CC329" i="1"/>
  <c r="AQ329" i="1" s="1"/>
  <c r="BS329" i="1" s="1"/>
  <c r="BO230" i="1"/>
  <c r="BQ230" i="1" s="1"/>
  <c r="BN230" i="1" s="1"/>
  <c r="BS286" i="3"/>
  <c r="BS299" i="3"/>
  <c r="O329" i="1"/>
  <c r="CE230" i="1"/>
  <c r="CB230" i="1"/>
  <c r="K230" i="1"/>
  <c r="BS241" i="3"/>
  <c r="BL241" i="3"/>
  <c r="BO240" i="3"/>
  <c r="BZ325" i="1"/>
  <c r="BZ315" i="1"/>
  <c r="BK239" i="3"/>
  <c r="BK223" i="3"/>
  <c r="AP274" i="3"/>
  <c r="AQ274" i="3" s="1"/>
  <c r="AY279" i="1"/>
  <c r="CJ344" i="1"/>
  <c r="BC344" i="1"/>
  <c r="BZ269" i="1"/>
  <c r="BZ243" i="1"/>
  <c r="S344" i="1"/>
  <c r="G344" i="5" s="1"/>
  <c r="J344" i="5" s="1"/>
  <c r="BS208" i="3"/>
  <c r="CG344" i="1"/>
  <c r="W271" i="3"/>
  <c r="BC271" i="3" s="1"/>
  <c r="AY343" i="1"/>
  <c r="CF344" i="1"/>
  <c r="CI343" i="1"/>
  <c r="BI344" i="1"/>
  <c r="BL344" i="1" s="1"/>
  <c r="AY344" i="1"/>
  <c r="BJ344" i="1"/>
  <c r="BK344" i="1" s="1"/>
  <c r="BO278" i="1"/>
  <c r="AY278" i="1"/>
  <c r="AX344" i="1"/>
  <c r="CC344" i="1"/>
  <c r="AQ344" i="1" s="1"/>
  <c r="BS344" i="1" s="1"/>
  <c r="BZ281" i="1"/>
  <c r="BO329" i="1"/>
  <c r="BQ329" i="1" s="1"/>
  <c r="BN329" i="1" s="1"/>
  <c r="AY329" i="1"/>
  <c r="AP228" i="3"/>
  <c r="AQ228" i="3" s="1"/>
  <c r="AY230" i="1"/>
  <c r="CB344" i="1"/>
  <c r="BZ248" i="1"/>
  <c r="CI344" i="1"/>
  <c r="CE344" i="1"/>
  <c r="AX278" i="1"/>
  <c r="BZ312" i="1"/>
  <c r="BZ284" i="1"/>
  <c r="CH329" i="1"/>
  <c r="AZ329" i="1"/>
  <c r="BZ247" i="1"/>
  <c r="BD299" i="1"/>
  <c r="BZ252" i="1"/>
  <c r="BZ250" i="1"/>
  <c r="BZ274" i="1"/>
  <c r="BZ239" i="1"/>
  <c r="BZ345" i="1"/>
  <c r="BZ333" i="1"/>
  <c r="CA277" i="1"/>
  <c r="BZ259" i="1"/>
  <c r="BZ241" i="1"/>
  <c r="BZ236" i="1"/>
  <c r="BZ302" i="1"/>
  <c r="BZ339" i="1"/>
  <c r="BZ290" i="1"/>
  <c r="BO241" i="3"/>
  <c r="BK240" i="3"/>
  <c r="BT241" i="3"/>
  <c r="BK290" i="3"/>
  <c r="BT246" i="3"/>
  <c r="BZ262" i="1"/>
  <c r="BZ240" i="1"/>
  <c r="BZ235" i="1"/>
  <c r="BZ263" i="1"/>
  <c r="BZ261" i="1"/>
  <c r="BZ245" i="1"/>
  <c r="BZ234" i="1"/>
  <c r="AN336" i="1"/>
  <c r="BZ336" i="1"/>
  <c r="BK328" i="1"/>
  <c r="BZ328" i="1"/>
  <c r="BK321" i="1"/>
  <c r="BZ321" i="1"/>
  <c r="AN318" i="1"/>
  <c r="BZ318" i="1"/>
  <c r="BK287" i="1"/>
  <c r="BZ287" i="1"/>
  <c r="CA287" i="1"/>
  <c r="AN308" i="1"/>
  <c r="BZ308" i="1"/>
  <c r="BK305" i="1"/>
  <c r="BZ305" i="1"/>
  <c r="AN292" i="1"/>
  <c r="BZ292" i="1"/>
  <c r="AN340" i="1"/>
  <c r="BZ340" i="1"/>
  <c r="AN299" i="1"/>
  <c r="BZ299" i="1"/>
  <c r="CA299" i="1"/>
  <c r="BZ296" i="1"/>
  <c r="BK338" i="1"/>
  <c r="BZ338" i="1"/>
  <c r="AN335" i="1"/>
  <c r="BZ335" i="1"/>
  <c r="BK331" i="1"/>
  <c r="BZ331" i="1"/>
  <c r="BK327" i="1"/>
  <c r="BZ327" i="1"/>
  <c r="BK320" i="1"/>
  <c r="BZ320" i="1"/>
  <c r="BZ317" i="1"/>
  <c r="AN314" i="1"/>
  <c r="BZ314" i="1"/>
  <c r="BZ311" i="1"/>
  <c r="BZ286" i="1"/>
  <c r="BZ283" i="1"/>
  <c r="BK280" i="1"/>
  <c r="BZ280" i="1"/>
  <c r="BK323" i="1"/>
  <c r="BZ323" i="1"/>
  <c r="BZ301" i="1"/>
  <c r="AN277" i="1"/>
  <c r="BZ277" i="1"/>
  <c r="BK307" i="1"/>
  <c r="BZ307" i="1"/>
  <c r="BZ304" i="1"/>
  <c r="AN294" i="1"/>
  <c r="BZ294" i="1"/>
  <c r="BZ291" i="1"/>
  <c r="BZ289" i="1"/>
  <c r="AN341" i="1"/>
  <c r="BZ341" i="1"/>
  <c r="AN297" i="1"/>
  <c r="BZ297" i="1"/>
  <c r="AN272" i="1"/>
  <c r="BZ272" i="1"/>
  <c r="AN249" i="1"/>
  <c r="BZ249" i="1"/>
  <c r="AN275" i="1"/>
  <c r="BZ275" i="1"/>
  <c r="BZ257" i="1"/>
  <c r="BK253" i="1"/>
  <c r="BZ253" i="1"/>
  <c r="BZ251" i="1"/>
  <c r="BZ231" i="1"/>
  <c r="CA231" i="1"/>
  <c r="BK270" i="1"/>
  <c r="BZ270" i="1"/>
  <c r="BZ267" i="1"/>
  <c r="BZ255" i="1"/>
  <c r="BZ264" i="1"/>
  <c r="AN238" i="1"/>
  <c r="BZ238" i="1"/>
  <c r="BK337" i="1"/>
  <c r="BZ337" i="1"/>
  <c r="AN334" i="1"/>
  <c r="BZ334" i="1"/>
  <c r="BZ332" i="1"/>
  <c r="BK330" i="1"/>
  <c r="BZ330" i="1"/>
  <c r="BZ326" i="1"/>
  <c r="BZ322" i="1"/>
  <c r="BZ319" i="1"/>
  <c r="AN316" i="1"/>
  <c r="BZ316" i="1"/>
  <c r="BZ313" i="1"/>
  <c r="BK310" i="1"/>
  <c r="BZ310" i="1"/>
  <c r="BZ288" i="1"/>
  <c r="BZ285" i="1"/>
  <c r="BZ282" i="1"/>
  <c r="AN273" i="1"/>
  <c r="BZ273" i="1"/>
  <c r="AN260" i="1"/>
  <c r="BZ260" i="1"/>
  <c r="CA260" i="1"/>
  <c r="BK242" i="1"/>
  <c r="BZ242" i="1"/>
  <c r="BZ233" i="1"/>
  <c r="CA233" i="1"/>
  <c r="BK342" i="1"/>
  <c r="BZ342" i="1"/>
  <c r="BZ295" i="1"/>
  <c r="BK276" i="1"/>
  <c r="BZ276" i="1"/>
  <c r="AN244" i="1"/>
  <c r="BZ244" i="1"/>
  <c r="AN298" i="1"/>
  <c r="BZ298" i="1"/>
  <c r="BZ306" i="1"/>
  <c r="BK303" i="1"/>
  <c r="BZ303" i="1"/>
  <c r="BK293" i="1"/>
  <c r="BZ293" i="1"/>
  <c r="BK271" i="1"/>
  <c r="BZ271" i="1"/>
  <c r="BK268" i="1"/>
  <c r="BZ268" i="1"/>
  <c r="BZ246" i="1"/>
  <c r="BZ237" i="1"/>
  <c r="BK265" i="1"/>
  <c r="BZ265" i="1"/>
  <c r="BZ258" i="1"/>
  <c r="AN256" i="1"/>
  <c r="BZ256" i="1"/>
  <c r="BZ254" i="1"/>
  <c r="BZ232" i="1"/>
  <c r="CA232" i="1"/>
  <c r="BO328" i="3"/>
  <c r="BK328" i="3"/>
  <c r="BS328" i="3"/>
  <c r="AP271" i="1"/>
  <c r="AB271" i="5" s="1"/>
  <c r="BO299" i="3"/>
  <c r="BK263" i="1"/>
  <c r="BU266" i="3"/>
  <c r="AU266" i="3"/>
  <c r="BO266" i="3"/>
  <c r="BT266" i="3"/>
  <c r="S265" i="5"/>
  <c r="T265" i="5" s="1"/>
  <c r="BT324" i="3"/>
  <c r="BT212" i="3"/>
  <c r="K264" i="1"/>
  <c r="V246" i="3"/>
  <c r="BJ246" i="3"/>
  <c r="BO246" i="3"/>
  <c r="BL246" i="3"/>
  <c r="BB246" i="3"/>
  <c r="AU246" i="3"/>
  <c r="BO286" i="3"/>
  <c r="BD260" i="1"/>
  <c r="BB210" i="3"/>
  <c r="BK259" i="1"/>
  <c r="BT275" i="3"/>
  <c r="BO210" i="3"/>
  <c r="BL210" i="3"/>
  <c r="BH246" i="1"/>
  <c r="BJ209" i="3"/>
  <c r="V209" i="3"/>
  <c r="BB209" i="3"/>
  <c r="BH261" i="1"/>
  <c r="BH245" i="1"/>
  <c r="BH256" i="1"/>
  <c r="BE208" i="3"/>
  <c r="BL208" i="3" s="1"/>
  <c r="BJ207" i="3"/>
  <c r="V207" i="3"/>
  <c r="AU207" i="3"/>
  <c r="BB207" i="3"/>
  <c r="BB208" i="3"/>
  <c r="BE255" i="1"/>
  <c r="BB295" i="3"/>
  <c r="BT249" i="3"/>
  <c r="BI295" i="3"/>
  <c r="BU295" i="3" s="1"/>
  <c r="BS221" i="3"/>
  <c r="BT290" i="3"/>
  <c r="AU249" i="3"/>
  <c r="BK242" i="3"/>
  <c r="BO223" i="3"/>
  <c r="AU223" i="3"/>
  <c r="BT295" i="3"/>
  <c r="BT242" i="3"/>
  <c r="BL240" i="3"/>
  <c r="BR295" i="3"/>
  <c r="BU275" i="3"/>
  <c r="V295" i="3"/>
  <c r="BS232" i="3"/>
  <c r="BS233" i="3"/>
  <c r="BL223" i="3"/>
  <c r="AU295" i="3"/>
  <c r="BS295" i="3"/>
  <c r="S254" i="1"/>
  <c r="W254" i="1" s="1"/>
  <c r="BO295" i="3"/>
  <c r="BO324" i="3"/>
  <c r="BE307" i="1"/>
  <c r="S323" i="1"/>
  <c r="BD288" i="1"/>
  <c r="S303" i="1"/>
  <c r="U303" i="1" s="1"/>
  <c r="BO323" i="3"/>
  <c r="BT323" i="3"/>
  <c r="BK251" i="1"/>
  <c r="AN232" i="1"/>
  <c r="AN239" i="1"/>
  <c r="AN245" i="1"/>
  <c r="AN234" i="1"/>
  <c r="AN240" i="1"/>
  <c r="AI249" i="1"/>
  <c r="V249" i="3"/>
  <c r="BJ249" i="3"/>
  <c r="BO249" i="3"/>
  <c r="BL249" i="3"/>
  <c r="AI247" i="1"/>
  <c r="AJ247" i="1" s="1"/>
  <c r="BE231" i="1"/>
  <c r="BK236" i="1"/>
  <c r="CE343" i="1"/>
  <c r="AZ343" i="1"/>
  <c r="CI230" i="1"/>
  <c r="BC230" i="1"/>
  <c r="S230" i="1"/>
  <c r="U230" i="1" s="1"/>
  <c r="BS283" i="3"/>
  <c r="BO344" i="1"/>
  <c r="BQ344" i="1" s="1"/>
  <c r="BN344" i="1" s="1"/>
  <c r="CC343" i="1"/>
  <c r="CJ329" i="1"/>
  <c r="BJ329" i="1"/>
  <c r="AI329" i="1"/>
  <c r="AK329" i="1" s="1"/>
  <c r="CB279" i="1"/>
  <c r="CG230" i="1"/>
  <c r="BS234" i="3"/>
  <c r="CB278" i="1"/>
  <c r="BC343" i="1"/>
  <c r="CF343" i="1"/>
  <c r="BJ278" i="1"/>
  <c r="CJ230" i="1"/>
  <c r="BJ230" i="1"/>
  <c r="BK230" i="1" s="1"/>
  <c r="CI329" i="1"/>
  <c r="BI329" i="1"/>
  <c r="BL329" i="1" s="1"/>
  <c r="CF230" i="1"/>
  <c r="O230" i="1"/>
  <c r="CG329" i="1"/>
  <c r="CJ278" i="1"/>
  <c r="CC230" i="1"/>
  <c r="AQ230" i="1" s="1"/>
  <c r="BS230" i="1" s="1"/>
  <c r="AX230" i="1"/>
  <c r="CC278" i="1"/>
  <c r="AQ278" i="1" s="1"/>
  <c r="BS278" i="1" s="1"/>
  <c r="CH343" i="1"/>
  <c r="CG343" i="1"/>
  <c r="AI230" i="1"/>
  <c r="AK230" i="1" s="1"/>
  <c r="BT292" i="3"/>
  <c r="CI278" i="1"/>
  <c r="BC278" i="1"/>
  <c r="CH278" i="1"/>
  <c r="CB343" i="1"/>
  <c r="AX279" i="1"/>
  <c r="CF278" i="1"/>
  <c r="BT277" i="3"/>
  <c r="CH344" i="1"/>
  <c r="AX343" i="1"/>
  <c r="CE278" i="1"/>
  <c r="AZ278" i="1"/>
  <c r="CH230" i="1"/>
  <c r="BI230" i="1"/>
  <c r="BL230" i="1" s="1"/>
  <c r="BB275" i="3"/>
  <c r="BS212" i="3"/>
  <c r="AU290" i="3"/>
  <c r="BS262" i="3"/>
  <c r="BO279" i="1"/>
  <c r="BQ279" i="1" s="1"/>
  <c r="BN279" i="1" s="1"/>
  <c r="BL227" i="3"/>
  <c r="BO227" i="3"/>
  <c r="BO238" i="3"/>
  <c r="S243" i="1"/>
  <c r="T243" i="1" s="1"/>
  <c r="BJ292" i="3"/>
  <c r="V292" i="3"/>
  <c r="BO292" i="3"/>
  <c r="BB292" i="3"/>
  <c r="AU292" i="3"/>
  <c r="BI292" i="3"/>
  <c r="BO262" i="3"/>
  <c r="AN258" i="1"/>
  <c r="AU222" i="3"/>
  <c r="S237" i="1"/>
  <c r="W237" i="1" s="1"/>
  <c r="AP241" i="1"/>
  <c r="AB241" i="5" s="1"/>
  <c r="AI241" i="1"/>
  <c r="AJ241" i="1" s="1"/>
  <c r="BU223" i="3"/>
  <c r="BU222" i="3"/>
  <c r="BE240" i="1"/>
  <c r="AI240" i="1"/>
  <c r="AJ240" i="1" s="1"/>
  <c r="BL222" i="3"/>
  <c r="BO222" i="3"/>
  <c r="BT222" i="3"/>
  <c r="BU221" i="3"/>
  <c r="AU221" i="3"/>
  <c r="J239" i="1"/>
  <c r="BF239" i="1" s="1"/>
  <c r="AI239" i="1"/>
  <c r="AM239" i="1" s="1"/>
  <c r="BL221" i="3"/>
  <c r="BO221" i="3"/>
  <c r="BT221" i="3"/>
  <c r="AI236" i="1"/>
  <c r="AM236" i="1" s="1"/>
  <c r="BM275" i="3"/>
  <c r="BJ290" i="3"/>
  <c r="V290" i="3"/>
  <c r="BO290" i="3"/>
  <c r="BB290" i="3"/>
  <c r="BI290" i="3"/>
  <c r="BL212" i="3"/>
  <c r="BO212" i="3"/>
  <c r="BK274" i="1"/>
  <c r="BH274" i="1"/>
  <c r="AI274" i="1"/>
  <c r="AJ274" i="1" s="1"/>
  <c r="AI248" i="1"/>
  <c r="AJ248" i="1" s="1"/>
  <c r="S250" i="1"/>
  <c r="T250" i="1" s="1"/>
  <c r="BE248" i="1"/>
  <c r="AI232" i="1"/>
  <c r="AJ232" i="1" s="1"/>
  <c r="BE234" i="1"/>
  <c r="V277" i="3"/>
  <c r="BJ277" i="3"/>
  <c r="BB277" i="3"/>
  <c r="BO277" i="3"/>
  <c r="K325" i="1"/>
  <c r="AP340" i="1"/>
  <c r="AB340" i="5" s="1"/>
  <c r="V276" i="3"/>
  <c r="BJ276" i="3"/>
  <c r="BB276" i="3"/>
  <c r="S345" i="1"/>
  <c r="S340" i="1"/>
  <c r="W340" i="1" s="1"/>
  <c r="BK267" i="1"/>
  <c r="AN235" i="1"/>
  <c r="AN289" i="1"/>
  <c r="BO234" i="3"/>
  <c r="BO232" i="3"/>
  <c r="BO233" i="3"/>
  <c r="BO239" i="3"/>
  <c r="BO236" i="3"/>
  <c r="BO242" i="3"/>
  <c r="BL242" i="3"/>
  <c r="AN233" i="1"/>
  <c r="AI233" i="1"/>
  <c r="AL233" i="1" s="1"/>
  <c r="BG287" i="3"/>
  <c r="BK287" i="3" s="1"/>
  <c r="BG168" i="3"/>
  <c r="AS228" i="3"/>
  <c r="BH228" i="3" s="1"/>
  <c r="BG272" i="3"/>
  <c r="BK272" i="3" s="1"/>
  <c r="AP271" i="3"/>
  <c r="AQ271" i="3" s="1"/>
  <c r="BF228" i="3"/>
  <c r="BG271" i="3"/>
  <c r="BK271" i="3" s="1"/>
  <c r="AS271" i="3"/>
  <c r="BH271" i="3" s="1"/>
  <c r="BP271" i="3" a="1"/>
  <c r="BP271" i="3" s="1"/>
  <c r="W272" i="3"/>
  <c r="BF271" i="3"/>
  <c r="AP272" i="3"/>
  <c r="AQ272" i="3" s="1"/>
  <c r="BP272" i="3" a="1"/>
  <c r="BP272" i="3" s="1"/>
  <c r="AS272" i="3"/>
  <c r="BF272" i="3"/>
  <c r="BT171" i="3"/>
  <c r="BK171" i="3"/>
  <c r="BS171" i="3"/>
  <c r="BO171" i="3"/>
  <c r="CI279" i="1"/>
  <c r="BJ279" i="1"/>
  <c r="BE279" i="1"/>
  <c r="CH279" i="1"/>
  <c r="BI279" i="1"/>
  <c r="BL279" i="1" s="1"/>
  <c r="AI279" i="1"/>
  <c r="S279" i="5" s="1"/>
  <c r="T279" i="5" s="1"/>
  <c r="BG274" i="3"/>
  <c r="BK274" i="3" s="1"/>
  <c r="CG279" i="1"/>
  <c r="BC279" i="1"/>
  <c r="CF279" i="1"/>
  <c r="CE279" i="1"/>
  <c r="CJ279" i="1"/>
  <c r="CC279" i="1"/>
  <c r="AQ279" i="1" s="1"/>
  <c r="BS279" i="1" s="1"/>
  <c r="AZ279" i="1"/>
  <c r="BC274" i="3"/>
  <c r="AP168" i="3"/>
  <c r="AQ168" i="3" s="1"/>
  <c r="BB168" i="3"/>
  <c r="BP168" i="3" a="1"/>
  <c r="BP168" i="3" s="1"/>
  <c r="AS168" i="3"/>
  <c r="BH168" i="3" s="1"/>
  <c r="BF168" i="3"/>
  <c r="BP273" i="3" a="1"/>
  <c r="BP273" i="3" s="1"/>
  <c r="AP273" i="3"/>
  <c r="AQ273" i="3" s="1"/>
  <c r="AI278" i="1"/>
  <c r="AJ278" i="1" s="1"/>
  <c r="BI278" i="1"/>
  <c r="BL278" i="1" s="1"/>
  <c r="CG278" i="1"/>
  <c r="BG228" i="3"/>
  <c r="BK228" i="3" s="1"/>
  <c r="N329" i="1"/>
  <c r="BG273" i="3"/>
  <c r="BK273" i="3" s="1"/>
  <c r="BP274" i="3" a="1"/>
  <c r="BP274" i="3" s="1"/>
  <c r="AS274" i="3"/>
  <c r="BF274" i="3"/>
  <c r="BQ274" i="3"/>
  <c r="AU274" i="3"/>
  <c r="BC273" i="3"/>
  <c r="AS273" i="3"/>
  <c r="BF273" i="3"/>
  <c r="BQ273" i="3"/>
  <c r="AU273" i="3"/>
  <c r="BQ302" i="1"/>
  <c r="BN302" i="1" s="1"/>
  <c r="AP263" i="1"/>
  <c r="AB263" i="5" s="1"/>
  <c r="BQ305" i="1"/>
  <c r="BN305" i="1" s="1"/>
  <c r="BQ345" i="1"/>
  <c r="BN345" i="1" s="1"/>
  <c r="J244" i="1"/>
  <c r="AQ261" i="1"/>
  <c r="BS261" i="1" s="1"/>
  <c r="BQ287" i="1"/>
  <c r="BN287" i="1" s="1"/>
  <c r="BQ327" i="1"/>
  <c r="BN327" i="1" s="1"/>
  <c r="AP327" i="1"/>
  <c r="AB327" i="5" s="1"/>
  <c r="BQ245" i="1"/>
  <c r="BN245" i="1" s="1"/>
  <c r="BQ246" i="1"/>
  <c r="BN246" i="1" s="1"/>
  <c r="Q264" i="1"/>
  <c r="R264" i="1" s="1"/>
  <c r="BD296" i="1"/>
  <c r="BH263" i="1"/>
  <c r="AQ268" i="1"/>
  <c r="BS268" i="1" s="1"/>
  <c r="AP337" i="1"/>
  <c r="AB337" i="5" s="1"/>
  <c r="AQ267" i="1"/>
  <c r="BS267" i="1" s="1"/>
  <c r="AQ249" i="1"/>
  <c r="BS249" i="1" s="1"/>
  <c r="BE247" i="1"/>
  <c r="BE260" i="1"/>
  <c r="J327" i="1"/>
  <c r="BH251" i="1"/>
  <c r="BE245" i="1"/>
  <c r="AQ317" i="1"/>
  <c r="BS317" i="1" s="1"/>
  <c r="AP264" i="1"/>
  <c r="AB264" i="5" s="1"/>
  <c r="AP260" i="1"/>
  <c r="AB260" i="5" s="1"/>
  <c r="BE236" i="1"/>
  <c r="BE263" i="1"/>
  <c r="BE284" i="1"/>
  <c r="AP251" i="1"/>
  <c r="AB251" i="5" s="1"/>
  <c r="K243" i="1"/>
  <c r="AP290" i="1"/>
  <c r="AB290" i="5" s="1"/>
  <c r="BD244" i="1"/>
  <c r="BD247" i="1"/>
  <c r="BD234" i="1"/>
  <c r="J320" i="1"/>
  <c r="BH231" i="1"/>
  <c r="AP296" i="1"/>
  <c r="AB296" i="5" s="1"/>
  <c r="AQ263" i="1"/>
  <c r="BS263" i="1" s="1"/>
  <c r="AP236" i="1"/>
  <c r="AB236" i="5" s="1"/>
  <c r="BH336" i="1"/>
  <c r="BD238" i="1"/>
  <c r="BD330" i="1"/>
  <c r="AQ237" i="1"/>
  <c r="BS237" i="1" s="1"/>
  <c r="BH244" i="1"/>
  <c r="AP244" i="1"/>
  <c r="AB244" i="5" s="1"/>
  <c r="BH320" i="1"/>
  <c r="BH298" i="1"/>
  <c r="BH338" i="1"/>
  <c r="AQ298" i="1"/>
  <c r="BS298" i="1" s="1"/>
  <c r="K263" i="1"/>
  <c r="J251" i="1"/>
  <c r="BF251" i="1" s="1"/>
  <c r="BD338" i="1"/>
  <c r="AQ302" i="1"/>
  <c r="BS302" i="1" s="1"/>
  <c r="K231" i="1"/>
  <c r="BH342" i="1"/>
  <c r="K327" i="1"/>
  <c r="K296" i="1"/>
  <c r="U228" i="3"/>
  <c r="AY228" i="3" s="1"/>
  <c r="BP228" i="3" a="1"/>
  <c r="BP228" i="3" s="1"/>
  <c r="BT228" i="3" s="1"/>
  <c r="W228" i="3"/>
  <c r="AZ228" i="3" s="1"/>
  <c r="BQ277" i="1"/>
  <c r="BN277" i="1" s="1"/>
  <c r="T255" i="1"/>
  <c r="AJ290" i="1"/>
  <c r="BK272" i="1"/>
  <c r="W331" i="1"/>
  <c r="AJ326" i="1"/>
  <c r="BE320" i="1"/>
  <c r="AP320" i="1"/>
  <c r="AB320" i="5" s="1"/>
  <c r="AQ310" i="1"/>
  <c r="BS310" i="1" s="1"/>
  <c r="AQ248" i="1"/>
  <c r="BS248" i="1" s="1"/>
  <c r="AP245" i="1"/>
  <c r="AB245" i="5" s="1"/>
  <c r="J235" i="1"/>
  <c r="BF235" i="1" s="1"/>
  <c r="BG235" i="1" s="1"/>
  <c r="BP235" i="1" s="1" a="1"/>
  <c r="BP235" i="1" s="1"/>
  <c r="K339" i="1"/>
  <c r="K280" i="1"/>
  <c r="AP242" i="1"/>
  <c r="AB242" i="5" s="1"/>
  <c r="BD242" i="1"/>
  <c r="AQ306" i="1"/>
  <c r="BS306" i="1" s="1"/>
  <c r="AP321" i="1"/>
  <c r="AB321" i="5" s="1"/>
  <c r="BE321" i="1"/>
  <c r="BH321" i="1"/>
  <c r="K311" i="1"/>
  <c r="BE325" i="1"/>
  <c r="BQ256" i="1"/>
  <c r="BN256" i="1" s="1"/>
  <c r="AP312" i="1"/>
  <c r="AB312" i="5" s="1"/>
  <c r="K312" i="1"/>
  <c r="AP269" i="1"/>
  <c r="AB269" i="5" s="1"/>
  <c r="BD321" i="1"/>
  <c r="BE327" i="1"/>
  <c r="BD320" i="1"/>
  <c r="AK345" i="1"/>
  <c r="BD267" i="1"/>
  <c r="BH267" i="1"/>
  <c r="AP248" i="1"/>
  <c r="AB248" i="5" s="1"/>
  <c r="BH248" i="1"/>
  <c r="BE299" i="1"/>
  <c r="AQ308" i="1"/>
  <c r="BS308" i="1" s="1"/>
  <c r="BD302" i="1"/>
  <c r="J261" i="1"/>
  <c r="K261" i="1"/>
  <c r="AQ305" i="1"/>
  <c r="BS305" i="1" s="1"/>
  <c r="AP336" i="1"/>
  <c r="AB336" i="5" s="1"/>
  <c r="J304" i="1"/>
  <c r="BE302" i="1"/>
  <c r="BQ272" i="1"/>
  <c r="BN272" i="1" s="1"/>
  <c r="BD261" i="1"/>
  <c r="AQ304" i="1"/>
  <c r="BS304" i="1" s="1"/>
  <c r="AQ260" i="1"/>
  <c r="BS260" i="1" s="1"/>
  <c r="BQ249" i="1"/>
  <c r="BN249" i="1" s="1"/>
  <c r="J238" i="1"/>
  <c r="BH232" i="1"/>
  <c r="AP231" i="1"/>
  <c r="AB231" i="5" s="1"/>
  <c r="AQ282" i="1"/>
  <c r="BS282" i="1" s="1"/>
  <c r="AQ274" i="1"/>
  <c r="BS274" i="1" s="1"/>
  <c r="AQ273" i="1"/>
  <c r="BS273" i="1" s="1"/>
  <c r="BH249" i="1"/>
  <c r="BH238" i="1"/>
  <c r="AP238" i="1"/>
  <c r="AB238" i="5" s="1"/>
  <c r="AQ285" i="1"/>
  <c r="BS285" i="1" s="1"/>
  <c r="BD345" i="1"/>
  <c r="AQ314" i="1"/>
  <c r="BS314" i="1" s="1"/>
  <c r="BH328" i="1"/>
  <c r="AQ328" i="1"/>
  <c r="BS328" i="1" s="1"/>
  <c r="BD240" i="1"/>
  <c r="J315" i="1"/>
  <c r="CD315" i="1" s="1"/>
  <c r="BD248" i="1"/>
  <c r="BH235" i="1"/>
  <c r="BD231" i="1"/>
  <c r="BE182" i="1"/>
  <c r="BH339" i="1"/>
  <c r="AQ265" i="1"/>
  <c r="BS265" i="1" s="1"/>
  <c r="J255" i="1"/>
  <c r="AQ251" i="1"/>
  <c r="BS251" i="1" s="1"/>
  <c r="K247" i="1"/>
  <c r="BH239" i="1"/>
  <c r="J345" i="1"/>
  <c r="CD345" i="1" s="1"/>
  <c r="BD236" i="1"/>
  <c r="AQ253" i="1"/>
  <c r="BS253" i="1" s="1"/>
  <c r="BD312" i="1"/>
  <c r="BD251" i="1"/>
  <c r="AQ240" i="1"/>
  <c r="BS240" i="1" s="1"/>
  <c r="BD327" i="1"/>
  <c r="BD308" i="1"/>
  <c r="AQ341" i="1"/>
  <c r="BS341" i="1" s="1"/>
  <c r="BD339" i="1"/>
  <c r="BQ338" i="1"/>
  <c r="BN338" i="1" s="1"/>
  <c r="AP315" i="1"/>
  <c r="AB315" i="5" s="1"/>
  <c r="BE306" i="1"/>
  <c r="K278" i="1"/>
  <c r="T258" i="1"/>
  <c r="BH255" i="1"/>
  <c r="AP255" i="1"/>
  <c r="AB255" i="5" s="1"/>
  <c r="BD243" i="1"/>
  <c r="BD241" i="1"/>
  <c r="BH280" i="1"/>
  <c r="BH278" i="1"/>
  <c r="J278" i="1"/>
  <c r="BF278" i="1" s="1"/>
  <c r="BG278" i="1" s="1"/>
  <c r="BD314" i="1"/>
  <c r="BD334" i="1"/>
  <c r="BE316" i="1"/>
  <c r="BU316" i="1" s="1"/>
  <c r="BQ292" i="1"/>
  <c r="BN292" i="1" s="1"/>
  <c r="J292" i="1"/>
  <c r="AP287" i="1"/>
  <c r="AB287" i="5" s="1"/>
  <c r="AP282" i="1"/>
  <c r="AB282" i="5" s="1"/>
  <c r="BE278" i="1"/>
  <c r="AP278" i="1"/>
  <c r="AB278" i="5" s="1"/>
  <c r="BH269" i="1"/>
  <c r="BH250" i="1"/>
  <c r="AP250" i="1"/>
  <c r="AB250" i="5" s="1"/>
  <c r="J249" i="1"/>
  <c r="K241" i="1"/>
  <c r="BH234" i="1"/>
  <c r="AP234" i="1"/>
  <c r="AB234" i="5" s="1"/>
  <c r="BQ232" i="1"/>
  <c r="BN232" i="1" s="1"/>
  <c r="BD254" i="1"/>
  <c r="BE337" i="1"/>
  <c r="BH345" i="1"/>
  <c r="BD278" i="1"/>
  <c r="J232" i="1"/>
  <c r="BF232" i="1" s="1"/>
  <c r="BG232" i="1" s="1"/>
  <c r="BP232" i="1" s="1" a="1"/>
  <c r="BP232" i="1" s="1"/>
  <c r="BH268" i="1"/>
  <c r="BD250" i="1"/>
  <c r="BH241" i="1"/>
  <c r="BE345" i="1"/>
  <c r="AP345" i="1"/>
  <c r="AB345" i="5" s="1"/>
  <c r="K345" i="1"/>
  <c r="T339" i="1"/>
  <c r="AQ315" i="1"/>
  <c r="BS315" i="1" s="1"/>
  <c r="BH314" i="1"/>
  <c r="AP314" i="1"/>
  <c r="AB314" i="5" s="1"/>
  <c r="AQ269" i="1"/>
  <c r="BS269" i="1" s="1"/>
  <c r="BE268" i="1"/>
  <c r="J259" i="1"/>
  <c r="BF259" i="1" s="1"/>
  <c r="BG259" i="1" s="1"/>
  <c r="BP259" i="1" s="1" a="1"/>
  <c r="BP259" i="1" s="1"/>
  <c r="AQ250" i="1"/>
  <c r="BS250" i="1" s="1"/>
  <c r="BE241" i="1"/>
  <c r="BD237" i="1"/>
  <c r="K236" i="1"/>
  <c r="AQ234" i="1"/>
  <c r="BH253" i="1"/>
  <c r="AQ245" i="1"/>
  <c r="BS245" i="1" s="1"/>
  <c r="AQ236" i="1"/>
  <c r="BS236" i="1" s="1"/>
  <c r="AP341" i="1"/>
  <c r="AB341" i="5" s="1"/>
  <c r="AQ337" i="1"/>
  <c r="BS337" i="1" s="1"/>
  <c r="BD331" i="1"/>
  <c r="AQ281" i="1"/>
  <c r="BS281" i="1" s="1"/>
  <c r="BE280" i="1"/>
  <c r="AN280" i="1"/>
  <c r="BE252" i="1"/>
  <c r="BH240" i="1"/>
  <c r="AP240" i="1"/>
  <c r="AB240" i="5" s="1"/>
  <c r="BD225" i="1"/>
  <c r="BH292" i="1"/>
  <c r="BD245" i="1"/>
  <c r="BD256" i="1"/>
  <c r="BQ326" i="1"/>
  <c r="BN326" i="1" s="1"/>
  <c r="BQ298" i="1"/>
  <c r="BN298" i="1" s="1"/>
  <c r="BQ278" i="1"/>
  <c r="BN278" i="1" s="1"/>
  <c r="AL234" i="1"/>
  <c r="V339" i="1"/>
  <c r="BQ332" i="1"/>
  <c r="BN332" i="1" s="1"/>
  <c r="BQ263" i="1"/>
  <c r="BN263" i="1" s="1"/>
  <c r="BK260" i="1"/>
  <c r="BQ247" i="1"/>
  <c r="BN247" i="1" s="1"/>
  <c r="BQ242" i="1"/>
  <c r="BN242" i="1" s="1"/>
  <c r="BQ231" i="1"/>
  <c r="BN231" i="1" s="1"/>
  <c r="BQ339" i="1"/>
  <c r="BN339" i="1" s="1"/>
  <c r="BQ268" i="1"/>
  <c r="BN268" i="1" s="1"/>
  <c r="V255" i="1"/>
  <c r="AQ247" i="1"/>
  <c r="BS247" i="1" s="1"/>
  <c r="AJ235" i="1"/>
  <c r="AK340" i="1"/>
  <c r="BQ308" i="1"/>
  <c r="BN308" i="1" s="1"/>
  <c r="BQ251" i="1"/>
  <c r="BN251" i="1" s="1"/>
  <c r="W248" i="1"/>
  <c r="BQ311" i="1"/>
  <c r="BN311" i="1" s="1"/>
  <c r="BQ310" i="1"/>
  <c r="BN310" i="1" s="1"/>
  <c r="BQ262" i="1"/>
  <c r="BN262" i="1" s="1"/>
  <c r="BQ244" i="1"/>
  <c r="BN244" i="1" s="1"/>
  <c r="BQ334" i="1"/>
  <c r="BN334" i="1" s="1"/>
  <c r="BQ307" i="1"/>
  <c r="BN307" i="1" s="1"/>
  <c r="U277" i="1"/>
  <c r="V277" i="1"/>
  <c r="T319" i="1"/>
  <c r="AK339" i="1"/>
  <c r="V334" i="1"/>
  <c r="U334" i="1"/>
  <c r="BK334" i="1"/>
  <c r="AN323" i="1"/>
  <c r="AN310" i="1"/>
  <c r="AM289" i="1"/>
  <c r="W339" i="1"/>
  <c r="AK315" i="1"/>
  <c r="W297" i="1"/>
  <c r="AM257" i="1"/>
  <c r="AL257" i="1"/>
  <c r="U339" i="1"/>
  <c r="BQ337" i="1"/>
  <c r="BN337" i="1" s="1"/>
  <c r="BQ320" i="1"/>
  <c r="BN320" i="1" s="1"/>
  <c r="BQ301" i="1"/>
  <c r="BN301" i="1" s="1"/>
  <c r="BQ294" i="1"/>
  <c r="BN294" i="1" s="1"/>
  <c r="V286" i="1"/>
  <c r="U276" i="1"/>
  <c r="BQ271" i="1"/>
  <c r="BN271" i="1" s="1"/>
  <c r="BQ265" i="1"/>
  <c r="BN265" i="1" s="1"/>
  <c r="V260" i="1"/>
  <c r="AK257" i="1"/>
  <c r="W255" i="1"/>
  <c r="BQ237" i="1"/>
  <c r="BN237" i="1" s="1"/>
  <c r="BQ325" i="1"/>
  <c r="BN325" i="1" s="1"/>
  <c r="AM254" i="1"/>
  <c r="AK254" i="1"/>
  <c r="BQ236" i="1"/>
  <c r="BN236" i="1" s="1"/>
  <c r="V321" i="1"/>
  <c r="AL299" i="1"/>
  <c r="BQ276" i="1"/>
  <c r="BN276" i="1" s="1"/>
  <c r="BQ253" i="1"/>
  <c r="BN253" i="1" s="1"/>
  <c r="BQ250" i="1"/>
  <c r="BN250" i="1" s="1"/>
  <c r="AM337" i="1"/>
  <c r="BQ333" i="1"/>
  <c r="BN333" i="1" s="1"/>
  <c r="BQ303" i="1"/>
  <c r="BN303" i="1" s="1"/>
  <c r="AK299" i="1"/>
  <c r="BQ290" i="1"/>
  <c r="BN290" i="1" s="1"/>
  <c r="AJ287" i="1"/>
  <c r="BQ274" i="1"/>
  <c r="BN274" i="1" s="1"/>
  <c r="AL242" i="1"/>
  <c r="AK342" i="1"/>
  <c r="V326" i="1"/>
  <c r="BQ315" i="1"/>
  <c r="BN315" i="1" s="1"/>
  <c r="V292" i="1"/>
  <c r="BQ252" i="1"/>
  <c r="BN252" i="1" s="1"/>
  <c r="BK316" i="1"/>
  <c r="W275" i="1"/>
  <c r="BK277" i="1"/>
  <c r="T244" i="1"/>
  <c r="AL345" i="1"/>
  <c r="AK323" i="1"/>
  <c r="BK306" i="1"/>
  <c r="AN306" i="1"/>
  <c r="AQ301" i="1"/>
  <c r="BS301" i="1" s="1"/>
  <c r="K223" i="5"/>
  <c r="M223" i="5" s="1"/>
  <c r="Y223" i="1"/>
  <c r="AQ232" i="1"/>
  <c r="BS232" i="1" s="1"/>
  <c r="AN330" i="1"/>
  <c r="V274" i="1"/>
  <c r="BK313" i="1"/>
  <c r="AL301" i="1"/>
  <c r="AK301" i="1"/>
  <c r="AN320" i="1"/>
  <c r="AM297" i="1"/>
  <c r="AM275" i="1"/>
  <c r="AK275" i="1"/>
  <c r="AN274" i="1"/>
  <c r="BK312" i="1"/>
  <c r="AN312" i="1"/>
  <c r="T333" i="1"/>
  <c r="U312" i="1"/>
  <c r="AM287" i="1"/>
  <c r="W252" i="1"/>
  <c r="G231" i="5"/>
  <c r="H231" i="5" s="1"/>
  <c r="U231" i="1"/>
  <c r="V231" i="1"/>
  <c r="BK283" i="1"/>
  <c r="AN283" i="1"/>
  <c r="G322" i="5"/>
  <c r="H322" i="5" s="1"/>
  <c r="T322" i="1"/>
  <c r="G291" i="5"/>
  <c r="H291" i="5" s="1"/>
  <c r="V291" i="1"/>
  <c r="BQ238" i="1"/>
  <c r="BN238" i="1" s="1"/>
  <c r="U255" i="1"/>
  <c r="BQ284" i="1"/>
  <c r="BN284" i="1" s="1"/>
  <c r="BQ267" i="1"/>
  <c r="BN267" i="1" s="1"/>
  <c r="S338" i="5"/>
  <c r="U338" i="5" s="1"/>
  <c r="AJ338" i="1"/>
  <c r="BE332" i="1"/>
  <c r="J332" i="1"/>
  <c r="K332" i="1"/>
  <c r="AP332" i="1"/>
  <c r="AB332" i="5" s="1"/>
  <c r="BD332" i="1"/>
  <c r="BH332" i="1"/>
  <c r="BE344" i="1"/>
  <c r="AP329" i="1"/>
  <c r="AB329" i="5" s="1"/>
  <c r="Q329" i="1"/>
  <c r="R329" i="1" s="1"/>
  <c r="BH344" i="1"/>
  <c r="K344" i="1"/>
  <c r="BD344" i="1"/>
  <c r="AP344" i="1"/>
  <c r="AB344" i="5" s="1"/>
  <c r="J344" i="1"/>
  <c r="CD344" i="1" s="1"/>
  <c r="AN342" i="1"/>
  <c r="BH340" i="1"/>
  <c r="J339" i="1"/>
  <c r="BD329" i="1"/>
  <c r="AQ340" i="1"/>
  <c r="BS340" i="1" s="1"/>
  <c r="BE340" i="1"/>
  <c r="BD340" i="1"/>
  <c r="U343" i="1"/>
  <c r="BK341" i="1"/>
  <c r="AM340" i="1"/>
  <c r="AQ339" i="1"/>
  <c r="BS339" i="1" s="1"/>
  <c r="BE339" i="1"/>
  <c r="AP339" i="1"/>
  <c r="AB339" i="5" s="1"/>
  <c r="K333" i="1"/>
  <c r="AP333" i="1"/>
  <c r="AB333" i="5" s="1"/>
  <c r="BD333" i="1"/>
  <c r="BE333" i="1"/>
  <c r="BH333" i="1"/>
  <c r="J333" i="1"/>
  <c r="AZ333" i="1" s="1"/>
  <c r="AQ333" i="1"/>
  <c r="BS333" i="1" s="1"/>
  <c r="K340" i="1"/>
  <c r="AQ336" i="1"/>
  <c r="BS336" i="1" s="1"/>
  <c r="J340" i="1"/>
  <c r="BE334" i="1"/>
  <c r="BH334" i="1"/>
  <c r="K334" i="1"/>
  <c r="AK341" i="1"/>
  <c r="U337" i="1"/>
  <c r="T337" i="1"/>
  <c r="J334" i="1"/>
  <c r="BF334" i="1" s="1"/>
  <c r="BG334" i="1" s="1"/>
  <c r="BP334" i="1" s="1" a="1"/>
  <c r="BP334" i="1" s="1"/>
  <c r="BQ342" i="1"/>
  <c r="BN342" i="1" s="1"/>
  <c r="BQ340" i="1"/>
  <c r="BN340" i="1" s="1"/>
  <c r="K338" i="1"/>
  <c r="AP338" i="1"/>
  <c r="AB338" i="5" s="1"/>
  <c r="BE338" i="1"/>
  <c r="BK332" i="1"/>
  <c r="AN332" i="1"/>
  <c r="K330" i="1"/>
  <c r="J330" i="1"/>
  <c r="CD330" i="1" s="1"/>
  <c r="AP330" i="1"/>
  <c r="AB330" i="5" s="1"/>
  <c r="BE330" i="1"/>
  <c r="BH330" i="1"/>
  <c r="BQ330" i="1"/>
  <c r="BN330" i="1" s="1"/>
  <c r="AJ330" i="1"/>
  <c r="BD326" i="1"/>
  <c r="BH325" i="1"/>
  <c r="V318" i="1"/>
  <c r="BE308" i="1"/>
  <c r="BK304" i="1"/>
  <c r="U301" i="1"/>
  <c r="AP298" i="1"/>
  <c r="AB298" i="5" s="1"/>
  <c r="K298" i="1"/>
  <c r="J285" i="1"/>
  <c r="BE267" i="1"/>
  <c r="BQ239" i="1"/>
  <c r="BN239" i="1" s="1"/>
  <c r="AQ295" i="1"/>
  <c r="BS295" i="1" s="1"/>
  <c r="K268" i="1"/>
  <c r="BQ255" i="1"/>
  <c r="BN255" i="1" s="1"/>
  <c r="AN253" i="1"/>
  <c r="U252" i="1"/>
  <c r="AP249" i="1"/>
  <c r="AB249" i="5" s="1"/>
  <c r="BE242" i="1"/>
  <c r="T233" i="1"/>
  <c r="V233" i="1"/>
  <c r="W333" i="1"/>
  <c r="K326" i="1"/>
  <c r="AQ322" i="1"/>
  <c r="BS322" i="1" s="1"/>
  <c r="K321" i="1"/>
  <c r="BQ318" i="1"/>
  <c r="BN318" i="1" s="1"/>
  <c r="BQ297" i="1"/>
  <c r="BN297" i="1" s="1"/>
  <c r="V297" i="1"/>
  <c r="BH296" i="1"/>
  <c r="AQ292" i="1"/>
  <c r="BS292" i="1" s="1"/>
  <c r="BD292" i="1"/>
  <c r="AP292" i="1"/>
  <c r="AB292" i="5" s="1"/>
  <c r="U291" i="1"/>
  <c r="BQ282" i="1"/>
  <c r="BN282" i="1" s="1"/>
  <c r="BQ280" i="1"/>
  <c r="BN280" i="1" s="1"/>
  <c r="W271" i="1"/>
  <c r="BE269" i="1"/>
  <c r="AM260" i="1"/>
  <c r="BH257" i="1"/>
  <c r="BQ254" i="1"/>
  <c r="BN254" i="1" s="1"/>
  <c r="K254" i="1"/>
  <c r="AL253" i="1"/>
  <c r="K249" i="1"/>
  <c r="BH247" i="1"/>
  <c r="BH243" i="1"/>
  <c r="J242" i="1"/>
  <c r="CD242" i="1" s="1"/>
  <c r="BH242" i="1"/>
  <c r="J241" i="1"/>
  <c r="BF241" i="1" s="1"/>
  <c r="BQ233" i="1"/>
  <c r="BN233" i="1" s="1"/>
  <c r="U333" i="1"/>
  <c r="BQ331" i="1"/>
  <c r="BN331" i="1" s="1"/>
  <c r="J326" i="1"/>
  <c r="AZ326" i="1" s="1"/>
  <c r="J321" i="1"/>
  <c r="AQ319" i="1"/>
  <c r="BS319" i="1" s="1"/>
  <c r="U317" i="1"/>
  <c r="BQ312" i="1"/>
  <c r="BN312" i="1" s="1"/>
  <c r="K310" i="1"/>
  <c r="T306" i="1"/>
  <c r="AN303" i="1"/>
  <c r="AQ296" i="1"/>
  <c r="BS296" i="1" s="1"/>
  <c r="BE296" i="1"/>
  <c r="BH291" i="1"/>
  <c r="T291" i="1"/>
  <c r="AN286" i="1"/>
  <c r="J274" i="1"/>
  <c r="CD274" i="1" s="1"/>
  <c r="K269" i="1"/>
  <c r="AM261" i="1"/>
  <c r="AK260" i="1"/>
  <c r="BQ259" i="1"/>
  <c r="BN259" i="1" s="1"/>
  <c r="BE257" i="1"/>
  <c r="AP257" i="1"/>
  <c r="AB257" i="5" s="1"/>
  <c r="J254" i="1"/>
  <c r="AQ252" i="1"/>
  <c r="BS252" i="1" s="1"/>
  <c r="BH252" i="1"/>
  <c r="AP252" i="1"/>
  <c r="AB252" i="5" s="1"/>
  <c r="T245" i="1"/>
  <c r="AM242" i="1"/>
  <c r="K235" i="1"/>
  <c r="AP235" i="1"/>
  <c r="AB235" i="5" s="1"/>
  <c r="BE235" i="1"/>
  <c r="AN231" i="1"/>
  <c r="BK231" i="1"/>
  <c r="BE215" i="1"/>
  <c r="AN304" i="1"/>
  <c r="AL292" i="1"/>
  <c r="AQ291" i="1"/>
  <c r="BS291" i="1" s="1"/>
  <c r="W283" i="1"/>
  <c r="K273" i="1"/>
  <c r="BE270" i="1"/>
  <c r="AP239" i="1"/>
  <c r="AB239" i="5" s="1"/>
  <c r="BE239" i="1"/>
  <c r="Q230" i="1"/>
  <c r="R230" i="1" s="1"/>
  <c r="AP230" i="1"/>
  <c r="AB230" i="5" s="1"/>
  <c r="BD230" i="1"/>
  <c r="J230" i="1"/>
  <c r="AZ230" i="1" s="1"/>
  <c r="BD337" i="1"/>
  <c r="W327" i="1"/>
  <c r="J296" i="1"/>
  <c r="AK292" i="1"/>
  <c r="BE291" i="1"/>
  <c r="V283" i="1"/>
  <c r="BD276" i="1"/>
  <c r="J273" i="1"/>
  <c r="BF273" i="1" s="1"/>
  <c r="BG273" i="1" s="1"/>
  <c r="BP273" i="1" s="1" a="1"/>
  <c r="BP273" i="1" s="1"/>
  <c r="BD270" i="1"/>
  <c r="W268" i="1"/>
  <c r="K253" i="1"/>
  <c r="K248" i="1"/>
  <c r="AP247" i="1"/>
  <c r="AB247" i="5" s="1"/>
  <c r="S243" i="5"/>
  <c r="T243" i="5" s="1"/>
  <c r="AL243" i="1"/>
  <c r="J243" i="1"/>
  <c r="W240" i="1"/>
  <c r="BD239" i="1"/>
  <c r="BD215" i="1"/>
  <c r="AQ342" i="1"/>
  <c r="BS342" i="1" s="1"/>
  <c r="AQ338" i="1"/>
  <c r="BS338" i="1" s="1"/>
  <c r="AN337" i="1"/>
  <c r="BQ335" i="1"/>
  <c r="BN335" i="1" s="1"/>
  <c r="BQ328" i="1"/>
  <c r="BN328" i="1" s="1"/>
  <c r="BH327" i="1"/>
  <c r="V327" i="1"/>
  <c r="J323" i="1"/>
  <c r="BF323" i="1" s="1"/>
  <c r="BG323" i="1" s="1"/>
  <c r="BP323" i="1" s="1" a="1"/>
  <c r="BP323" i="1" s="1"/>
  <c r="K320" i="1"/>
  <c r="BD315" i="1"/>
  <c r="BG314" i="1"/>
  <c r="BP314" i="1" s="1" a="1"/>
  <c r="BP314" i="1" s="1"/>
  <c r="U308" i="1"/>
  <c r="K305" i="1"/>
  <c r="K304" i="1"/>
  <c r="BK298" i="1"/>
  <c r="W298" i="1"/>
  <c r="K292" i="1"/>
  <c r="BD291" i="1"/>
  <c r="AP291" i="1"/>
  <c r="AB291" i="5" s="1"/>
  <c r="BK285" i="1"/>
  <c r="AP276" i="1"/>
  <c r="AB276" i="5" s="1"/>
  <c r="BQ273" i="1"/>
  <c r="BN273" i="1" s="1"/>
  <c r="T272" i="1"/>
  <c r="AP270" i="1"/>
  <c r="V268" i="1"/>
  <c r="J265" i="1"/>
  <c r="BF265" i="1" s="1"/>
  <c r="BG265" i="1" s="1"/>
  <c r="BP265" i="1" s="1" a="1"/>
  <c r="BP265" i="1" s="1"/>
  <c r="W264" i="1"/>
  <c r="K257" i="1"/>
  <c r="J253" i="1"/>
  <c r="BF253" i="1" s="1"/>
  <c r="BG253" i="1" s="1"/>
  <c r="BP253" i="1" s="1" a="1"/>
  <c r="BP253" i="1" s="1"/>
  <c r="J250" i="1"/>
  <c r="BF250" i="1" s="1"/>
  <c r="BQ248" i="1"/>
  <c r="BN248" i="1" s="1"/>
  <c r="J248" i="1"/>
  <c r="V240" i="1"/>
  <c r="J233" i="1"/>
  <c r="CD233" i="1" s="1"/>
  <c r="AP233" i="1"/>
  <c r="AB233" i="5" s="1"/>
  <c r="BE233" i="1"/>
  <c r="AQ280" i="1"/>
  <c r="BS280" i="1" s="1"/>
  <c r="BE271" i="1"/>
  <c r="BH254" i="1"/>
  <c r="K252" i="1"/>
  <c r="BD233" i="1"/>
  <c r="BE213" i="1"/>
  <c r="BQ336" i="1"/>
  <c r="BN336" i="1" s="1"/>
  <c r="AQ334" i="1"/>
  <c r="BS334" i="1" s="1"/>
  <c r="AQ332" i="1"/>
  <c r="BS332" i="1" s="1"/>
  <c r="BH331" i="1"/>
  <c r="U326" i="1"/>
  <c r="AL323" i="1"/>
  <c r="W322" i="1"/>
  <c r="BQ321" i="1"/>
  <c r="BN321" i="1" s="1"/>
  <c r="U321" i="1"/>
  <c r="K315" i="1"/>
  <c r="K314" i="1"/>
  <c r="W310" i="1"/>
  <c r="AQ307" i="1"/>
  <c r="BS307" i="1" s="1"/>
  <c r="BH306" i="1"/>
  <c r="AK297" i="1"/>
  <c r="BQ295" i="1"/>
  <c r="BN295" i="1" s="1"/>
  <c r="AM291" i="1"/>
  <c r="W286" i="1"/>
  <c r="BK281" i="1"/>
  <c r="AN276" i="1"/>
  <c r="BQ275" i="1"/>
  <c r="BN275" i="1" s="1"/>
  <c r="W274" i="1"/>
  <c r="BD271" i="1"/>
  <c r="J271" i="1"/>
  <c r="AN270" i="1"/>
  <c r="AN265" i="1"/>
  <c r="BE254" i="1"/>
  <c r="AP254" i="1"/>
  <c r="AB254" i="5" s="1"/>
  <c r="J252" i="1"/>
  <c r="CD252" i="1" s="1"/>
  <c r="T249" i="1"/>
  <c r="J247" i="1"/>
  <c r="BF247" i="1" s="1"/>
  <c r="BG247" i="1" s="1"/>
  <c r="BP247" i="1" s="1" a="1"/>
  <c r="BP247" i="1" s="1"/>
  <c r="BQ243" i="1"/>
  <c r="BN243" i="1" s="1"/>
  <c r="BQ234" i="1"/>
  <c r="BN234" i="1" s="1"/>
  <c r="J331" i="1"/>
  <c r="AZ331" i="1" s="1"/>
  <c r="AM330" i="1"/>
  <c r="BH326" i="1"/>
  <c r="K267" i="1"/>
  <c r="K237" i="1"/>
  <c r="BH237" i="1"/>
  <c r="J237" i="1"/>
  <c r="U234" i="1"/>
  <c r="V234" i="1"/>
  <c r="AL330" i="1"/>
  <c r="BD328" i="1"/>
  <c r="BQ322" i="1"/>
  <c r="BN322" i="1" s="1"/>
  <c r="BD306" i="1"/>
  <c r="K306" i="1"/>
  <c r="BQ304" i="1"/>
  <c r="BN304" i="1" s="1"/>
  <c r="BE298" i="1"/>
  <c r="BU298" i="1" s="1"/>
  <c r="BQ296" i="1"/>
  <c r="BN296" i="1" s="1"/>
  <c r="U296" i="1"/>
  <c r="K291" i="1"/>
  <c r="AL289" i="1"/>
  <c r="BE273" i="1"/>
  <c r="AK271" i="1"/>
  <c r="BQ261" i="1"/>
  <c r="BN261" i="1" s="1"/>
  <c r="W259" i="1"/>
  <c r="AM258" i="1"/>
  <c r="BQ257" i="1"/>
  <c r="BN257" i="1" s="1"/>
  <c r="BE253" i="1"/>
  <c r="J245" i="1"/>
  <c r="V241" i="1"/>
  <c r="AJ237" i="1"/>
  <c r="AL237" i="1"/>
  <c r="AK330" i="1"/>
  <c r="BE326" i="1"/>
  <c r="AQ325" i="1"/>
  <c r="BS325" i="1" s="1"/>
  <c r="BQ316" i="1"/>
  <c r="BN316" i="1" s="1"/>
  <c r="BQ313" i="1"/>
  <c r="BN313" i="1" s="1"/>
  <c r="BH308" i="1"/>
  <c r="J306" i="1"/>
  <c r="AM302" i="1"/>
  <c r="BD298" i="1"/>
  <c r="W292" i="1"/>
  <c r="BQ291" i="1"/>
  <c r="BN291" i="1" s="1"/>
  <c r="J291" i="1"/>
  <c r="AZ291" i="1" s="1"/>
  <c r="BQ286" i="1"/>
  <c r="BN286" i="1" s="1"/>
  <c r="BE281" i="1"/>
  <c r="AP281" i="1"/>
  <c r="AB281" i="5" s="1"/>
  <c r="T261" i="1"/>
  <c r="BD253" i="1"/>
  <c r="AP253" i="1"/>
  <c r="AB253" i="5" s="1"/>
  <c r="BQ241" i="1"/>
  <c r="BN241" i="1" s="1"/>
  <c r="BQ235" i="1"/>
  <c r="BN235" i="1" s="1"/>
  <c r="W231" i="1"/>
  <c r="J231" i="1"/>
  <c r="CD231" i="1" s="1"/>
  <c r="AQ242" i="1"/>
  <c r="BS242" i="1" s="1"/>
  <c r="AQ239" i="1"/>
  <c r="BS239" i="1" s="1"/>
  <c r="BH236" i="1"/>
  <c r="AA175" i="1"/>
  <c r="BE232" i="1"/>
  <c r="K232" i="1"/>
  <c r="AB223" i="1"/>
  <c r="AB181" i="1"/>
  <c r="J236" i="1"/>
  <c r="BF236" i="1" s="1"/>
  <c r="AA223" i="1"/>
  <c r="Z181" i="1"/>
  <c r="BP287" i="3" a="1"/>
  <c r="BP287" i="3" s="1"/>
  <c r="BT287" i="3" s="1"/>
  <c r="AS287" i="3"/>
  <c r="BH287" i="3" s="1"/>
  <c r="BF287" i="3"/>
  <c r="H342" i="5"/>
  <c r="I342" i="5"/>
  <c r="AK304" i="1"/>
  <c r="S304" i="5"/>
  <c r="W294" i="1"/>
  <c r="G294" i="5"/>
  <c r="U294" i="1"/>
  <c r="V294" i="1"/>
  <c r="T342" i="1"/>
  <c r="AN338" i="1"/>
  <c r="BK335" i="1"/>
  <c r="AQ330" i="1"/>
  <c r="BS330" i="1" s="1"/>
  <c r="AJ328" i="1"/>
  <c r="W325" i="1"/>
  <c r="G325" i="5"/>
  <c r="H325" i="5" s="1"/>
  <c r="V316" i="1"/>
  <c r="G316" i="5"/>
  <c r="W315" i="1"/>
  <c r="T314" i="5"/>
  <c r="U314" i="5"/>
  <c r="V314" i="5"/>
  <c r="V313" i="5"/>
  <c r="U313" i="5"/>
  <c r="W311" i="1"/>
  <c r="AJ308" i="1"/>
  <c r="S308" i="5"/>
  <c r="AK305" i="1"/>
  <c r="U290" i="1"/>
  <c r="G290" i="5"/>
  <c r="W290" i="1"/>
  <c r="AQ231" i="1"/>
  <c r="BS231" i="1" s="1"/>
  <c r="V315" i="1"/>
  <c r="V311" i="1"/>
  <c r="V305" i="5"/>
  <c r="T305" i="5"/>
  <c r="U305" i="5"/>
  <c r="V295" i="5"/>
  <c r="T295" i="5"/>
  <c r="U295" i="5"/>
  <c r="U341" i="1"/>
  <c r="T328" i="5"/>
  <c r="V328" i="5"/>
  <c r="AM342" i="1"/>
  <c r="AM341" i="1"/>
  <c r="AL340" i="1"/>
  <c r="S340" i="5"/>
  <c r="T340" i="5" s="1"/>
  <c r="AM339" i="1"/>
  <c r="H339" i="5"/>
  <c r="I339" i="5"/>
  <c r="J339" i="5"/>
  <c r="AL337" i="1"/>
  <c r="V335" i="1"/>
  <c r="AL334" i="1"/>
  <c r="T334" i="1"/>
  <c r="V333" i="1"/>
  <c r="V332" i="1"/>
  <c r="AJ325" i="1"/>
  <c r="W317" i="1"/>
  <c r="U315" i="1"/>
  <c r="W312" i="1"/>
  <c r="U311" i="1"/>
  <c r="T307" i="1"/>
  <c r="G307" i="5"/>
  <c r="AJ302" i="1"/>
  <c r="S302" i="5"/>
  <c r="V297" i="5"/>
  <c r="T297" i="5"/>
  <c r="U297" i="5"/>
  <c r="AM292" i="1"/>
  <c r="S292" i="5"/>
  <c r="W335" i="1"/>
  <c r="AM345" i="1"/>
  <c r="S345" i="5"/>
  <c r="AL342" i="1"/>
  <c r="AL341" i="1"/>
  <c r="AB324" i="1"/>
  <c r="K324" i="5"/>
  <c r="V317" i="1"/>
  <c r="T315" i="1"/>
  <c r="U313" i="1"/>
  <c r="G313" i="5"/>
  <c r="V312" i="1"/>
  <c r="T311" i="1"/>
  <c r="BK308" i="1"/>
  <c r="AJ304" i="1"/>
  <c r="W301" i="1"/>
  <c r="AK296" i="1"/>
  <c r="S296" i="5"/>
  <c r="T294" i="1"/>
  <c r="G284" i="5"/>
  <c r="U284" i="1"/>
  <c r="AL283" i="1"/>
  <c r="S283" i="5"/>
  <c r="AL272" i="1"/>
  <c r="S272" i="5"/>
  <c r="AJ272" i="1"/>
  <c r="AM272" i="1"/>
  <c r="AJ342" i="1"/>
  <c r="AJ341" i="1"/>
  <c r="H333" i="5"/>
  <c r="I333" i="5"/>
  <c r="J333" i="5"/>
  <c r="AJ332" i="1"/>
  <c r="V331" i="1"/>
  <c r="G331" i="5"/>
  <c r="H331" i="5" s="1"/>
  <c r="W326" i="1"/>
  <c r="AM323" i="1"/>
  <c r="W321" i="1"/>
  <c r="I320" i="5"/>
  <c r="H320" i="5"/>
  <c r="J320" i="5"/>
  <c r="BK318" i="1"/>
  <c r="T317" i="1"/>
  <c r="T312" i="1"/>
  <c r="J301" i="5"/>
  <c r="H301" i="5"/>
  <c r="I301" i="5"/>
  <c r="AQ331" i="1"/>
  <c r="BS331" i="1" s="1"/>
  <c r="BQ317" i="1"/>
  <c r="BN317" i="1" s="1"/>
  <c r="J317" i="5"/>
  <c r="H317" i="5"/>
  <c r="H312" i="5"/>
  <c r="I312" i="5"/>
  <c r="J312" i="5"/>
  <c r="BK294" i="1"/>
  <c r="W289" i="1"/>
  <c r="G289" i="5"/>
  <c r="V289" i="1"/>
  <c r="AQ288" i="1"/>
  <c r="BS288" i="1" s="1"/>
  <c r="S288" i="5"/>
  <c r="AJ288" i="1"/>
  <c r="AK288" i="1"/>
  <c r="AL288" i="1"/>
  <c r="G287" i="5"/>
  <c r="U287" i="1"/>
  <c r="V287" i="1"/>
  <c r="W287" i="1"/>
  <c r="AN284" i="1"/>
  <c r="J262" i="5"/>
  <c r="H262" i="5"/>
  <c r="I262" i="5"/>
  <c r="AQ257" i="1"/>
  <c r="BS257" i="1" s="1"/>
  <c r="AN327" i="1"/>
  <c r="AQ316" i="1"/>
  <c r="BS316" i="1" s="1"/>
  <c r="V314" i="1"/>
  <c r="BK302" i="1"/>
  <c r="U299" i="1"/>
  <c r="G299" i="5"/>
  <c r="V299" i="1"/>
  <c r="BK296" i="1"/>
  <c r="AN296" i="1"/>
  <c r="W330" i="1"/>
  <c r="G330" i="5"/>
  <c r="BQ341" i="1"/>
  <c r="BN341" i="1" s="1"/>
  <c r="W338" i="1"/>
  <c r="G338" i="5"/>
  <c r="V337" i="1"/>
  <c r="AJ335" i="1"/>
  <c r="AJ331" i="1"/>
  <c r="S331" i="5"/>
  <c r="T331" i="5" s="1"/>
  <c r="T330" i="5"/>
  <c r="U330" i="5"/>
  <c r="V330" i="5"/>
  <c r="AN328" i="1"/>
  <c r="AM327" i="1"/>
  <c r="T326" i="1"/>
  <c r="AJ323" i="1"/>
  <c r="AL321" i="1"/>
  <c r="T321" i="1"/>
  <c r="V319" i="1"/>
  <c r="G319" i="5"/>
  <c r="J319" i="5" s="1"/>
  <c r="AM318" i="1"/>
  <c r="U318" i="1"/>
  <c r="AL311" i="1"/>
  <c r="U310" i="1"/>
  <c r="AK306" i="1"/>
  <c r="J306" i="5"/>
  <c r="H306" i="5"/>
  <c r="I306" i="5"/>
  <c r="V305" i="1"/>
  <c r="U298" i="1"/>
  <c r="S250" i="5"/>
  <c r="T250" i="5" s="1"/>
  <c r="AJ250" i="1"/>
  <c r="AK250" i="1"/>
  <c r="AL250" i="1"/>
  <c r="AM250" i="1"/>
  <c r="AK337" i="1"/>
  <c r="S337" i="5"/>
  <c r="AJ334" i="1"/>
  <c r="AM328" i="1"/>
  <c r="T327" i="1"/>
  <c r="H326" i="5"/>
  <c r="I326" i="5"/>
  <c r="J326" i="5"/>
  <c r="V325" i="1"/>
  <c r="AK321" i="1"/>
  <c r="I321" i="5"/>
  <c r="H321" i="5"/>
  <c r="J321" i="5"/>
  <c r="AL318" i="1"/>
  <c r="H318" i="5"/>
  <c r="I318" i="5"/>
  <c r="J318" i="5"/>
  <c r="V308" i="1"/>
  <c r="G308" i="5"/>
  <c r="BK297" i="1"/>
  <c r="T297" i="1"/>
  <c r="G297" i="5"/>
  <c r="G296" i="5"/>
  <c r="V296" i="1"/>
  <c r="W296" i="1"/>
  <c r="AM303" i="1"/>
  <c r="S303" i="5"/>
  <c r="T341" i="5"/>
  <c r="U341" i="5"/>
  <c r="V341" i="5"/>
  <c r="W341" i="1"/>
  <c r="AL328" i="1"/>
  <c r="U325" i="1"/>
  <c r="V310" i="1"/>
  <c r="G310" i="5"/>
  <c r="AL306" i="1"/>
  <c r="S306" i="5"/>
  <c r="V298" i="1"/>
  <c r="G298" i="5"/>
  <c r="AJ294" i="1"/>
  <c r="G242" i="5"/>
  <c r="T242" i="1"/>
  <c r="U242" i="1"/>
  <c r="V242" i="1"/>
  <c r="W242" i="1"/>
  <c r="U335" i="1"/>
  <c r="G335" i="5"/>
  <c r="T332" i="1"/>
  <c r="T342" i="5"/>
  <c r="U342" i="5"/>
  <c r="W343" i="1"/>
  <c r="G343" i="5"/>
  <c r="V341" i="1"/>
  <c r="W337" i="1"/>
  <c r="G337" i="5"/>
  <c r="T336" i="1"/>
  <c r="W334" i="1"/>
  <c r="AK328" i="1"/>
  <c r="T325" i="1"/>
  <c r="V322" i="1"/>
  <c r="AJ318" i="1"/>
  <c r="AL313" i="1"/>
  <c r="AK308" i="1"/>
  <c r="AN302" i="1"/>
  <c r="AJ301" i="1"/>
  <c r="AM301" i="1"/>
  <c r="AL285" i="1"/>
  <c r="S285" i="5"/>
  <c r="AK285" i="1"/>
  <c r="AM285" i="1"/>
  <c r="G269" i="5"/>
  <c r="U269" i="1"/>
  <c r="W269" i="1"/>
  <c r="G236" i="5"/>
  <c r="T236" i="1"/>
  <c r="U236" i="1"/>
  <c r="V236" i="1"/>
  <c r="W236" i="1"/>
  <c r="V290" i="5"/>
  <c r="T290" i="5"/>
  <c r="U290" i="5"/>
  <c r="AL287" i="1"/>
  <c r="S287" i="5"/>
  <c r="AN281" i="1"/>
  <c r="BK275" i="1"/>
  <c r="U275" i="1"/>
  <c r="AK273" i="1"/>
  <c r="S273" i="5"/>
  <c r="J272" i="5"/>
  <c r="I272" i="5"/>
  <c r="H272" i="5"/>
  <c r="T265" i="1"/>
  <c r="G265" i="5"/>
  <c r="AJ262" i="1"/>
  <c r="S262" i="5"/>
  <c r="V262" i="5" s="1"/>
  <c r="AN259" i="1"/>
  <c r="AJ258" i="1"/>
  <c r="S258" i="5"/>
  <c r="AN251" i="1"/>
  <c r="BK245" i="1"/>
  <c r="AK234" i="1"/>
  <c r="S234" i="5"/>
  <c r="V281" i="5"/>
  <c r="T281" i="5"/>
  <c r="U281" i="5"/>
  <c r="AQ277" i="1"/>
  <c r="BS277" i="1" s="1"/>
  <c r="V276" i="1"/>
  <c r="G276" i="5"/>
  <c r="I275" i="5"/>
  <c r="J275" i="5"/>
  <c r="H275" i="5"/>
  <c r="I251" i="5"/>
  <c r="J251" i="5"/>
  <c r="H251" i="5"/>
  <c r="T247" i="1"/>
  <c r="G247" i="5"/>
  <c r="W239" i="1"/>
  <c r="G239" i="5"/>
  <c r="U239" i="1"/>
  <c r="V302" i="1"/>
  <c r="G302" i="5"/>
  <c r="T283" i="1"/>
  <c r="G283" i="5"/>
  <c r="W277" i="1"/>
  <c r="G277" i="5"/>
  <c r="W270" i="1"/>
  <c r="T267" i="5"/>
  <c r="U267" i="5"/>
  <c r="V267" i="5"/>
  <c r="V264" i="5"/>
  <c r="T264" i="5"/>
  <c r="U264" i="5"/>
  <c r="AJ257" i="1"/>
  <c r="AM255" i="1"/>
  <c r="H255" i="5"/>
  <c r="I255" i="5"/>
  <c r="J255" i="5"/>
  <c r="V248" i="1"/>
  <c r="U244" i="1"/>
  <c r="G244" i="5"/>
  <c r="BQ240" i="1"/>
  <c r="BN240" i="1" s="1"/>
  <c r="V235" i="1"/>
  <c r="BK232" i="1"/>
  <c r="AL231" i="1"/>
  <c r="S231" i="5"/>
  <c r="U292" i="1"/>
  <c r="G292" i="5"/>
  <c r="AL291" i="1"/>
  <c r="S291" i="5"/>
  <c r="BK286" i="1"/>
  <c r="T286" i="1"/>
  <c r="G286" i="5"/>
  <c r="AQ272" i="1"/>
  <c r="BS272" i="1" s="1"/>
  <c r="U271" i="1"/>
  <c r="G271" i="5"/>
  <c r="T270" i="1"/>
  <c r="AL260" i="1"/>
  <c r="S260" i="5"/>
  <c r="U257" i="5"/>
  <c r="T257" i="5"/>
  <c r="V257" i="5"/>
  <c r="AL255" i="1"/>
  <c r="V252" i="1"/>
  <c r="G252" i="5"/>
  <c r="J252" i="5" s="1"/>
  <c r="W249" i="1"/>
  <c r="U248" i="1"/>
  <c r="AL246" i="1"/>
  <c r="U241" i="1"/>
  <c r="G241" i="5"/>
  <c r="H241" i="5" s="1"/>
  <c r="U233" i="1"/>
  <c r="G233" i="5"/>
  <c r="J233" i="5" s="1"/>
  <c r="H232" i="5"/>
  <c r="I232" i="5"/>
  <c r="J232" i="5"/>
  <c r="BK289" i="1"/>
  <c r="T288" i="1"/>
  <c r="V282" i="5"/>
  <c r="T282" i="5"/>
  <c r="U282" i="5"/>
  <c r="AN271" i="1"/>
  <c r="J270" i="5"/>
  <c r="H270" i="5"/>
  <c r="I270" i="5"/>
  <c r="W258" i="1"/>
  <c r="BK257" i="1"/>
  <c r="V249" i="1"/>
  <c r="T248" i="1"/>
  <c r="AJ246" i="1"/>
  <c r="V245" i="1"/>
  <c r="AN242" i="1"/>
  <c r="AL235" i="1"/>
  <c r="U235" i="1"/>
  <c r="G235" i="5"/>
  <c r="J288" i="5"/>
  <c r="H288" i="5"/>
  <c r="I288" i="5"/>
  <c r="AM271" i="1"/>
  <c r="AJ255" i="1"/>
  <c r="S255" i="5"/>
  <c r="U249" i="1"/>
  <c r="H248" i="5"/>
  <c r="I248" i="5"/>
  <c r="J248" i="5"/>
  <c r="V246" i="5"/>
  <c r="T246" i="5"/>
  <c r="U246" i="5"/>
  <c r="AN236" i="1"/>
  <c r="AA178" i="1"/>
  <c r="K178" i="5"/>
  <c r="N178" i="5" s="1"/>
  <c r="Y178" i="1"/>
  <c r="Z178" i="1"/>
  <c r="AB178" i="1"/>
  <c r="AJ275" i="1"/>
  <c r="S275" i="5"/>
  <c r="T271" i="5"/>
  <c r="V271" i="5"/>
  <c r="U271" i="5"/>
  <c r="I261" i="5"/>
  <c r="H261" i="5"/>
  <c r="J261" i="5"/>
  <c r="V258" i="1"/>
  <c r="G258" i="5"/>
  <c r="I258" i="5" s="1"/>
  <c r="H256" i="5"/>
  <c r="I256" i="5"/>
  <c r="J256" i="5"/>
  <c r="I249" i="5"/>
  <c r="H249" i="5"/>
  <c r="AM245" i="1"/>
  <c r="W245" i="1"/>
  <c r="G245" i="5"/>
  <c r="AM235" i="1"/>
  <c r="S235" i="5"/>
  <c r="AJ299" i="1"/>
  <c r="S299" i="5"/>
  <c r="W291" i="1"/>
  <c r="AK289" i="1"/>
  <c r="T274" i="1"/>
  <c r="G274" i="5"/>
  <c r="AQ270" i="1"/>
  <c r="BS270" i="1" s="1"/>
  <c r="AM269" i="1"/>
  <c r="U264" i="1"/>
  <c r="W263" i="1"/>
  <c r="AL261" i="1"/>
  <c r="U260" i="1"/>
  <c r="T259" i="1"/>
  <c r="H257" i="5"/>
  <c r="J257" i="5"/>
  <c r="I257" i="5"/>
  <c r="BK256" i="1"/>
  <c r="AL245" i="1"/>
  <c r="AK242" i="1"/>
  <c r="S242" i="5"/>
  <c r="U240" i="1"/>
  <c r="G240" i="5"/>
  <c r="AJ289" i="1"/>
  <c r="T268" i="1"/>
  <c r="G268" i="5"/>
  <c r="U263" i="1"/>
  <c r="H259" i="5"/>
  <c r="I259" i="5"/>
  <c r="J259" i="5"/>
  <c r="W246" i="1"/>
  <c r="AK245" i="1"/>
  <c r="G234" i="5"/>
  <c r="T234" i="1"/>
  <c r="AQ233" i="1"/>
  <c r="BS233" i="1" s="1"/>
  <c r="Z182" i="1"/>
  <c r="K182" i="5"/>
  <c r="L182" i="5" s="1"/>
  <c r="AA182" i="1"/>
  <c r="T289" i="5"/>
  <c r="U289" i="5"/>
  <c r="V289" i="5"/>
  <c r="U280" i="1"/>
  <c r="W276" i="1"/>
  <c r="V270" i="5"/>
  <c r="T270" i="5"/>
  <c r="U270" i="5"/>
  <c r="AJ269" i="1"/>
  <c r="S269" i="5"/>
  <c r="T267" i="1"/>
  <c r="G267" i="5"/>
  <c r="V264" i="1"/>
  <c r="G264" i="5"/>
  <c r="J264" i="5" s="1"/>
  <c r="J263" i="5"/>
  <c r="H263" i="5"/>
  <c r="I263" i="5"/>
  <c r="AK261" i="1"/>
  <c r="S261" i="5"/>
  <c r="T261" i="5" s="1"/>
  <c r="W260" i="1"/>
  <c r="G260" i="5"/>
  <c r="AL258" i="1"/>
  <c r="AL254" i="1"/>
  <c r="S254" i="5"/>
  <c r="T254" i="5" s="1"/>
  <c r="AM253" i="1"/>
  <c r="S253" i="5"/>
  <c r="T253" i="5" s="1"/>
  <c r="AJ245" i="1"/>
  <c r="K228" i="5"/>
  <c r="M228" i="5" s="1"/>
  <c r="Z228" i="1"/>
  <c r="J280" i="5"/>
  <c r="H280" i="5"/>
  <c r="I280" i="5"/>
  <c r="U246" i="1"/>
  <c r="G246" i="5"/>
  <c r="I246" i="5" s="1"/>
  <c r="U245" i="5"/>
  <c r="T245" i="5"/>
  <c r="V245" i="5"/>
  <c r="V239" i="1"/>
  <c r="Y179" i="1"/>
  <c r="K179" i="5"/>
  <c r="Y175" i="1"/>
  <c r="AB180" i="1"/>
  <c r="K180" i="5"/>
  <c r="N175" i="5"/>
  <c r="M175" i="5"/>
  <c r="Z177" i="1"/>
  <c r="K177" i="5"/>
  <c r="Y176" i="1"/>
  <c r="K176" i="5"/>
  <c r="AK237" i="1"/>
  <c r="S237" i="5"/>
  <c r="T237" i="5" s="1"/>
  <c r="Z223" i="1"/>
  <c r="AA181" i="1"/>
  <c r="AB175" i="1"/>
  <c r="Y181" i="1"/>
  <c r="AA180" i="1"/>
  <c r="Z179" i="1"/>
  <c r="Z175" i="1"/>
  <c r="J336" i="5"/>
  <c r="V332" i="5"/>
  <c r="I336" i="5"/>
  <c r="U332" i="5"/>
  <c r="I329" i="5"/>
  <c r="T313" i="5"/>
  <c r="T256" i="5"/>
  <c r="U256" i="5"/>
  <c r="V256" i="5"/>
  <c r="L181" i="5"/>
  <c r="M181" i="5"/>
  <c r="N181" i="5"/>
  <c r="U328" i="5"/>
  <c r="V342" i="5"/>
  <c r="J342" i="5"/>
  <c r="J334" i="5"/>
  <c r="V327" i="5"/>
  <c r="V323" i="5"/>
  <c r="I317" i="5"/>
  <c r="I334" i="5"/>
  <c r="U327" i="5"/>
  <c r="U323" i="5"/>
  <c r="I315" i="5"/>
  <c r="H315" i="5"/>
  <c r="J249" i="5"/>
  <c r="L175" i="5"/>
  <c r="K336" i="1"/>
  <c r="BE336" i="1"/>
  <c r="J336" i="1"/>
  <c r="AZ336" i="1" s="1"/>
  <c r="BD343" i="1"/>
  <c r="AP343" i="1"/>
  <c r="AB343" i="5" s="1"/>
  <c r="J343" i="1"/>
  <c r="V338" i="1"/>
  <c r="BE335" i="1"/>
  <c r="K335" i="1"/>
  <c r="BD335" i="1"/>
  <c r="BK325" i="1"/>
  <c r="AN325" i="1"/>
  <c r="BE322" i="1"/>
  <c r="J322" i="1"/>
  <c r="BD322" i="1"/>
  <c r="AP322" i="1"/>
  <c r="AB322" i="5" s="1"/>
  <c r="BD318" i="1"/>
  <c r="J318" i="1"/>
  <c r="BH318" i="1"/>
  <c r="AL317" i="1"/>
  <c r="AM317" i="1"/>
  <c r="AJ317" i="1"/>
  <c r="AQ312" i="1"/>
  <c r="BS312" i="1" s="1"/>
  <c r="AL331" i="1"/>
  <c r="T331" i="1"/>
  <c r="AK327" i="1"/>
  <c r="AL327" i="1"/>
  <c r="AJ327" i="1"/>
  <c r="AQ323" i="1"/>
  <c r="BS323" i="1" s="1"/>
  <c r="AN322" i="1"/>
  <c r="BD316" i="1"/>
  <c r="V306" i="1"/>
  <c r="W306" i="1"/>
  <c r="AN343" i="1"/>
  <c r="BK339" i="1"/>
  <c r="AN339" i="1"/>
  <c r="AM338" i="1"/>
  <c r="AK338" i="1"/>
  <c r="AL338" i="1"/>
  <c r="T338" i="1"/>
  <c r="W336" i="1"/>
  <c r="U336" i="1"/>
  <c r="V336" i="1"/>
  <c r="J335" i="1"/>
  <c r="AZ335" i="1" s="1"/>
  <c r="AM334" i="1"/>
  <c r="W332" i="1"/>
  <c r="AQ327" i="1"/>
  <c r="BS327" i="1" s="1"/>
  <c r="BD323" i="1"/>
  <c r="AN321" i="1"/>
  <c r="W319" i="1"/>
  <c r="AP316" i="1"/>
  <c r="AB316" i="5" s="1"/>
  <c r="K316" i="1"/>
  <c r="BH316" i="1"/>
  <c r="AQ313" i="1"/>
  <c r="BS313" i="1" s="1"/>
  <c r="K343" i="1"/>
  <c r="BH343" i="1"/>
  <c r="AK331" i="1"/>
  <c r="AM331" i="1"/>
  <c r="AQ345" i="1"/>
  <c r="BS345" i="1" s="1"/>
  <c r="AN305" i="1"/>
  <c r="AK295" i="1"/>
  <c r="AM295" i="1"/>
  <c r="AJ295" i="1"/>
  <c r="AL295" i="1"/>
  <c r="BE323" i="1"/>
  <c r="K323" i="1"/>
  <c r="BH323" i="1"/>
  <c r="BF316" i="1"/>
  <c r="BG316" i="1" s="1"/>
  <c r="BP316" i="1" s="1" a="1"/>
  <c r="BP316" i="1" s="1"/>
  <c r="CD316" i="1"/>
  <c r="AJ310" i="1"/>
  <c r="AK310" i="1"/>
  <c r="BQ306" i="1"/>
  <c r="BN306" i="1" s="1"/>
  <c r="BD303" i="1"/>
  <c r="BH303" i="1"/>
  <c r="K303" i="1"/>
  <c r="AP303" i="1"/>
  <c r="AB303" i="5" s="1"/>
  <c r="AQ303" i="1"/>
  <c r="BS303" i="1" s="1"/>
  <c r="BG337" i="1"/>
  <c r="BP337" i="1" s="1" a="1"/>
  <c r="BP337" i="1" s="1"/>
  <c r="CD337" i="1"/>
  <c r="V330" i="1"/>
  <c r="T343" i="1"/>
  <c r="BD342" i="1"/>
  <c r="K337" i="1"/>
  <c r="BH337" i="1"/>
  <c r="BK336" i="1"/>
  <c r="AQ335" i="1"/>
  <c r="BS335" i="1" s="1"/>
  <c r="BK333" i="1"/>
  <c r="AN333" i="1"/>
  <c r="AM332" i="1"/>
  <c r="AK332" i="1"/>
  <c r="AL332" i="1"/>
  <c r="U330" i="1"/>
  <c r="AM326" i="1"/>
  <c r="AL326" i="1"/>
  <c r="AK326" i="1"/>
  <c r="AL325" i="1"/>
  <c r="BQ323" i="1"/>
  <c r="BN323" i="1" s="1"/>
  <c r="AJ321" i="1"/>
  <c r="AM321" i="1"/>
  <c r="AP319" i="1"/>
  <c r="AB319" i="5" s="1"/>
  <c r="J319" i="1"/>
  <c r="AZ319" i="1" s="1"/>
  <c r="K319" i="1"/>
  <c r="BH319" i="1"/>
  <c r="BE319" i="1"/>
  <c r="AJ314" i="1"/>
  <c r="AL314" i="1"/>
  <c r="AM314" i="1"/>
  <c r="AK314" i="1"/>
  <c r="BD313" i="1"/>
  <c r="J313" i="1"/>
  <c r="AP313" i="1"/>
  <c r="AB313" i="5" s="1"/>
  <c r="BH313" i="1"/>
  <c r="K313" i="1"/>
  <c r="AN311" i="1"/>
  <c r="BK311" i="1"/>
  <c r="K342" i="1"/>
  <c r="BE342" i="1"/>
  <c r="J342" i="1"/>
  <c r="AN331" i="1"/>
  <c r="T330" i="1"/>
  <c r="AQ326" i="1"/>
  <c r="BS326" i="1" s="1"/>
  <c r="Y324" i="1"/>
  <c r="Z324" i="1"/>
  <c r="AA324" i="1"/>
  <c r="AJ313" i="1"/>
  <c r="AK313" i="1"/>
  <c r="AM313" i="1"/>
  <c r="J303" i="1"/>
  <c r="AZ303" i="1" s="1"/>
  <c r="AQ297" i="1"/>
  <c r="BS297" i="1" s="1"/>
  <c r="BK326" i="1"/>
  <c r="AN326" i="1"/>
  <c r="BK322" i="1"/>
  <c r="AQ321" i="1"/>
  <c r="BS321" i="1" s="1"/>
  <c r="AQ320" i="1"/>
  <c r="BS320" i="1" s="1"/>
  <c r="T320" i="1"/>
  <c r="V320" i="1"/>
  <c r="W320" i="1"/>
  <c r="U320" i="1"/>
  <c r="AJ311" i="1"/>
  <c r="AK311" i="1"/>
  <c r="AM311" i="1"/>
  <c r="BD307" i="1"/>
  <c r="AP307" i="1"/>
  <c r="AB307" i="5" s="1"/>
  <c r="BH307" i="1"/>
  <c r="K307" i="1"/>
  <c r="J307" i="1"/>
  <c r="AZ307" i="1" s="1"/>
  <c r="U329" i="1"/>
  <c r="W329" i="1"/>
  <c r="V329" i="1"/>
  <c r="AK325" i="1"/>
  <c r="AM325" i="1"/>
  <c r="BK345" i="1"/>
  <c r="AN345" i="1"/>
  <c r="AQ318" i="1"/>
  <c r="BS318" i="1" s="1"/>
  <c r="AP317" i="1"/>
  <c r="AB317" i="5" s="1"/>
  <c r="BD317" i="1"/>
  <c r="BE317" i="1"/>
  <c r="J317" i="1"/>
  <c r="K317" i="1"/>
  <c r="AN315" i="1"/>
  <c r="BK315" i="1"/>
  <c r="BF312" i="1"/>
  <c r="BG312" i="1" s="1"/>
  <c r="BP312" i="1" s="1" a="1"/>
  <c r="BP312" i="1" s="1"/>
  <c r="BE341" i="1"/>
  <c r="K341" i="1"/>
  <c r="BD341" i="1"/>
  <c r="T316" i="1"/>
  <c r="U316" i="1"/>
  <c r="W316" i="1"/>
  <c r="W342" i="1"/>
  <c r="U342" i="1"/>
  <c r="V342" i="1"/>
  <c r="J341" i="1"/>
  <c r="AZ341" i="1" s="1"/>
  <c r="BE343" i="1"/>
  <c r="BK340" i="1"/>
  <c r="AL339" i="1"/>
  <c r="AP335" i="1"/>
  <c r="AB335" i="5" s="1"/>
  <c r="BH322" i="1"/>
  <c r="BE318" i="1"/>
  <c r="AP318" i="1"/>
  <c r="AB318" i="5" s="1"/>
  <c r="AK317" i="1"/>
  <c r="BL312" i="1"/>
  <c r="U306" i="1"/>
  <c r="V304" i="1"/>
  <c r="W304" i="1"/>
  <c r="K331" i="1"/>
  <c r="J325" i="1"/>
  <c r="AJ305" i="1"/>
  <c r="AL305" i="1"/>
  <c r="AM305" i="1"/>
  <c r="BL296" i="1"/>
  <c r="BK292" i="1"/>
  <c r="AJ270" i="1"/>
  <c r="AM270" i="1"/>
  <c r="AK270" i="1"/>
  <c r="AL270" i="1"/>
  <c r="J287" i="1"/>
  <c r="AZ287" i="1" s="1"/>
  <c r="BD287" i="1"/>
  <c r="BE287" i="1"/>
  <c r="K287" i="1"/>
  <c r="J297" i="1"/>
  <c r="BK282" i="1"/>
  <c r="AN282" i="1"/>
  <c r="BE328" i="1"/>
  <c r="J328" i="1"/>
  <c r="AZ328" i="1" s="1"/>
  <c r="BQ319" i="1"/>
  <c r="BN319" i="1" s="1"/>
  <c r="BQ314" i="1"/>
  <c r="BN314" i="1" s="1"/>
  <c r="K289" i="1"/>
  <c r="BH289" i="1"/>
  <c r="J289" i="1"/>
  <c r="AP289" i="1"/>
  <c r="AB289" i="5" s="1"/>
  <c r="BD289" i="1"/>
  <c r="AQ289" i="1"/>
  <c r="BS289" i="1" s="1"/>
  <c r="BD283" i="1"/>
  <c r="BE283" i="1"/>
  <c r="AQ283" i="1"/>
  <c r="BS283" i="1" s="1"/>
  <c r="BH283" i="1"/>
  <c r="J283" i="1"/>
  <c r="AZ283" i="1" s="1"/>
  <c r="K283" i="1"/>
  <c r="BK264" i="1"/>
  <c r="AN264" i="1"/>
  <c r="BE289" i="1"/>
  <c r="BK288" i="1"/>
  <c r="AN288" i="1"/>
  <c r="K284" i="1"/>
  <c r="AP284" i="1"/>
  <c r="AB284" i="5" s="1"/>
  <c r="BD284" i="1"/>
  <c r="J284" i="1"/>
  <c r="AZ284" i="1" s="1"/>
  <c r="BH284" i="1"/>
  <c r="AJ281" i="1"/>
  <c r="AK281" i="1"/>
  <c r="AL281" i="1"/>
  <c r="AM281" i="1"/>
  <c r="T257" i="1"/>
  <c r="V257" i="1"/>
  <c r="U257" i="1"/>
  <c r="W257" i="1"/>
  <c r="BE331" i="1"/>
  <c r="BE329" i="1"/>
  <c r="K329" i="1"/>
  <c r="X329" i="1"/>
  <c r="K329" i="5" s="1"/>
  <c r="BH329" i="1"/>
  <c r="J329" i="1"/>
  <c r="K328" i="1"/>
  <c r="BK319" i="1"/>
  <c r="AN319" i="1"/>
  <c r="T318" i="1"/>
  <c r="W318" i="1"/>
  <c r="BK314" i="1"/>
  <c r="BL297" i="1"/>
  <c r="BQ293" i="1"/>
  <c r="BN293" i="1" s="1"/>
  <c r="BL274" i="1"/>
  <c r="AP262" i="1"/>
  <c r="AB262" i="5" s="1"/>
  <c r="BD262" i="1"/>
  <c r="J262" i="1"/>
  <c r="AZ262" i="1" s="1"/>
  <c r="K262" i="1"/>
  <c r="AQ262" i="1"/>
  <c r="BS262" i="1" s="1"/>
  <c r="BH262" i="1"/>
  <c r="BE262" i="1"/>
  <c r="AJ264" i="1"/>
  <c r="AK264" i="1"/>
  <c r="AL264" i="1"/>
  <c r="AM264" i="1"/>
  <c r="BD297" i="1"/>
  <c r="BH297" i="1"/>
  <c r="K297" i="1"/>
  <c r="BE297" i="1"/>
  <c r="AP279" i="1"/>
  <c r="AB279" i="5" s="1"/>
  <c r="J279" i="1"/>
  <c r="K279" i="1"/>
  <c r="BD279" i="1"/>
  <c r="BH279" i="1"/>
  <c r="BD325" i="1"/>
  <c r="J310" i="1"/>
  <c r="AZ310" i="1" s="1"/>
  <c r="BD310" i="1"/>
  <c r="BE310" i="1"/>
  <c r="BH310" i="1"/>
  <c r="AL304" i="1"/>
  <c r="AM304" i="1"/>
  <c r="BK291" i="1"/>
  <c r="AN291" i="1"/>
  <c r="AJ273" i="1"/>
  <c r="AL273" i="1"/>
  <c r="AM273" i="1"/>
  <c r="AP325" i="1"/>
  <c r="AB325" i="5" s="1"/>
  <c r="AN317" i="1"/>
  <c r="BK317" i="1"/>
  <c r="T313" i="1"/>
  <c r="V313" i="1"/>
  <c r="W313" i="1"/>
  <c r="BH311" i="1"/>
  <c r="AP311" i="1"/>
  <c r="AB311" i="5" s="1"/>
  <c r="AQ311" i="1"/>
  <c r="BS311" i="1" s="1"/>
  <c r="BD311" i="1"/>
  <c r="BE311" i="1"/>
  <c r="BU311" i="1" s="1"/>
  <c r="BL303" i="1"/>
  <c r="BQ299" i="1"/>
  <c r="BN299" i="1" s="1"/>
  <c r="AQ294" i="1"/>
  <c r="BS294" i="1" s="1"/>
  <c r="BE293" i="1"/>
  <c r="K293" i="1"/>
  <c r="BD293" i="1"/>
  <c r="BH293" i="1"/>
  <c r="AP293" i="1"/>
  <c r="AB293" i="5" s="1"/>
  <c r="J293" i="1"/>
  <c r="BL291" i="1"/>
  <c r="AN301" i="1"/>
  <c r="BH299" i="1"/>
  <c r="AP299" i="1"/>
  <c r="AB299" i="5" s="1"/>
  <c r="K299" i="1"/>
  <c r="BK295" i="1"/>
  <c r="AN295" i="1"/>
  <c r="J290" i="1"/>
  <c r="BD275" i="1"/>
  <c r="J275" i="1"/>
  <c r="BE275" i="1"/>
  <c r="BH275" i="1"/>
  <c r="K275" i="1"/>
  <c r="AP275" i="1"/>
  <c r="AB275" i="5" s="1"/>
  <c r="T262" i="1"/>
  <c r="W262" i="1"/>
  <c r="U262" i="1"/>
  <c r="BL256" i="1"/>
  <c r="AQ254" i="1"/>
  <c r="BS254" i="1" s="1"/>
  <c r="BK250" i="1"/>
  <c r="AN250" i="1"/>
  <c r="AP326" i="1"/>
  <c r="AB326" i="5" s="1"/>
  <c r="AM308" i="1"/>
  <c r="BE305" i="1"/>
  <c r="BE304" i="1"/>
  <c r="BL301" i="1"/>
  <c r="J299" i="1"/>
  <c r="AJ297" i="1"/>
  <c r="AL297" i="1"/>
  <c r="J295" i="1"/>
  <c r="BL262" i="1"/>
  <c r="AQ259" i="1"/>
  <c r="BS259" i="1" s="1"/>
  <c r="BK252" i="1"/>
  <c r="AN252" i="1"/>
  <c r="BE315" i="1"/>
  <c r="BE312" i="1"/>
  <c r="BL308" i="1"/>
  <c r="AL308" i="1"/>
  <c r="BD305" i="1"/>
  <c r="BD304" i="1"/>
  <c r="AL302" i="1"/>
  <c r="W302" i="1"/>
  <c r="BH301" i="1"/>
  <c r="W299" i="1"/>
  <c r="BH295" i="1"/>
  <c r="J294" i="1"/>
  <c r="BK290" i="1"/>
  <c r="AN290" i="1"/>
  <c r="BL273" i="1"/>
  <c r="AQ271" i="1"/>
  <c r="BS271" i="1" s="1"/>
  <c r="AQ256" i="1"/>
  <c r="BS256" i="1" s="1"/>
  <c r="BH259" i="1"/>
  <c r="BE259" i="1"/>
  <c r="BD259" i="1"/>
  <c r="K259" i="1"/>
  <c r="BL258" i="1"/>
  <c r="W308" i="1"/>
  <c r="AN307" i="1"/>
  <c r="V307" i="1"/>
  <c r="AM306" i="1"/>
  <c r="AP304" i="1"/>
  <c r="AB304" i="5" s="1"/>
  <c r="T302" i="1"/>
  <c r="BE301" i="1"/>
  <c r="BK299" i="1"/>
  <c r="BD295" i="1"/>
  <c r="BH294" i="1"/>
  <c r="AN293" i="1"/>
  <c r="AK291" i="1"/>
  <c r="AQ287" i="1"/>
  <c r="BS287" i="1" s="1"/>
  <c r="BL286" i="1"/>
  <c r="AQ284" i="1"/>
  <c r="BS284" i="1" s="1"/>
  <c r="BQ283" i="1"/>
  <c r="BN283" i="1" s="1"/>
  <c r="BL281" i="1"/>
  <c r="BL277" i="1"/>
  <c r="BL264" i="1"/>
  <c r="J258" i="1"/>
  <c r="BH258" i="1"/>
  <c r="AQ258" i="1"/>
  <c r="BS258" i="1" s="1"/>
  <c r="AP258" i="1"/>
  <c r="AB258" i="5" s="1"/>
  <c r="BD258" i="1"/>
  <c r="BE258" i="1"/>
  <c r="K258" i="1"/>
  <c r="AK256" i="1"/>
  <c r="AL256" i="1"/>
  <c r="AM256" i="1"/>
  <c r="AJ256" i="1"/>
  <c r="BL307" i="1"/>
  <c r="U307" i="1"/>
  <c r="BH305" i="1"/>
  <c r="BE294" i="1"/>
  <c r="T290" i="1"/>
  <c r="V290" i="1"/>
  <c r="AM262" i="1"/>
  <c r="AK262" i="1"/>
  <c r="AL262" i="1"/>
  <c r="BQ260" i="1"/>
  <c r="BN260" i="1" s="1"/>
  <c r="BK248" i="1"/>
  <c r="AN248" i="1"/>
  <c r="BH315" i="1"/>
  <c r="AM296" i="1"/>
  <c r="AL296" i="1"/>
  <c r="BE295" i="1"/>
  <c r="K295" i="1"/>
  <c r="BD294" i="1"/>
  <c r="AQ290" i="1"/>
  <c r="BS290" i="1" s="1"/>
  <c r="BD290" i="1"/>
  <c r="BE290" i="1"/>
  <c r="BD286" i="1"/>
  <c r="K286" i="1"/>
  <c r="AP286" i="1"/>
  <c r="AB286" i="5" s="1"/>
  <c r="BE286" i="1"/>
  <c r="J286" i="1"/>
  <c r="AZ286" i="1" s="1"/>
  <c r="W284" i="1"/>
  <c r="T284" i="1"/>
  <c r="V284" i="1"/>
  <c r="BH277" i="1"/>
  <c r="BD277" i="1"/>
  <c r="BE277" i="1"/>
  <c r="J277" i="1"/>
  <c r="AP277" i="1"/>
  <c r="AB277" i="5" s="1"/>
  <c r="U272" i="1"/>
  <c r="V272" i="1"/>
  <c r="W272" i="1"/>
  <c r="CD314" i="1"/>
  <c r="BE314" i="1"/>
  <c r="BU314" i="1" s="1"/>
  <c r="AN313" i="1"/>
  <c r="J305" i="1"/>
  <c r="AZ305" i="1" s="1"/>
  <c r="AJ303" i="1"/>
  <c r="AL303" i="1"/>
  <c r="BD301" i="1"/>
  <c r="J301" i="1"/>
  <c r="K301" i="1"/>
  <c r="K294" i="1"/>
  <c r="BQ289" i="1"/>
  <c r="BN289" i="1" s="1"/>
  <c r="BQ288" i="1"/>
  <c r="BN288" i="1" s="1"/>
  <c r="AN287" i="1"/>
  <c r="AJ282" i="1"/>
  <c r="AK282" i="1"/>
  <c r="AL282" i="1"/>
  <c r="AM282" i="1"/>
  <c r="J272" i="1"/>
  <c r="AZ272" i="1" s="1"/>
  <c r="K272" i="1"/>
  <c r="AP272" i="1"/>
  <c r="AB272" i="5" s="1"/>
  <c r="BE272" i="1"/>
  <c r="BH272" i="1"/>
  <c r="AK267" i="1"/>
  <c r="AJ267" i="1"/>
  <c r="AL267" i="1"/>
  <c r="AM267" i="1"/>
  <c r="V270" i="1"/>
  <c r="U270" i="1"/>
  <c r="AN269" i="1"/>
  <c r="BK269" i="1"/>
  <c r="AJ265" i="1"/>
  <c r="AL265" i="1"/>
  <c r="AK265" i="1"/>
  <c r="AM265" i="1"/>
  <c r="BH312" i="1"/>
  <c r="AP308" i="1"/>
  <c r="AB308" i="5" s="1"/>
  <c r="J308" i="1"/>
  <c r="BH304" i="1"/>
  <c r="AP302" i="1"/>
  <c r="AB302" i="5" s="1"/>
  <c r="J302" i="1"/>
  <c r="BH302" i="1"/>
  <c r="K302" i="1"/>
  <c r="BK301" i="1"/>
  <c r="T301" i="1"/>
  <c r="V301" i="1"/>
  <c r="AQ299" i="1"/>
  <c r="BS299" i="1" s="1"/>
  <c r="BF298" i="1"/>
  <c r="BG298" i="1" s="1"/>
  <c r="BP298" i="1" s="1" a="1"/>
  <c r="BP298" i="1" s="1"/>
  <c r="AQ293" i="1"/>
  <c r="BS293" i="1" s="1"/>
  <c r="K290" i="1"/>
  <c r="BE288" i="1"/>
  <c r="J288" i="1"/>
  <c r="AZ288" i="1" s="1"/>
  <c r="K288" i="1"/>
  <c r="AP288" i="1"/>
  <c r="AB288" i="5" s="1"/>
  <c r="BH288" i="1"/>
  <c r="AQ275" i="1"/>
  <c r="BS275" i="1" s="1"/>
  <c r="AN263" i="1"/>
  <c r="V262" i="1"/>
  <c r="U256" i="1"/>
  <c r="V256" i="1"/>
  <c r="W256" i="1"/>
  <c r="T256" i="1"/>
  <c r="U261" i="1"/>
  <c r="V261" i="1"/>
  <c r="W261" i="1"/>
  <c r="K260" i="1"/>
  <c r="J260" i="1"/>
  <c r="BH260" i="1"/>
  <c r="BK254" i="1"/>
  <c r="AN254" i="1"/>
  <c r="BK241" i="1"/>
  <c r="AN241" i="1"/>
  <c r="AQ238" i="1"/>
  <c r="BS238" i="1" s="1"/>
  <c r="AM283" i="1"/>
  <c r="BL282" i="1"/>
  <c r="K282" i="1"/>
  <c r="T280" i="1"/>
  <c r="V280" i="1"/>
  <c r="W280" i="1"/>
  <c r="AL275" i="1"/>
  <c r="AP274" i="1"/>
  <c r="AB274" i="5" s="1"/>
  <c r="BD274" i="1"/>
  <c r="BE274" i="1"/>
  <c r="AL269" i="1"/>
  <c r="T269" i="1"/>
  <c r="V269" i="1"/>
  <c r="BD265" i="1"/>
  <c r="J264" i="1"/>
  <c r="BH264" i="1"/>
  <c r="AQ264" i="1"/>
  <c r="BS264" i="1" s="1"/>
  <c r="BD264" i="1"/>
  <c r="BE264" i="1"/>
  <c r="U259" i="1"/>
  <c r="V259" i="1"/>
  <c r="K255" i="1"/>
  <c r="BD255" i="1"/>
  <c r="T232" i="1"/>
  <c r="V232" i="1"/>
  <c r="U232" i="1"/>
  <c r="W232" i="1"/>
  <c r="AQ243" i="1"/>
  <c r="BS243" i="1" s="1"/>
  <c r="U288" i="1"/>
  <c r="V288" i="1"/>
  <c r="W288" i="1"/>
  <c r="AQ286" i="1"/>
  <c r="BS286" i="1" s="1"/>
  <c r="AJ283" i="1"/>
  <c r="BE282" i="1"/>
  <c r="BH281" i="1"/>
  <c r="T275" i="1"/>
  <c r="V275" i="1"/>
  <c r="K274" i="1"/>
  <c r="BK273" i="1"/>
  <c r="V271" i="1"/>
  <c r="AN261" i="1"/>
  <c r="BK261" i="1"/>
  <c r="BQ258" i="1"/>
  <c r="BN258" i="1" s="1"/>
  <c r="AP267" i="1"/>
  <c r="AB267" i="5" s="1"/>
  <c r="J267" i="1"/>
  <c r="V267" i="1"/>
  <c r="W267" i="1"/>
  <c r="BH265" i="1"/>
  <c r="BE265" i="1"/>
  <c r="U265" i="1"/>
  <c r="W265" i="1"/>
  <c r="BK262" i="1"/>
  <c r="AN262" i="1"/>
  <c r="U247" i="1"/>
  <c r="W247" i="1"/>
  <c r="V247" i="1"/>
  <c r="AP285" i="1"/>
  <c r="AB285" i="5" s="1"/>
  <c r="BD285" i="1"/>
  <c r="BE285" i="1"/>
  <c r="J282" i="1"/>
  <c r="AZ282" i="1" s="1"/>
  <c r="BH282" i="1"/>
  <c r="BQ264" i="1"/>
  <c r="BN264" i="1" s="1"/>
  <c r="AN257" i="1"/>
  <c r="AQ255" i="1"/>
  <c r="BS255" i="1" s="1"/>
  <c r="AQ244" i="1"/>
  <c r="BS244" i="1" s="1"/>
  <c r="U289" i="1"/>
  <c r="AN285" i="1"/>
  <c r="BD281" i="1"/>
  <c r="J281" i="1"/>
  <c r="AZ281" i="1" s="1"/>
  <c r="U281" i="1"/>
  <c r="AQ276" i="1"/>
  <c r="BS276" i="1" s="1"/>
  <c r="AJ271" i="1"/>
  <c r="AL271" i="1"/>
  <c r="AN268" i="1"/>
  <c r="BK258" i="1"/>
  <c r="W251" i="1"/>
  <c r="T251" i="1"/>
  <c r="U251" i="1"/>
  <c r="V251" i="1"/>
  <c r="BK246" i="1"/>
  <c r="AN246" i="1"/>
  <c r="AK290" i="1"/>
  <c r="AL290" i="1"/>
  <c r="AM290" i="1"/>
  <c r="BQ285" i="1"/>
  <c r="BN285" i="1" s="1"/>
  <c r="K285" i="1"/>
  <c r="BQ281" i="1"/>
  <c r="BN281" i="1" s="1"/>
  <c r="AP280" i="1"/>
  <c r="AB280" i="5" s="1"/>
  <c r="BD280" i="1"/>
  <c r="J280" i="1"/>
  <c r="J276" i="1"/>
  <c r="BH276" i="1"/>
  <c r="BE276" i="1"/>
  <c r="AP273" i="1"/>
  <c r="AB273" i="5" s="1"/>
  <c r="BH273" i="1"/>
  <c r="AN267" i="1"/>
  <c r="K265" i="1"/>
  <c r="AP261" i="1"/>
  <c r="AB261" i="5" s="1"/>
  <c r="BE261" i="1"/>
  <c r="AN255" i="1"/>
  <c r="BK255" i="1"/>
  <c r="BK247" i="1"/>
  <c r="AN247" i="1"/>
  <c r="BK238" i="1"/>
  <c r="BK284" i="1"/>
  <c r="AK272" i="1"/>
  <c r="AP268" i="1"/>
  <c r="AB268" i="5" s="1"/>
  <c r="BD268" i="1"/>
  <c r="BE256" i="1"/>
  <c r="AP256" i="1"/>
  <c r="AB256" i="5" s="1"/>
  <c r="K256" i="1"/>
  <c r="J256" i="1"/>
  <c r="AZ256" i="1" s="1"/>
  <c r="BH271" i="1"/>
  <c r="BQ269" i="1"/>
  <c r="BN269" i="1" s="1"/>
  <c r="BD269" i="1"/>
  <c r="J269" i="1"/>
  <c r="BE246" i="1"/>
  <c r="J246" i="1"/>
  <c r="AZ246" i="1" s="1"/>
  <c r="AP246" i="1"/>
  <c r="AB246" i="5" s="1"/>
  <c r="BD246" i="1"/>
  <c r="AQ241" i="1"/>
  <c r="BS241" i="1" s="1"/>
  <c r="BK239" i="1"/>
  <c r="K271" i="1"/>
  <c r="BQ270" i="1"/>
  <c r="BN270" i="1" s="1"/>
  <c r="J270" i="1"/>
  <c r="BH270" i="1"/>
  <c r="J268" i="1"/>
  <c r="BK249" i="1"/>
  <c r="BD222" i="1"/>
  <c r="BE222" i="1"/>
  <c r="BK233" i="1"/>
  <c r="BK240" i="1"/>
  <c r="BE219" i="1"/>
  <c r="BD219" i="1"/>
  <c r="T263" i="1"/>
  <c r="V263" i="1"/>
  <c r="AQ246" i="1"/>
  <c r="K246" i="1"/>
  <c r="BK244" i="1"/>
  <c r="BK237" i="1"/>
  <c r="AN237" i="1"/>
  <c r="AQ235" i="1"/>
  <c r="BS235" i="1" s="1"/>
  <c r="AK246" i="1"/>
  <c r="AM246" i="1"/>
  <c r="AK243" i="1"/>
  <c r="AM243" i="1"/>
  <c r="BK234" i="1"/>
  <c r="BL232" i="1"/>
  <c r="BK243" i="1"/>
  <c r="AN243" i="1"/>
  <c r="Y228" i="1"/>
  <c r="AA228" i="1"/>
  <c r="AB228" i="1"/>
  <c r="J263" i="1"/>
  <c r="AZ263" i="1" s="1"/>
  <c r="J257" i="1"/>
  <c r="AK253" i="1"/>
  <c r="BE251" i="1"/>
  <c r="BD249" i="1"/>
  <c r="BK235" i="1"/>
  <c r="K250" i="1"/>
  <c r="W244" i="1"/>
  <c r="K244" i="1"/>
  <c r="BE243" i="1"/>
  <c r="K238" i="1"/>
  <c r="BE237" i="1"/>
  <c r="AM234" i="1"/>
  <c r="BE250" i="1"/>
  <c r="K245" i="1"/>
  <c r="BE244" i="1"/>
  <c r="K239" i="1"/>
  <c r="BE238" i="1"/>
  <c r="W233" i="1"/>
  <c r="K233" i="1"/>
  <c r="BD232" i="1"/>
  <c r="AM231" i="1"/>
  <c r="BE230" i="1"/>
  <c r="BE225" i="1"/>
  <c r="BE178" i="1"/>
  <c r="K240" i="1"/>
  <c r="K234" i="1"/>
  <c r="AP232" i="1"/>
  <c r="AB232" i="5" s="1"/>
  <c r="AJ231" i="1"/>
  <c r="V246" i="1"/>
  <c r="J240" i="1"/>
  <c r="J234" i="1"/>
  <c r="BD213" i="1"/>
  <c r="W241" i="1"/>
  <c r="AM237" i="1"/>
  <c r="W235" i="1"/>
  <c r="BH230" i="1"/>
  <c r="Z176" i="1"/>
  <c r="AB176" i="1"/>
  <c r="Y177" i="1"/>
  <c r="AB177" i="1"/>
  <c r="AA177" i="1"/>
  <c r="Y180" i="1"/>
  <c r="AB182" i="1"/>
  <c r="Y182" i="1"/>
  <c r="AA179" i="1"/>
  <c r="BD182" i="1"/>
  <c r="V281" i="1" l="1"/>
  <c r="AL284" i="1"/>
  <c r="T329" i="1"/>
  <c r="BF244" i="1"/>
  <c r="AZ244" i="1"/>
  <c r="BR263" i="3"/>
  <c r="BF311" i="1"/>
  <c r="BG311" i="1" s="1"/>
  <c r="BP311" i="1" s="1" a="1"/>
  <c r="BP311" i="1" s="1"/>
  <c r="BU337" i="1"/>
  <c r="BT271" i="3"/>
  <c r="BS287" i="3"/>
  <c r="BU317" i="3"/>
  <c r="BM291" i="3"/>
  <c r="BM294" i="3"/>
  <c r="J329" i="5"/>
  <c r="CD321" i="1"/>
  <c r="AZ321" i="1"/>
  <c r="BN288" i="3"/>
  <c r="T285" i="1"/>
  <c r="AM335" i="1"/>
  <c r="AK294" i="1"/>
  <c r="V285" i="1"/>
  <c r="T314" i="1"/>
  <c r="U285" i="1"/>
  <c r="W314" i="1"/>
  <c r="AL335" i="1"/>
  <c r="AK335" i="1"/>
  <c r="BU318" i="3"/>
  <c r="BR261" i="3"/>
  <c r="BV261" i="3" s="1"/>
  <c r="BN261" i="3"/>
  <c r="BR250" i="3"/>
  <c r="BV250" i="3" s="1"/>
  <c r="BN250" i="3"/>
  <c r="BF337" i="1"/>
  <c r="AZ337" i="1"/>
  <c r="BV318" i="3"/>
  <c r="BR230" i="3"/>
  <c r="BV230" i="3" s="1"/>
  <c r="BN230" i="3"/>
  <c r="T230" i="1"/>
  <c r="BT294" i="3"/>
  <c r="BL294" i="3"/>
  <c r="BN253" i="3"/>
  <c r="BR253" i="3"/>
  <c r="BV253" i="3" s="1"/>
  <c r="BG239" i="1"/>
  <c r="BP239" i="1" s="1" a="1"/>
  <c r="BP239" i="1" s="1"/>
  <c r="AL310" i="1"/>
  <c r="BN247" i="3"/>
  <c r="AJ316" i="1"/>
  <c r="U304" i="1"/>
  <c r="AL316" i="1"/>
  <c r="CD320" i="1"/>
  <c r="AZ320" i="1"/>
  <c r="AK316" i="1"/>
  <c r="BF332" i="1"/>
  <c r="BG332" i="1" s="1"/>
  <c r="BP332" i="1" s="1" a="1"/>
  <c r="BP332" i="1" s="1"/>
  <c r="AZ332" i="1"/>
  <c r="BM277" i="3"/>
  <c r="BV291" i="3"/>
  <c r="BR291" i="3"/>
  <c r="BM267" i="3"/>
  <c r="BU267" i="3"/>
  <c r="BN291" i="3"/>
  <c r="AX291" i="3"/>
  <c r="BF314" i="1"/>
  <c r="AZ314" i="1"/>
  <c r="AX285" i="3"/>
  <c r="BN285" i="3"/>
  <c r="BN267" i="3"/>
  <c r="AX267" i="3"/>
  <c r="BR267" i="3"/>
  <c r="BV267" i="3"/>
  <c r="BR285" i="3"/>
  <c r="BV285" i="3" s="1"/>
  <c r="BR329" i="3"/>
  <c r="BV329" i="3" s="1"/>
  <c r="BN329" i="3"/>
  <c r="BR303" i="3"/>
  <c r="BV303" i="3" s="1"/>
  <c r="BN303" i="3"/>
  <c r="BV317" i="3"/>
  <c r="BR317" i="3"/>
  <c r="BU248" i="1"/>
  <c r="BF327" i="1"/>
  <c r="BG327" i="1" s="1"/>
  <c r="BP327" i="1" s="1" a="1"/>
  <c r="BP327" i="1" s="1"/>
  <c r="AZ327" i="1"/>
  <c r="AX317" i="3"/>
  <c r="BN317" i="3"/>
  <c r="T305" i="1"/>
  <c r="W305" i="1"/>
  <c r="U305" i="1"/>
  <c r="BU315" i="3"/>
  <c r="BZ343" i="1"/>
  <c r="U328" i="1"/>
  <c r="T328" i="1"/>
  <c r="W328" i="1"/>
  <c r="V328" i="1"/>
  <c r="AM284" i="1"/>
  <c r="AK284" i="1"/>
  <c r="BU312" i="1"/>
  <c r="BQ271" i="3"/>
  <c r="BU276" i="3"/>
  <c r="BI271" i="3"/>
  <c r="BU271" i="3"/>
  <c r="AZ271" i="3"/>
  <c r="BM271" i="3"/>
  <c r="W230" i="1"/>
  <c r="BV293" i="3"/>
  <c r="BR293" i="3"/>
  <c r="AX293" i="3"/>
  <c r="BN293" i="3"/>
  <c r="AM294" i="1"/>
  <c r="CD304" i="1"/>
  <c r="AZ304" i="1"/>
  <c r="BR315" i="3"/>
  <c r="BV315" i="3" s="1"/>
  <c r="AX315" i="3"/>
  <c r="BN315" i="3"/>
  <c r="AL315" i="1"/>
  <c r="BU296" i="3"/>
  <c r="BF296" i="1"/>
  <c r="BG296" i="1" s="1"/>
  <c r="BP296" i="1" s="1" a="1"/>
  <c r="BP296" i="1" s="1"/>
  <c r="AZ296" i="1"/>
  <c r="U265" i="5"/>
  <c r="AJ333" i="1"/>
  <c r="AL276" i="1"/>
  <c r="AL333" i="1"/>
  <c r="AK276" i="1"/>
  <c r="AM312" i="1"/>
  <c r="AM333" i="1"/>
  <c r="AM286" i="1"/>
  <c r="AJ286" i="1"/>
  <c r="AK286" i="1"/>
  <c r="BN266" i="3"/>
  <c r="BN275" i="3"/>
  <c r="BV275" i="3"/>
  <c r="BU338" i="1"/>
  <c r="BF292" i="1"/>
  <c r="AZ292" i="1"/>
  <c r="AN344" i="1"/>
  <c r="AJ312" i="1"/>
  <c r="BZ329" i="1"/>
  <c r="AJ315" i="1"/>
  <c r="AX251" i="3"/>
  <c r="AJ276" i="1"/>
  <c r="BF338" i="1"/>
  <c r="BG338" i="1" s="1"/>
  <c r="BP338" i="1" s="1" a="1"/>
  <c r="BP338" i="1" s="1"/>
  <c r="AB270" i="5"/>
  <c r="BF285" i="1"/>
  <c r="AZ285" i="1"/>
  <c r="AX296" i="3"/>
  <c r="BN296" i="3"/>
  <c r="BV296" i="3"/>
  <c r="BR296" i="3"/>
  <c r="V265" i="5"/>
  <c r="W303" i="1"/>
  <c r="T281" i="1"/>
  <c r="V303" i="1"/>
  <c r="T303" i="1"/>
  <c r="AK249" i="1"/>
  <c r="AM319" i="1"/>
  <c r="AL312" i="1"/>
  <c r="AL249" i="1"/>
  <c r="AJ319" i="1"/>
  <c r="AL319" i="1"/>
  <c r="AM280" i="1"/>
  <c r="G230" i="5"/>
  <c r="H230" i="5" s="1"/>
  <c r="AM230" i="1"/>
  <c r="AJ230" i="1"/>
  <c r="AK280" i="1"/>
  <c r="AL280" i="1"/>
  <c r="AM268" i="1"/>
  <c r="AK322" i="1"/>
  <c r="AK268" i="1"/>
  <c r="AJ268" i="1"/>
  <c r="U254" i="1"/>
  <c r="V230" i="1"/>
  <c r="AJ322" i="1"/>
  <c r="AX199" i="3"/>
  <c r="BN199" i="3"/>
  <c r="BV199" i="3"/>
  <c r="BR199" i="3"/>
  <c r="AX198" i="3"/>
  <c r="BN198" i="3"/>
  <c r="BV198" i="3"/>
  <c r="BR198" i="3"/>
  <c r="I344" i="5"/>
  <c r="H344" i="5"/>
  <c r="AL322" i="1"/>
  <c r="T344" i="1"/>
  <c r="T254" i="1"/>
  <c r="U344" i="1"/>
  <c r="V344" i="1"/>
  <c r="W344" i="1"/>
  <c r="AX229" i="3"/>
  <c r="AL230" i="1"/>
  <c r="BZ344" i="1"/>
  <c r="CD239" i="1"/>
  <c r="W323" i="1"/>
  <c r="AM249" i="1"/>
  <c r="U323" i="1"/>
  <c r="BK329" i="1"/>
  <c r="AN329" i="1"/>
  <c r="AQ343" i="1"/>
  <c r="BS343" i="1" s="1"/>
  <c r="AN279" i="1"/>
  <c r="BZ279" i="1"/>
  <c r="CA279" i="1"/>
  <c r="AN230" i="1"/>
  <c r="BZ230" i="1"/>
  <c r="AN278" i="1"/>
  <c r="BZ278" i="1"/>
  <c r="CA278" i="1"/>
  <c r="BK278" i="1"/>
  <c r="BU239" i="1"/>
  <c r="BV246" i="3"/>
  <c r="BR246" i="3"/>
  <c r="AX246" i="3"/>
  <c r="BN246" i="3"/>
  <c r="S230" i="5"/>
  <c r="T230" i="5" s="1"/>
  <c r="BS246" i="1"/>
  <c r="V254" i="1"/>
  <c r="V323" i="1"/>
  <c r="T323" i="1"/>
  <c r="AC262" i="1"/>
  <c r="CD261" i="1"/>
  <c r="AZ261" i="1"/>
  <c r="AX209" i="3"/>
  <c r="BN209" i="3"/>
  <c r="BV209" i="3"/>
  <c r="BR209" i="3"/>
  <c r="CD255" i="1"/>
  <c r="AZ255" i="1"/>
  <c r="AX207" i="3"/>
  <c r="BN207" i="3"/>
  <c r="BV207" i="3"/>
  <c r="BR207" i="3"/>
  <c r="BM295" i="3"/>
  <c r="BO228" i="3"/>
  <c r="BK168" i="3"/>
  <c r="BS168" i="3"/>
  <c r="AX295" i="3"/>
  <c r="BN295" i="3"/>
  <c r="BF254" i="1"/>
  <c r="AZ254" i="1"/>
  <c r="AJ249" i="1"/>
  <c r="AM247" i="1"/>
  <c r="AL239" i="1"/>
  <c r="AK247" i="1"/>
  <c r="AM240" i="1"/>
  <c r="T237" i="1"/>
  <c r="AL247" i="1"/>
  <c r="AK240" i="1"/>
  <c r="AK239" i="1"/>
  <c r="AJ239" i="1"/>
  <c r="W243" i="1"/>
  <c r="AM232" i="1"/>
  <c r="S329" i="5"/>
  <c r="T329" i="5" s="1"/>
  <c r="AK232" i="1"/>
  <c r="AJ329" i="1"/>
  <c r="AK241" i="1"/>
  <c r="AL329" i="1"/>
  <c r="V243" i="1"/>
  <c r="U243" i="1"/>
  <c r="AK236" i="1"/>
  <c r="AM241" i="1"/>
  <c r="AM329" i="1"/>
  <c r="BF249" i="1"/>
  <c r="BG249" i="1" s="1"/>
  <c r="BP249" i="1" s="1" a="1"/>
  <c r="BP249" i="1" s="1"/>
  <c r="AZ249" i="1"/>
  <c r="BV249" i="3"/>
  <c r="BR249" i="3"/>
  <c r="AX249" i="3"/>
  <c r="BN249" i="3"/>
  <c r="AM248" i="1"/>
  <c r="BG244" i="1"/>
  <c r="BP244" i="1" s="1" a="1"/>
  <c r="BP244" i="1" s="1"/>
  <c r="AX228" i="3"/>
  <c r="AJ236" i="1"/>
  <c r="BB228" i="3"/>
  <c r="U237" i="1"/>
  <c r="AL241" i="1"/>
  <c r="BU292" i="3"/>
  <c r="CD243" i="1"/>
  <c r="AZ243" i="1"/>
  <c r="AX292" i="3"/>
  <c r="BN292" i="3"/>
  <c r="BV292" i="3"/>
  <c r="BR292" i="3"/>
  <c r="AL240" i="1"/>
  <c r="AL236" i="1"/>
  <c r="V237" i="1"/>
  <c r="AM274" i="1"/>
  <c r="BF238" i="1"/>
  <c r="BG238" i="1" s="1"/>
  <c r="BP238" i="1" s="1" a="1"/>
  <c r="BP238" i="1" s="1"/>
  <c r="AZ238" i="1"/>
  <c r="BU290" i="3"/>
  <c r="BF237" i="1"/>
  <c r="AZ237" i="1"/>
  <c r="AX290" i="3"/>
  <c r="BN290" i="3"/>
  <c r="BV290" i="3"/>
  <c r="BR290" i="3"/>
  <c r="AK278" i="1"/>
  <c r="AK274" i="1"/>
  <c r="AL274" i="1"/>
  <c r="AL232" i="1"/>
  <c r="U345" i="1"/>
  <c r="V345" i="1"/>
  <c r="AK248" i="1"/>
  <c r="AL248" i="1"/>
  <c r="U250" i="1"/>
  <c r="T345" i="1"/>
  <c r="V250" i="1"/>
  <c r="W250" i="1"/>
  <c r="V340" i="1"/>
  <c r="W345" i="1"/>
  <c r="U340" i="1"/>
  <c r="AM233" i="1"/>
  <c r="T340" i="1"/>
  <c r="AK233" i="1"/>
  <c r="AJ233" i="1"/>
  <c r="BR277" i="3"/>
  <c r="BV277" i="3" s="1"/>
  <c r="AX277" i="3"/>
  <c r="BN277" i="3"/>
  <c r="AC250" i="1"/>
  <c r="BS234" i="1"/>
  <c r="BR276" i="3"/>
  <c r="BV276" i="3" s="1"/>
  <c r="AX276" i="3"/>
  <c r="BN276" i="3"/>
  <c r="AJ279" i="1"/>
  <c r="BS271" i="3"/>
  <c r="BS272" i="3"/>
  <c r="BT168" i="3"/>
  <c r="BO271" i="3"/>
  <c r="AI343" i="1"/>
  <c r="BF242" i="1"/>
  <c r="BG242" i="1" s="1"/>
  <c r="BP242" i="1" s="1" a="1"/>
  <c r="BP242" i="1" s="1"/>
  <c r="BI274" i="3"/>
  <c r="BU274" i="3" s="1"/>
  <c r="BS274" i="3"/>
  <c r="U279" i="5"/>
  <c r="V279" i="5"/>
  <c r="BH272" i="3"/>
  <c r="BT272" i="3" s="1"/>
  <c r="AI344" i="1"/>
  <c r="AL279" i="1"/>
  <c r="AK279" i="1"/>
  <c r="AM279" i="1"/>
  <c r="BU272" i="3"/>
  <c r="BI272" i="3"/>
  <c r="BQ272" i="3"/>
  <c r="BC272" i="3"/>
  <c r="BM272" i="3"/>
  <c r="AZ272" i="3"/>
  <c r="CD238" i="1"/>
  <c r="BU244" i="1"/>
  <c r="CD244" i="1"/>
  <c r="BK279" i="1"/>
  <c r="BU292" i="1"/>
  <c r="BU251" i="1"/>
  <c r="BG292" i="1"/>
  <c r="BP292" i="1" s="1" a="1"/>
  <c r="BP292" i="1" s="1"/>
  <c r="BU304" i="1"/>
  <c r="X230" i="1"/>
  <c r="K230" i="5" s="1"/>
  <c r="L230" i="5" s="1"/>
  <c r="BI273" i="3"/>
  <c r="BM273" i="3" s="1"/>
  <c r="BS273" i="3"/>
  <c r="BP278" i="1" a="1"/>
  <c r="BP278" i="1" s="1"/>
  <c r="BF320" i="1"/>
  <c r="BG320" i="1" s="1"/>
  <c r="BP320" i="1" s="1" a="1"/>
  <c r="BP320" i="1" s="1"/>
  <c r="AM278" i="1"/>
  <c r="BO168" i="3"/>
  <c r="S278" i="5"/>
  <c r="V278" i="5" s="1"/>
  <c r="AL278" i="1"/>
  <c r="BU245" i="1"/>
  <c r="BU323" i="1"/>
  <c r="BS228" i="3"/>
  <c r="BJ274" i="3"/>
  <c r="BB274" i="3"/>
  <c r="BU278" i="1"/>
  <c r="BH274" i="3"/>
  <c r="BT274" i="3" s="1"/>
  <c r="S279" i="1"/>
  <c r="BU271" i="1"/>
  <c r="BJ273" i="3"/>
  <c r="BB273" i="3"/>
  <c r="BH273" i="3"/>
  <c r="S278" i="1"/>
  <c r="V338" i="5"/>
  <c r="CD327" i="1"/>
  <c r="BU230" i="1"/>
  <c r="BU243" i="1"/>
  <c r="CD259" i="1"/>
  <c r="BU306" i="1"/>
  <c r="BU237" i="1"/>
  <c r="BG237" i="1"/>
  <c r="BP237" i="1" s="1" a="1"/>
  <c r="BP237" i="1" s="1"/>
  <c r="BU344" i="1"/>
  <c r="BF321" i="1"/>
  <c r="BG321" i="1" s="1"/>
  <c r="BP321" i="1" s="1" a="1"/>
  <c r="BP321" i="1" s="1"/>
  <c r="CD232" i="1"/>
  <c r="BU265" i="1"/>
  <c r="BU259" i="1"/>
  <c r="CD254" i="1"/>
  <c r="BU315" i="1"/>
  <c r="BU261" i="1"/>
  <c r="I322" i="5"/>
  <c r="CD235" i="1"/>
  <c r="BG236" i="1"/>
  <c r="BP236" i="1" s="1" a="1"/>
  <c r="BP236" i="1" s="1"/>
  <c r="BF261" i="1"/>
  <c r="BG261" i="1" s="1"/>
  <c r="BP261" i="1" s="1" a="1"/>
  <c r="BP261" i="1" s="1"/>
  <c r="CD251" i="1"/>
  <c r="BU345" i="1"/>
  <c r="BF274" i="1"/>
  <c r="BG274" i="1" s="1"/>
  <c r="BP274" i="1" s="1" a="1"/>
  <c r="BP274" i="1" s="1"/>
  <c r="BF330" i="1"/>
  <c r="BG330" i="1" s="1"/>
  <c r="BP330" i="1" s="1" a="1"/>
  <c r="BP330" i="1" s="1"/>
  <c r="BU285" i="1"/>
  <c r="BQ228" i="3"/>
  <c r="BC228" i="3"/>
  <c r="BF304" i="1"/>
  <c r="BG304" i="1" s="1"/>
  <c r="BP304" i="1" s="1" a="1"/>
  <c r="BP304" i="1" s="1"/>
  <c r="BU327" i="1"/>
  <c r="BU232" i="1"/>
  <c r="BU252" i="1"/>
  <c r="BF255" i="1"/>
  <c r="BG255" i="1" s="1"/>
  <c r="BP255" i="1" s="1" a="1"/>
  <c r="BP255" i="1" s="1"/>
  <c r="BU238" i="1"/>
  <c r="BU255" i="1"/>
  <c r="CD265" i="1"/>
  <c r="CD323" i="1"/>
  <c r="BU235" i="1"/>
  <c r="BG251" i="1"/>
  <c r="BP251" i="1" s="1" a="1"/>
  <c r="BP251" i="1" s="1"/>
  <c r="BU320" i="1"/>
  <c r="BU340" i="1"/>
  <c r="CD248" i="1"/>
  <c r="BF252" i="1"/>
  <c r="BG252" i="1" s="1"/>
  <c r="BP252" i="1" s="1" a="1"/>
  <c r="BP252" i="1" s="1"/>
  <c r="BG254" i="1"/>
  <c r="BP254" i="1" s="1" a="1"/>
  <c r="BP254" i="1" s="1"/>
  <c r="CD334" i="1"/>
  <c r="BF345" i="1"/>
  <c r="BG345" i="1" s="1"/>
  <c r="BP345" i="1" s="1" a="1"/>
  <c r="BP345" i="1" s="1"/>
  <c r="J231" i="5"/>
  <c r="J291" i="5"/>
  <c r="BU236" i="1"/>
  <c r="CD236" i="1"/>
  <c r="CD249" i="1"/>
  <c r="CD237" i="1"/>
  <c r="BF248" i="1"/>
  <c r="BG248" i="1" s="1"/>
  <c r="BP248" i="1" s="1" a="1"/>
  <c r="BP248" i="1" s="1"/>
  <c r="CD332" i="1"/>
  <c r="CD245" i="1"/>
  <c r="BU241" i="1"/>
  <c r="CD247" i="1"/>
  <c r="I231" i="5"/>
  <c r="BU249" i="1"/>
  <c r="CD241" i="1"/>
  <c r="BG285" i="1"/>
  <c r="BP285" i="1" s="1" a="1"/>
  <c r="BP285" i="1" s="1"/>
  <c r="BG241" i="1"/>
  <c r="BP241" i="1" s="1" a="1"/>
  <c r="BP241" i="1" s="1"/>
  <c r="CD285" i="1"/>
  <c r="V243" i="5"/>
  <c r="BI228" i="3"/>
  <c r="BU228" i="3" s="1"/>
  <c r="BU273" i="1"/>
  <c r="BU334" i="1"/>
  <c r="BU331" i="1"/>
  <c r="CD292" i="1"/>
  <c r="BF315" i="1"/>
  <c r="BG315" i="1" s="1"/>
  <c r="BP315" i="1" s="1" a="1"/>
  <c r="BP315" i="1" s="1"/>
  <c r="BF271" i="1"/>
  <c r="BG271" i="1" s="1"/>
  <c r="BP271" i="1" s="1" a="1"/>
  <c r="BP271" i="1" s="1"/>
  <c r="BU254" i="1"/>
  <c r="CD273" i="1"/>
  <c r="BU242" i="1"/>
  <c r="BG250" i="1"/>
  <c r="BP250" i="1" s="1" a="1"/>
  <c r="BP250" i="1" s="1"/>
  <c r="CD250" i="1"/>
  <c r="BU250" i="1"/>
  <c r="BU231" i="1"/>
  <c r="BF243" i="1"/>
  <c r="BG243" i="1" s="1"/>
  <c r="BP243" i="1" s="1" a="1"/>
  <c r="BP243" i="1" s="1"/>
  <c r="V250" i="5"/>
  <c r="U253" i="5"/>
  <c r="BM228" i="3"/>
  <c r="BF231" i="1"/>
  <c r="BG231" i="1" s="1"/>
  <c r="BP231" i="1" s="1" a="1"/>
  <c r="BP231" i="1" s="1"/>
  <c r="J322" i="5"/>
  <c r="CD306" i="1"/>
  <c r="BU321" i="1"/>
  <c r="CD271" i="1"/>
  <c r="BU247" i="1"/>
  <c r="BF306" i="1"/>
  <c r="BG306" i="1" s="1"/>
  <c r="BP306" i="1" s="1" a="1"/>
  <c r="BP306" i="1" s="1"/>
  <c r="M182" i="5"/>
  <c r="I291" i="5"/>
  <c r="I241" i="5"/>
  <c r="L223" i="5"/>
  <c r="BU332" i="1"/>
  <c r="T338" i="5"/>
  <c r="N223" i="5"/>
  <c r="BF245" i="1"/>
  <c r="BG245" i="1" s="1"/>
  <c r="BP245" i="1" s="1" a="1"/>
  <c r="BP245" i="1" s="1"/>
  <c r="CD296" i="1"/>
  <c r="T262" i="5"/>
  <c r="CD253" i="1"/>
  <c r="CD278" i="1"/>
  <c r="BU253" i="1"/>
  <c r="H319" i="5"/>
  <c r="J325" i="5"/>
  <c r="J331" i="5"/>
  <c r="BF344" i="1"/>
  <c r="BG344" i="1" s="1"/>
  <c r="BP344" i="1" s="1" a="1"/>
  <c r="BP344" i="1" s="1"/>
  <c r="N182" i="5"/>
  <c r="U262" i="5"/>
  <c r="I325" i="5"/>
  <c r="BU296" i="1"/>
  <c r="BU274" i="1"/>
  <c r="BU339" i="1"/>
  <c r="U340" i="5"/>
  <c r="BU330" i="1"/>
  <c r="V331" i="5"/>
  <c r="J241" i="5"/>
  <c r="U250" i="5"/>
  <c r="V253" i="5"/>
  <c r="U243" i="5"/>
  <c r="U331" i="5"/>
  <c r="I331" i="5"/>
  <c r="V340" i="5"/>
  <c r="BF333" i="1"/>
  <c r="BG333" i="1" s="1"/>
  <c r="BP333" i="1" s="1" a="1"/>
  <c r="BP333" i="1" s="1"/>
  <c r="CD333" i="1"/>
  <c r="BU333" i="1"/>
  <c r="BF331" i="1"/>
  <c r="BG331" i="1" s="1"/>
  <c r="BP331" i="1" s="1" a="1"/>
  <c r="BP331" i="1" s="1"/>
  <c r="CD331" i="1"/>
  <c r="I233" i="5"/>
  <c r="BF326" i="1"/>
  <c r="BG326" i="1" s="1"/>
  <c r="BP326" i="1" s="1" a="1"/>
  <c r="BP326" i="1" s="1"/>
  <c r="CD326" i="1"/>
  <c r="BF340" i="1"/>
  <c r="BG340" i="1" s="1"/>
  <c r="BP340" i="1" s="1" a="1"/>
  <c r="BP340" i="1" s="1"/>
  <c r="CD340" i="1"/>
  <c r="BF339" i="1"/>
  <c r="BG339" i="1" s="1"/>
  <c r="BP339" i="1" s="1" a="1"/>
  <c r="BP339" i="1" s="1"/>
  <c r="CD339" i="1"/>
  <c r="BU233" i="1"/>
  <c r="BF233" i="1"/>
  <c r="BG233" i="1" s="1"/>
  <c r="BP233" i="1" s="1" a="1"/>
  <c r="BP233" i="1" s="1"/>
  <c r="BU291" i="1"/>
  <c r="BF291" i="1"/>
  <c r="BG291" i="1" s="1"/>
  <c r="BP291" i="1" s="1" a="1"/>
  <c r="BP291" i="1" s="1"/>
  <c r="CD291" i="1"/>
  <c r="BU326" i="1"/>
  <c r="BO287" i="3"/>
  <c r="CD230" i="1"/>
  <c r="BF230" i="1"/>
  <c r="BG230" i="1" s="1"/>
  <c r="BP230" i="1" s="1" a="1"/>
  <c r="BP230" i="1" s="1"/>
  <c r="T285" i="5"/>
  <c r="U285" i="5"/>
  <c r="V285" i="5"/>
  <c r="H338" i="5"/>
  <c r="I338" i="5"/>
  <c r="H233" i="5"/>
  <c r="T235" i="5"/>
  <c r="U235" i="5"/>
  <c r="V235" i="5"/>
  <c r="M178" i="5"/>
  <c r="L178" i="5"/>
  <c r="J239" i="5"/>
  <c r="H239" i="5"/>
  <c r="I239" i="5"/>
  <c r="H265" i="5"/>
  <c r="I265" i="5"/>
  <c r="J265" i="5"/>
  <c r="J298" i="5"/>
  <c r="H298" i="5"/>
  <c r="I298" i="5"/>
  <c r="V272" i="5"/>
  <c r="U272" i="5"/>
  <c r="T272" i="5"/>
  <c r="L324" i="5"/>
  <c r="M324" i="5"/>
  <c r="N324" i="5"/>
  <c r="J307" i="5"/>
  <c r="H307" i="5"/>
  <c r="I307" i="5"/>
  <c r="H294" i="5"/>
  <c r="I294" i="5"/>
  <c r="J294" i="5"/>
  <c r="J246" i="5"/>
  <c r="H246" i="5"/>
  <c r="J274" i="5"/>
  <c r="H274" i="5"/>
  <c r="I274" i="5"/>
  <c r="V299" i="5"/>
  <c r="T299" i="5"/>
  <c r="U299" i="5"/>
  <c r="H283" i="5"/>
  <c r="I283" i="5"/>
  <c r="J283" i="5"/>
  <c r="J296" i="5"/>
  <c r="H296" i="5"/>
  <c r="I296" i="5"/>
  <c r="J299" i="5"/>
  <c r="H299" i="5"/>
  <c r="I299" i="5"/>
  <c r="H287" i="5"/>
  <c r="I287" i="5"/>
  <c r="J287" i="5"/>
  <c r="J284" i="5"/>
  <c r="I284" i="5"/>
  <c r="H284" i="5"/>
  <c r="V237" i="5"/>
  <c r="U237" i="5"/>
  <c r="V254" i="5"/>
  <c r="U254" i="5"/>
  <c r="I264" i="5"/>
  <c r="H264" i="5"/>
  <c r="V242" i="5"/>
  <c r="U242" i="5"/>
  <c r="T242" i="5"/>
  <c r="T287" i="5"/>
  <c r="U287" i="5"/>
  <c r="V287" i="5"/>
  <c r="J297" i="5"/>
  <c r="H297" i="5"/>
  <c r="I297" i="5"/>
  <c r="T292" i="5"/>
  <c r="U292" i="5"/>
  <c r="V292" i="5"/>
  <c r="T304" i="5"/>
  <c r="U304" i="5"/>
  <c r="V304" i="5"/>
  <c r="N177" i="5"/>
  <c r="L177" i="5"/>
  <c r="M177" i="5"/>
  <c r="V258" i="5"/>
  <c r="T258" i="5"/>
  <c r="U258" i="5"/>
  <c r="H343" i="5"/>
  <c r="I343" i="5"/>
  <c r="J343" i="5"/>
  <c r="J242" i="5"/>
  <c r="H242" i="5"/>
  <c r="I242" i="5"/>
  <c r="I316" i="5"/>
  <c r="H316" i="5"/>
  <c r="J316" i="5"/>
  <c r="J338" i="5"/>
  <c r="J276" i="5"/>
  <c r="H276" i="5"/>
  <c r="I276" i="5"/>
  <c r="T306" i="5"/>
  <c r="U306" i="5"/>
  <c r="V306" i="5"/>
  <c r="T296" i="5"/>
  <c r="U296" i="5"/>
  <c r="V296" i="5"/>
  <c r="T345" i="5"/>
  <c r="U345" i="5"/>
  <c r="V345" i="5"/>
  <c r="M176" i="5"/>
  <c r="L176" i="5"/>
  <c r="N176" i="5"/>
  <c r="H245" i="5"/>
  <c r="J245" i="5"/>
  <c r="I245" i="5"/>
  <c r="T260" i="5"/>
  <c r="U260" i="5"/>
  <c r="V260" i="5"/>
  <c r="V291" i="5"/>
  <c r="T291" i="5"/>
  <c r="U291" i="5"/>
  <c r="V234" i="5"/>
  <c r="T234" i="5"/>
  <c r="U234" i="5"/>
  <c r="J236" i="5"/>
  <c r="H236" i="5"/>
  <c r="I236" i="5"/>
  <c r="J308" i="5"/>
  <c r="H308" i="5"/>
  <c r="I308" i="5"/>
  <c r="T337" i="5"/>
  <c r="U337" i="5"/>
  <c r="V337" i="5"/>
  <c r="V288" i="5"/>
  <c r="U288" i="5"/>
  <c r="T288" i="5"/>
  <c r="T308" i="5"/>
  <c r="U308" i="5"/>
  <c r="V308" i="5"/>
  <c r="H260" i="5"/>
  <c r="I260" i="5"/>
  <c r="J260" i="5"/>
  <c r="H267" i="5"/>
  <c r="I267" i="5"/>
  <c r="J267" i="5"/>
  <c r="T275" i="5"/>
  <c r="U275" i="5"/>
  <c r="V275" i="5"/>
  <c r="T255" i="5"/>
  <c r="U255" i="5"/>
  <c r="V255" i="5"/>
  <c r="I252" i="5"/>
  <c r="H252" i="5"/>
  <c r="U231" i="5"/>
  <c r="T231" i="5"/>
  <c r="V231" i="5"/>
  <c r="U273" i="5"/>
  <c r="V273" i="5"/>
  <c r="T273" i="5"/>
  <c r="N179" i="5"/>
  <c r="M179" i="5"/>
  <c r="L179" i="5"/>
  <c r="J258" i="5"/>
  <c r="H258" i="5"/>
  <c r="H271" i="5"/>
  <c r="I271" i="5"/>
  <c r="J271" i="5"/>
  <c r="H292" i="5"/>
  <c r="I292" i="5"/>
  <c r="J292" i="5"/>
  <c r="J244" i="5"/>
  <c r="H244" i="5"/>
  <c r="I244" i="5"/>
  <c r="L329" i="5"/>
  <c r="M329" i="5"/>
  <c r="N329" i="5"/>
  <c r="I319" i="5"/>
  <c r="M180" i="5"/>
  <c r="L180" i="5"/>
  <c r="N180" i="5"/>
  <c r="L228" i="5"/>
  <c r="N228" i="5"/>
  <c r="T269" i="5"/>
  <c r="U269" i="5"/>
  <c r="V269" i="5"/>
  <c r="J286" i="5"/>
  <c r="H286" i="5"/>
  <c r="I286" i="5"/>
  <c r="H277" i="5"/>
  <c r="I277" i="5"/>
  <c r="J277" i="5"/>
  <c r="H247" i="5"/>
  <c r="I247" i="5"/>
  <c r="J247" i="5"/>
  <c r="H269" i="5"/>
  <c r="I269" i="5"/>
  <c r="J269" i="5"/>
  <c r="H337" i="5"/>
  <c r="I337" i="5"/>
  <c r="J337" i="5"/>
  <c r="J310" i="5"/>
  <c r="H310" i="5"/>
  <c r="I310" i="5"/>
  <c r="J313" i="5"/>
  <c r="H313" i="5"/>
  <c r="I313" i="5"/>
  <c r="T302" i="5"/>
  <c r="U302" i="5"/>
  <c r="V302" i="5"/>
  <c r="V261" i="5"/>
  <c r="U261" i="5"/>
  <c r="J268" i="5"/>
  <c r="H268" i="5"/>
  <c r="I268" i="5"/>
  <c r="J240" i="5"/>
  <c r="H240" i="5"/>
  <c r="I240" i="5"/>
  <c r="H235" i="5"/>
  <c r="I235" i="5"/>
  <c r="J235" i="5"/>
  <c r="H335" i="5"/>
  <c r="I335" i="5"/>
  <c r="J335" i="5"/>
  <c r="V303" i="5"/>
  <c r="T303" i="5"/>
  <c r="U303" i="5"/>
  <c r="H330" i="5"/>
  <c r="I330" i="5"/>
  <c r="J330" i="5"/>
  <c r="J289" i="5"/>
  <c r="H289" i="5"/>
  <c r="I289" i="5"/>
  <c r="J290" i="5"/>
  <c r="H290" i="5"/>
  <c r="I290" i="5"/>
  <c r="J234" i="5"/>
  <c r="H234" i="5"/>
  <c r="I234" i="5"/>
  <c r="J302" i="5"/>
  <c r="H302" i="5"/>
  <c r="I302" i="5"/>
  <c r="V283" i="5"/>
  <c r="T283" i="5"/>
  <c r="U283" i="5"/>
  <c r="BF234" i="1"/>
  <c r="BG234" i="1" s="1"/>
  <c r="BP234" i="1" s="1" a="1"/>
  <c r="BP234" i="1" s="1"/>
  <c r="CD234" i="1"/>
  <c r="BU234" i="1"/>
  <c r="BF240" i="1"/>
  <c r="BG240" i="1" s="1"/>
  <c r="BP240" i="1" s="1" a="1"/>
  <c r="BP240" i="1" s="1"/>
  <c r="CD240" i="1"/>
  <c r="BU240" i="1"/>
  <c r="BF257" i="1"/>
  <c r="BG257" i="1" s="1"/>
  <c r="BP257" i="1" s="1" a="1"/>
  <c r="BP257" i="1" s="1"/>
  <c r="BU257" i="1"/>
  <c r="CD257" i="1"/>
  <c r="BF263" i="1"/>
  <c r="BG263" i="1" s="1"/>
  <c r="BP263" i="1" s="1" a="1"/>
  <c r="BP263" i="1" s="1"/>
  <c r="CD263" i="1"/>
  <c r="BU263" i="1"/>
  <c r="CD268" i="1"/>
  <c r="BF268" i="1"/>
  <c r="BG268" i="1" s="1"/>
  <c r="BP268" i="1" s="1" a="1"/>
  <c r="BP268" i="1" s="1"/>
  <c r="BU268" i="1"/>
  <c r="BF270" i="1"/>
  <c r="BG270" i="1" s="1"/>
  <c r="BP270" i="1" s="1" a="1"/>
  <c r="BP270" i="1" s="1"/>
  <c r="CD270" i="1"/>
  <c r="BU270" i="1"/>
  <c r="BF246" i="1"/>
  <c r="BG246" i="1" s="1"/>
  <c r="BP246" i="1" s="1" a="1"/>
  <c r="BP246" i="1" s="1"/>
  <c r="CD246" i="1"/>
  <c r="BU246" i="1"/>
  <c r="BF269" i="1"/>
  <c r="BG269" i="1" s="1"/>
  <c r="BP269" i="1" s="1" a="1"/>
  <c r="BP269" i="1" s="1"/>
  <c r="CD269" i="1"/>
  <c r="BU269" i="1"/>
  <c r="CD256" i="1"/>
  <c r="BF256" i="1"/>
  <c r="BG256" i="1" s="1"/>
  <c r="BP256" i="1" s="1" a="1"/>
  <c r="BP256" i="1" s="1"/>
  <c r="BU256" i="1"/>
  <c r="BF276" i="1"/>
  <c r="BG276" i="1" s="1"/>
  <c r="BP276" i="1" s="1" a="1"/>
  <c r="BP276" i="1" s="1"/>
  <c r="BU276" i="1"/>
  <c r="CD276" i="1"/>
  <c r="BF280" i="1"/>
  <c r="BG280" i="1" s="1"/>
  <c r="BP280" i="1" s="1" a="1"/>
  <c r="BP280" i="1" s="1"/>
  <c r="BU280" i="1"/>
  <c r="CD280" i="1"/>
  <c r="BF281" i="1"/>
  <c r="BG281" i="1" s="1"/>
  <c r="BP281" i="1" s="1" a="1"/>
  <c r="BP281" i="1" s="1"/>
  <c r="CD281" i="1"/>
  <c r="BU281" i="1"/>
  <c r="BF282" i="1"/>
  <c r="BG282" i="1" s="1"/>
  <c r="BP282" i="1" s="1" a="1"/>
  <c r="BP282" i="1" s="1"/>
  <c r="CD282" i="1"/>
  <c r="BU282" i="1"/>
  <c r="BF267" i="1"/>
  <c r="BG267" i="1" s="1"/>
  <c r="BP267" i="1" s="1" a="1"/>
  <c r="BP267" i="1" s="1"/>
  <c r="CD267" i="1"/>
  <c r="BU267" i="1"/>
  <c r="BF264" i="1"/>
  <c r="BG264" i="1" s="1"/>
  <c r="BP264" i="1" s="1" a="1"/>
  <c r="BP264" i="1" s="1"/>
  <c r="BU264" i="1"/>
  <c r="CD264" i="1"/>
  <c r="BU260" i="1"/>
  <c r="CD260" i="1"/>
  <c r="BF260" i="1"/>
  <c r="BG260" i="1" s="1"/>
  <c r="BP260" i="1" s="1" a="1"/>
  <c r="BP260" i="1" s="1"/>
  <c r="BF288" i="1"/>
  <c r="BG288" i="1" s="1"/>
  <c r="BP288" i="1" s="1" a="1"/>
  <c r="BP288" i="1" s="1"/>
  <c r="CD288" i="1"/>
  <c r="BU288" i="1"/>
  <c r="BF302" i="1"/>
  <c r="BG302" i="1" s="1"/>
  <c r="BP302" i="1" s="1" a="1"/>
  <c r="BP302" i="1" s="1"/>
  <c r="CD302" i="1"/>
  <c r="BU302" i="1"/>
  <c r="BF308" i="1"/>
  <c r="BG308" i="1" s="1"/>
  <c r="BP308" i="1" s="1" a="1"/>
  <c r="BP308" i="1" s="1"/>
  <c r="BU308" i="1"/>
  <c r="CD308" i="1"/>
  <c r="BU272" i="1"/>
  <c r="BF272" i="1"/>
  <c r="BG272" i="1" s="1"/>
  <c r="BP272" i="1" s="1" a="1"/>
  <c r="BP272" i="1" s="1"/>
  <c r="CD272" i="1"/>
  <c r="BF301" i="1"/>
  <c r="BG301" i="1" s="1"/>
  <c r="BP301" i="1" s="1" a="1"/>
  <c r="BP301" i="1" s="1"/>
  <c r="CD301" i="1"/>
  <c r="BU301" i="1"/>
  <c r="BU305" i="1"/>
  <c r="BF305" i="1"/>
  <c r="BG305" i="1" s="1"/>
  <c r="BP305" i="1" s="1" a="1"/>
  <c r="BP305" i="1" s="1"/>
  <c r="CD305" i="1"/>
  <c r="BU277" i="1"/>
  <c r="CD277" i="1"/>
  <c r="BF277" i="1"/>
  <c r="BG277" i="1" s="1"/>
  <c r="BP277" i="1" s="1" a="1"/>
  <c r="BP277" i="1" s="1"/>
  <c r="BF286" i="1"/>
  <c r="BG286" i="1" s="1"/>
  <c r="BP286" i="1" s="1" a="1"/>
  <c r="BP286" i="1" s="1"/>
  <c r="CD286" i="1"/>
  <c r="BU286" i="1"/>
  <c r="BF258" i="1"/>
  <c r="BG258" i="1" s="1"/>
  <c r="BP258" i="1" s="1" a="1"/>
  <c r="BP258" i="1" s="1"/>
  <c r="CD258" i="1"/>
  <c r="BU258" i="1"/>
  <c r="CD294" i="1"/>
  <c r="BF294" i="1"/>
  <c r="BG294" i="1" s="1"/>
  <c r="BP294" i="1" s="1" a="1"/>
  <c r="BP294" i="1" s="1"/>
  <c r="BU294" i="1"/>
  <c r="BU295" i="1"/>
  <c r="CD295" i="1"/>
  <c r="BF295" i="1"/>
  <c r="BG295" i="1" s="1"/>
  <c r="BP295" i="1" s="1" a="1"/>
  <c r="BP295" i="1" s="1"/>
  <c r="CD299" i="1"/>
  <c r="BU299" i="1"/>
  <c r="BF299" i="1"/>
  <c r="BG299" i="1" s="1"/>
  <c r="BP299" i="1" s="1" a="1"/>
  <c r="BP299" i="1" s="1"/>
  <c r="BF275" i="1"/>
  <c r="BG275" i="1" s="1"/>
  <c r="BP275" i="1" s="1" a="1"/>
  <c r="BP275" i="1" s="1"/>
  <c r="BU275" i="1"/>
  <c r="CD275" i="1"/>
  <c r="CD290" i="1"/>
  <c r="BU290" i="1"/>
  <c r="BF290" i="1"/>
  <c r="BG290" i="1" s="1"/>
  <c r="BP290" i="1" s="1" a="1"/>
  <c r="BP290" i="1" s="1"/>
  <c r="CD293" i="1"/>
  <c r="BU293" i="1"/>
  <c r="BF293" i="1"/>
  <c r="BG293" i="1" s="1"/>
  <c r="BP293" i="1" s="1" a="1"/>
  <c r="BP293" i="1" s="1"/>
  <c r="BF310" i="1"/>
  <c r="BG310" i="1" s="1"/>
  <c r="BP310" i="1" s="1" a="1"/>
  <c r="BP310" i="1" s="1"/>
  <c r="BU310" i="1"/>
  <c r="CD310" i="1"/>
  <c r="CD279" i="1"/>
  <c r="BF279" i="1"/>
  <c r="BG279" i="1" s="1"/>
  <c r="BP279" i="1" s="1" a="1"/>
  <c r="BP279" i="1" s="1"/>
  <c r="BU279" i="1"/>
  <c r="BF262" i="1"/>
  <c r="BG262" i="1" s="1"/>
  <c r="BP262" i="1" s="1" a="1"/>
  <c r="BP262" i="1" s="1"/>
  <c r="CD262" i="1"/>
  <c r="BU262" i="1"/>
  <c r="CD329" i="1"/>
  <c r="BU329" i="1"/>
  <c r="BF329" i="1"/>
  <c r="BG329" i="1" s="1"/>
  <c r="BP329" i="1" s="1" a="1"/>
  <c r="BP329" i="1" s="1"/>
  <c r="Y329" i="1"/>
  <c r="AA329" i="1"/>
  <c r="Z329" i="1"/>
  <c r="AB329" i="1"/>
  <c r="BU284" i="1"/>
  <c r="CD284" i="1"/>
  <c r="BF284" i="1"/>
  <c r="BG284" i="1" s="1"/>
  <c r="BP284" i="1" s="1" a="1"/>
  <c r="BP284" i="1" s="1"/>
  <c r="BU283" i="1"/>
  <c r="BF283" i="1"/>
  <c r="BG283" i="1" s="1"/>
  <c r="BP283" i="1" s="1" a="1"/>
  <c r="BP283" i="1" s="1"/>
  <c r="CD283" i="1"/>
  <c r="CD289" i="1"/>
  <c r="BU289" i="1"/>
  <c r="BF289" i="1"/>
  <c r="BG289" i="1" s="1"/>
  <c r="BP289" i="1" s="1" a="1"/>
  <c r="BP289" i="1" s="1"/>
  <c r="BF328" i="1"/>
  <c r="BG328" i="1" s="1"/>
  <c r="BP328" i="1" s="1" a="1"/>
  <c r="BP328" i="1" s="1"/>
  <c r="CD328" i="1"/>
  <c r="BU328" i="1"/>
  <c r="BU297" i="1"/>
  <c r="BF297" i="1"/>
  <c r="BG297" i="1" s="1"/>
  <c r="BP297" i="1" s="1" a="1"/>
  <c r="BP297" i="1" s="1"/>
  <c r="CD297" i="1"/>
  <c r="CD287" i="1"/>
  <c r="BF287" i="1"/>
  <c r="BG287" i="1" s="1"/>
  <c r="BP287" i="1" s="1" a="1"/>
  <c r="BP287" i="1" s="1"/>
  <c r="BU287" i="1"/>
  <c r="BF325" i="1"/>
  <c r="BG325" i="1" s="1"/>
  <c r="BP325" i="1" s="1" a="1"/>
  <c r="BP325" i="1" s="1"/>
  <c r="BU325" i="1"/>
  <c r="CD325" i="1"/>
  <c r="CD341" i="1"/>
  <c r="BF341" i="1"/>
  <c r="BG341" i="1" s="1"/>
  <c r="BP341" i="1" s="1" a="1"/>
  <c r="BP341" i="1" s="1"/>
  <c r="BU341" i="1"/>
  <c r="CD317" i="1"/>
  <c r="BU317" i="1"/>
  <c r="BF317" i="1"/>
  <c r="BG317" i="1" s="1"/>
  <c r="BP317" i="1" s="1" a="1"/>
  <c r="BP317" i="1" s="1"/>
  <c r="CD307" i="1"/>
  <c r="BU307" i="1"/>
  <c r="BF307" i="1"/>
  <c r="BG307" i="1" s="1"/>
  <c r="BP307" i="1" s="1" a="1"/>
  <c r="BP307" i="1" s="1"/>
  <c r="BU303" i="1"/>
  <c r="BF303" i="1"/>
  <c r="BG303" i="1" s="1"/>
  <c r="BP303" i="1" s="1" a="1"/>
  <c r="BP303" i="1" s="1"/>
  <c r="CD303" i="1"/>
  <c r="CD342" i="1"/>
  <c r="BF342" i="1"/>
  <c r="BG342" i="1" s="1"/>
  <c r="BP342" i="1" s="1" a="1"/>
  <c r="BP342" i="1" s="1"/>
  <c r="BU342" i="1"/>
  <c r="BF313" i="1"/>
  <c r="BG313" i="1" s="1"/>
  <c r="BP313" i="1" s="1" a="1"/>
  <c r="BP313" i="1" s="1"/>
  <c r="CD313" i="1"/>
  <c r="BU313" i="1"/>
  <c r="BF319" i="1"/>
  <c r="BG319" i="1" s="1"/>
  <c r="BP319" i="1" s="1" a="1"/>
  <c r="BP319" i="1" s="1"/>
  <c r="BU319" i="1"/>
  <c r="CD319" i="1"/>
  <c r="CD335" i="1"/>
  <c r="BF335" i="1"/>
  <c r="BG335" i="1" s="1"/>
  <c r="BP335" i="1" s="1" a="1"/>
  <c r="BP335" i="1" s="1"/>
  <c r="BU335" i="1"/>
  <c r="CD318" i="1"/>
  <c r="BU318" i="1"/>
  <c r="BF318" i="1"/>
  <c r="BG318" i="1" s="1"/>
  <c r="BP318" i="1" s="1" a="1"/>
  <c r="BP318" i="1" s="1"/>
  <c r="BF322" i="1"/>
  <c r="BG322" i="1" s="1"/>
  <c r="BP322" i="1" s="1" a="1"/>
  <c r="BP322" i="1" s="1"/>
  <c r="CD322" i="1"/>
  <c r="BU322" i="1"/>
  <c r="CD343" i="1"/>
  <c r="BU343" i="1"/>
  <c r="BF343" i="1"/>
  <c r="BG343" i="1" s="1"/>
  <c r="BP343" i="1" s="1" a="1"/>
  <c r="BP343" i="1" s="1"/>
  <c r="CD336" i="1"/>
  <c r="BF336" i="1"/>
  <c r="BG336" i="1" s="1"/>
  <c r="BP336" i="1" s="1" a="1"/>
  <c r="BP336" i="1" s="1"/>
  <c r="BU336" i="1"/>
  <c r="J230" i="5" l="1"/>
  <c r="I230" i="5"/>
  <c r="V230" i="5"/>
  <c r="U230" i="5"/>
  <c r="V329" i="5"/>
  <c r="U329" i="5"/>
  <c r="AB230" i="1"/>
  <c r="BM274" i="3"/>
  <c r="U278" i="5"/>
  <c r="Z230" i="1"/>
  <c r="N230" i="5"/>
  <c r="AA230" i="1"/>
  <c r="Y230" i="1"/>
  <c r="AJ343" i="1"/>
  <c r="AK343" i="1"/>
  <c r="AL343" i="1"/>
  <c r="AM343" i="1"/>
  <c r="AL344" i="1"/>
  <c r="AK344" i="1"/>
  <c r="AM344" i="1"/>
  <c r="AJ344" i="1"/>
  <c r="BO272" i="3"/>
  <c r="M230" i="5"/>
  <c r="T278" i="5"/>
  <c r="BU273" i="3"/>
  <c r="T279" i="1"/>
  <c r="W279" i="1"/>
  <c r="U279" i="1"/>
  <c r="V279" i="1"/>
  <c r="BO274" i="3"/>
  <c r="BV274" i="3"/>
  <c r="BR274" i="3"/>
  <c r="AX274" i="3"/>
  <c r="BN274" i="3"/>
  <c r="T278" i="1"/>
  <c r="V278" i="1"/>
  <c r="W278" i="1"/>
  <c r="U278" i="1"/>
  <c r="BO273" i="3"/>
  <c r="BT273" i="3"/>
  <c r="BV273" i="3"/>
  <c r="BR273" i="3"/>
  <c r="AX273" i="3"/>
  <c r="BN273" i="3"/>
  <c r="E106" i="3"/>
  <c r="I3" i="17"/>
  <c r="I63" i="17"/>
  <c r="H63" i="17"/>
  <c r="I62" i="17"/>
  <c r="I35" i="17"/>
  <c r="I34" i="17"/>
  <c r="I33" i="17"/>
  <c r="I32" i="17"/>
  <c r="H62" i="17"/>
  <c r="I55" i="17"/>
  <c r="H55" i="17"/>
  <c r="I114" i="17"/>
  <c r="H114" i="17"/>
  <c r="I54" i="17"/>
  <c r="H54" i="17"/>
  <c r="I53" i="17"/>
  <c r="H53" i="17"/>
  <c r="I52" i="17"/>
  <c r="H52" i="17"/>
  <c r="I113" i="17"/>
  <c r="H113" i="17"/>
  <c r="I51" i="17"/>
  <c r="H51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2" i="17"/>
  <c r="H42" i="17"/>
  <c r="I41" i="17"/>
  <c r="H41" i="17"/>
  <c r="I40" i="17"/>
  <c r="H40" i="17"/>
  <c r="I39" i="17"/>
  <c r="H39" i="17"/>
  <c r="I36" i="17"/>
  <c r="H36" i="17"/>
  <c r="I38" i="17"/>
  <c r="H38" i="17"/>
  <c r="I37" i="17"/>
  <c r="H37" i="17"/>
  <c r="H35" i="17"/>
  <c r="H34" i="17"/>
  <c r="H33" i="17"/>
  <c r="H32" i="17"/>
  <c r="I28" i="17"/>
  <c r="H28" i="17"/>
  <c r="I27" i="17"/>
  <c r="H27" i="17"/>
  <c r="I14" i="17"/>
  <c r="H14" i="17"/>
  <c r="I13" i="17"/>
  <c r="H13" i="17"/>
  <c r="I102" i="17"/>
  <c r="H102" i="17"/>
  <c r="I19" i="17"/>
  <c r="H19" i="17"/>
  <c r="I18" i="17"/>
  <c r="H18" i="17"/>
  <c r="I29" i="17"/>
  <c r="H29" i="17"/>
  <c r="I24" i="17"/>
  <c r="H24" i="17"/>
  <c r="I23" i="17"/>
  <c r="H23" i="17"/>
  <c r="I22" i="17"/>
  <c r="H22" i="17"/>
  <c r="I21" i="17"/>
  <c r="H21" i="17"/>
  <c r="I17" i="17"/>
  <c r="H17" i="17"/>
  <c r="E226" i="3"/>
  <c r="BU226" i="3"/>
  <c r="BQ226" i="3"/>
  <c r="BM226" i="3"/>
  <c r="BI226" i="3"/>
  <c r="BD226" i="3"/>
  <c r="BC226" i="3"/>
  <c r="BA226" i="3"/>
  <c r="AZ226" i="3"/>
  <c r="AY226" i="3"/>
  <c r="AR226" i="3"/>
  <c r="AO226" i="3"/>
  <c r="AH226" i="3"/>
  <c r="BA228" i="1" s="1"/>
  <c r="J226" i="3"/>
  <c r="AV228" i="1" s="1"/>
  <c r="F226" i="3"/>
  <c r="AS228" i="1" s="1"/>
  <c r="BD224" i="3"/>
  <c r="BA224" i="3"/>
  <c r="AZ224" i="3"/>
  <c r="AY224" i="3"/>
  <c r="AR224" i="3"/>
  <c r="AO224" i="3"/>
  <c r="AH224" i="3"/>
  <c r="BA227" i="1" s="1"/>
  <c r="E224" i="3"/>
  <c r="AH256" i="3"/>
  <c r="BA226" i="1" s="1"/>
  <c r="E256" i="3"/>
  <c r="BF256" i="3" s="1"/>
  <c r="E219" i="3"/>
  <c r="BD218" i="3"/>
  <c r="BA218" i="3"/>
  <c r="AR218" i="3"/>
  <c r="Q225" i="1" s="1"/>
  <c r="R225" i="1" s="1"/>
  <c r="AO218" i="3"/>
  <c r="AH218" i="3"/>
  <c r="BA225" i="1" s="1"/>
  <c r="AY225" i="1"/>
  <c r="BD219" i="3"/>
  <c r="BA219" i="3"/>
  <c r="AR219" i="3"/>
  <c r="AO219" i="3"/>
  <c r="AH219" i="3"/>
  <c r="BA224" i="1" s="1"/>
  <c r="J219" i="3"/>
  <c r="AV224" i="1" s="1"/>
  <c r="F219" i="3"/>
  <c r="AS224" i="1" s="1"/>
  <c r="AH289" i="3"/>
  <c r="BA222" i="1" s="1"/>
  <c r="L289" i="3"/>
  <c r="I222" i="1" s="1"/>
  <c r="AT222" i="1"/>
  <c r="AU222" i="1" s="1"/>
  <c r="E289" i="3"/>
  <c r="AS289" i="3" s="1"/>
  <c r="BH289" i="3" s="1"/>
  <c r="J205" i="3"/>
  <c r="AV218" i="1" s="1"/>
  <c r="F205" i="3"/>
  <c r="AS218" i="1" s="1"/>
  <c r="AH231" i="3"/>
  <c r="J231" i="3"/>
  <c r="F231" i="3"/>
  <c r="E231" i="3"/>
  <c r="U231" i="3" s="1"/>
  <c r="AY231" i="3" s="1"/>
  <c r="I75" i="17"/>
  <c r="AH311" i="3"/>
  <c r="BA220" i="1" s="1"/>
  <c r="BA324" i="1"/>
  <c r="BU279" i="3"/>
  <c r="BQ279" i="3"/>
  <c r="BM279" i="3"/>
  <c r="BI279" i="3"/>
  <c r="BD279" i="3"/>
  <c r="BC279" i="3"/>
  <c r="BA279" i="3"/>
  <c r="AZ279" i="3"/>
  <c r="AY279" i="3"/>
  <c r="AR279" i="3"/>
  <c r="AO279" i="3"/>
  <c r="G279" i="3"/>
  <c r="AT324" i="1" s="1"/>
  <c r="AU324" i="1" s="1"/>
  <c r="E279" i="3"/>
  <c r="G278" i="3"/>
  <c r="AT223" i="1" s="1"/>
  <c r="AU223" i="1" s="1"/>
  <c r="E278" i="3"/>
  <c r="BF278" i="3" s="1"/>
  <c r="BU278" i="3"/>
  <c r="BQ278" i="3"/>
  <c r="BM278" i="3"/>
  <c r="BI278" i="3"/>
  <c r="BD278" i="3"/>
  <c r="BC278" i="3"/>
  <c r="AZ278" i="3"/>
  <c r="AR278" i="3"/>
  <c r="AY278" i="3"/>
  <c r="BD309" i="3"/>
  <c r="BA309" i="3"/>
  <c r="AR309" i="3"/>
  <c r="AO309" i="3"/>
  <c r="E309" i="3"/>
  <c r="BD310" i="3"/>
  <c r="BA310" i="3"/>
  <c r="AR310" i="3"/>
  <c r="Q300" i="1" s="1"/>
  <c r="R300" i="1" s="1"/>
  <c r="AO310" i="3"/>
  <c r="E310" i="3"/>
  <c r="AY269" i="3"/>
  <c r="AH205" i="3"/>
  <c r="BA218" i="1" s="1"/>
  <c r="AH206" i="3"/>
  <c r="BA219" i="1" s="1"/>
  <c r="AH196" i="3"/>
  <c r="BA212" i="1" s="1"/>
  <c r="AH195" i="3"/>
  <c r="BA211" i="1" s="1"/>
  <c r="AH194" i="3"/>
  <c r="BA210" i="1" s="1"/>
  <c r="AH190" i="3"/>
  <c r="AH181" i="3"/>
  <c r="BA181" i="1" s="1"/>
  <c r="AH178" i="3"/>
  <c r="BA178" i="1" s="1"/>
  <c r="AH177" i="3"/>
  <c r="BA177" i="1" s="1"/>
  <c r="AH176" i="3"/>
  <c r="BA176" i="1" s="1"/>
  <c r="AH175" i="3"/>
  <c r="BA175" i="1" s="1"/>
  <c r="AH174" i="3"/>
  <c r="BA174" i="1" s="1"/>
  <c r="AH166" i="3"/>
  <c r="AH165" i="3"/>
  <c r="AH164" i="3"/>
  <c r="AH163" i="3"/>
  <c r="AH159" i="3"/>
  <c r="AH158" i="3"/>
  <c r="AH157" i="3"/>
  <c r="AH156" i="3"/>
  <c r="AH155" i="3"/>
  <c r="AH154" i="3"/>
  <c r="AH153" i="3"/>
  <c r="AH152" i="3"/>
  <c r="AH151" i="3"/>
  <c r="AH150" i="3"/>
  <c r="AH149" i="3"/>
  <c r="AH148" i="3"/>
  <c r="AH147" i="3"/>
  <c r="AH146" i="3"/>
  <c r="AH145" i="3"/>
  <c r="AH144" i="3"/>
  <c r="AH143" i="3"/>
  <c r="AH142" i="3"/>
  <c r="AH141" i="3"/>
  <c r="AH140" i="3"/>
  <c r="AH139" i="3"/>
  <c r="AH137" i="3"/>
  <c r="AH136" i="3"/>
  <c r="AH135" i="3"/>
  <c r="AH134" i="3"/>
  <c r="AH133" i="3"/>
  <c r="AH130" i="3"/>
  <c r="AH129" i="3"/>
  <c r="AH127" i="3"/>
  <c r="AH126" i="3"/>
  <c r="AH125" i="3"/>
  <c r="AH124" i="3"/>
  <c r="AH122" i="3"/>
  <c r="AH120" i="3"/>
  <c r="AH119" i="3"/>
  <c r="AH112" i="3"/>
  <c r="AH111" i="3"/>
  <c r="AH109" i="3"/>
  <c r="AH108" i="3"/>
  <c r="AH107" i="3"/>
  <c r="AH106" i="3"/>
  <c r="AH104" i="3"/>
  <c r="AH103" i="3"/>
  <c r="AH102" i="3"/>
  <c r="AH100" i="3"/>
  <c r="AH99" i="3"/>
  <c r="AH97" i="3"/>
  <c r="AH96" i="3"/>
  <c r="AH93" i="3"/>
  <c r="AH92" i="3"/>
  <c r="AH90" i="3"/>
  <c r="AH89" i="3"/>
  <c r="AH88" i="3"/>
  <c r="AH86" i="3"/>
  <c r="AH80" i="3"/>
  <c r="AH79" i="3"/>
  <c r="AH76" i="3"/>
  <c r="AH73" i="3"/>
  <c r="AH72" i="3"/>
  <c r="AH71" i="3"/>
  <c r="AH70" i="3"/>
  <c r="AH69" i="3"/>
  <c r="AH68" i="3"/>
  <c r="AH66" i="3"/>
  <c r="AH65" i="3"/>
  <c r="AH64" i="3"/>
  <c r="AH63" i="3"/>
  <c r="AH62" i="3"/>
  <c r="AH59" i="3"/>
  <c r="AH58" i="3"/>
  <c r="AH57" i="3"/>
  <c r="AH50" i="3"/>
  <c r="AH49" i="3"/>
  <c r="AH46" i="3"/>
  <c r="AH38" i="3"/>
  <c r="AH37" i="3"/>
  <c r="AH36" i="3"/>
  <c r="AH29" i="3"/>
  <c r="AH24" i="3"/>
  <c r="AH22" i="3"/>
  <c r="AH16" i="3"/>
  <c r="AH15" i="3"/>
  <c r="AH7" i="3"/>
  <c r="AH5" i="3"/>
  <c r="AH2" i="3"/>
  <c r="W248" i="3"/>
  <c r="W313" i="3"/>
  <c r="BQ313" i="3" s="1"/>
  <c r="W302" i="3"/>
  <c r="W326" i="3"/>
  <c r="BQ326" i="3" s="1"/>
  <c r="AZ319" i="3"/>
  <c r="W264" i="3"/>
  <c r="AZ264" i="3" s="1"/>
  <c r="AZ325" i="3"/>
  <c r="W259" i="3"/>
  <c r="BQ201" i="3"/>
  <c r="AZ200" i="3"/>
  <c r="BQ197" i="3"/>
  <c r="AY248" i="3"/>
  <c r="AY313" i="3"/>
  <c r="AY302" i="3"/>
  <c r="AY326" i="3"/>
  <c r="AY319" i="3"/>
  <c r="AY264" i="3"/>
  <c r="AY257" i="3"/>
  <c r="AY201" i="3"/>
  <c r="AY200" i="3"/>
  <c r="AY197" i="3"/>
  <c r="E311" i="3"/>
  <c r="BP206" i="3" a="1"/>
  <c r="BP206" i="3" s="1"/>
  <c r="BT206" i="3" s="1"/>
  <c r="E205" i="3"/>
  <c r="AO194" i="3"/>
  <c r="AR194" i="3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202" i="3"/>
  <c r="AR202" i="3"/>
  <c r="AY202" i="3"/>
  <c r="BA202" i="3"/>
  <c r="BD202" i="3"/>
  <c r="AO203" i="3"/>
  <c r="AR203" i="3"/>
  <c r="Q214" i="1" s="1"/>
  <c r="R214" i="1" s="1"/>
  <c r="AY203" i="3"/>
  <c r="BA203" i="3"/>
  <c r="BD203" i="3"/>
  <c r="AO204" i="3"/>
  <c r="AR204" i="3"/>
  <c r="AY204" i="3"/>
  <c r="BA204" i="3"/>
  <c r="BD204" i="3"/>
  <c r="AO269" i="3"/>
  <c r="AR269" i="3"/>
  <c r="BA269" i="3"/>
  <c r="BD269" i="3"/>
  <c r="AO270" i="3"/>
  <c r="AR270" i="3"/>
  <c r="AY270" i="3"/>
  <c r="BA270" i="3"/>
  <c r="BD270" i="3"/>
  <c r="AO205" i="3"/>
  <c r="AR205" i="3"/>
  <c r="BA205" i="3"/>
  <c r="BD205" i="3"/>
  <c r="AO206" i="3"/>
  <c r="AR206" i="3"/>
  <c r="BA206" i="3"/>
  <c r="BD206" i="3"/>
  <c r="AO311" i="3"/>
  <c r="AR311" i="3"/>
  <c r="BA311" i="3"/>
  <c r="BD311" i="3"/>
  <c r="AO231" i="3"/>
  <c r="AR231" i="3"/>
  <c r="BA231" i="3"/>
  <c r="BD231" i="3"/>
  <c r="AO289" i="3"/>
  <c r="AR289" i="3"/>
  <c r="BA289" i="3"/>
  <c r="BD289" i="3"/>
  <c r="AO256" i="3"/>
  <c r="AR256" i="3"/>
  <c r="BA256" i="3"/>
  <c r="BD256" i="3"/>
  <c r="AO308" i="3"/>
  <c r="AP308" i="3"/>
  <c r="AR308" i="3"/>
  <c r="AS308" i="3"/>
  <c r="BH308" i="3" s="1"/>
  <c r="AY308" i="3"/>
  <c r="BA308" i="3"/>
  <c r="BD308" i="3"/>
  <c r="BF308" i="3"/>
  <c r="BP308" i="3" a="1"/>
  <c r="BP308" i="3" s="1"/>
  <c r="Q231" i="1"/>
  <c r="R231" i="1" s="1"/>
  <c r="Q232" i="1"/>
  <c r="R232" i="1" s="1"/>
  <c r="Q233" i="1"/>
  <c r="R233" i="1" s="1"/>
  <c r="Q236" i="1"/>
  <c r="R236" i="1" s="1"/>
  <c r="AO248" i="3"/>
  <c r="AP248" i="3"/>
  <c r="AR248" i="3"/>
  <c r="AS248" i="3"/>
  <c r="BA248" i="3"/>
  <c r="BD248" i="3"/>
  <c r="BF248" i="3"/>
  <c r="BP248" i="3" a="1"/>
  <c r="BP248" i="3" s="1"/>
  <c r="Q239" i="1"/>
  <c r="R239" i="1" s="1"/>
  <c r="Q240" i="1"/>
  <c r="R240" i="1" s="1"/>
  <c r="Q241" i="1"/>
  <c r="R241" i="1" s="1"/>
  <c r="Q242" i="1"/>
  <c r="R242" i="1" s="1"/>
  <c r="Q243" i="1"/>
  <c r="R243" i="1" s="1"/>
  <c r="Q245" i="1"/>
  <c r="R245" i="1" s="1"/>
  <c r="Q248" i="1"/>
  <c r="R248" i="1" s="1"/>
  <c r="Q249" i="1"/>
  <c r="R249" i="1" s="1"/>
  <c r="AO313" i="3"/>
  <c r="AR313" i="3"/>
  <c r="AS313" i="3"/>
  <c r="BA313" i="3"/>
  <c r="BD313" i="3"/>
  <c r="BF313" i="3"/>
  <c r="BP313" i="3" a="1"/>
  <c r="BP313" i="3" s="1"/>
  <c r="AO302" i="3"/>
  <c r="AP302" i="3"/>
  <c r="AR302" i="3"/>
  <c r="AS302" i="3"/>
  <c r="BA302" i="3"/>
  <c r="BD302" i="3"/>
  <c r="BF302" i="3"/>
  <c r="BP302" i="3" a="1"/>
  <c r="BP302" i="3" s="1"/>
  <c r="AO326" i="3"/>
  <c r="AP326" i="3"/>
  <c r="AR326" i="3"/>
  <c r="BG326" i="3" s="1"/>
  <c r="AS326" i="3"/>
  <c r="BA326" i="3"/>
  <c r="BD326" i="3"/>
  <c r="BF326" i="3"/>
  <c r="BP326" i="3" a="1"/>
  <c r="BP326" i="3" s="1"/>
  <c r="Q254" i="1"/>
  <c r="R254" i="1" s="1"/>
  <c r="Q255" i="1"/>
  <c r="R255" i="1" s="1"/>
  <c r="Q256" i="1"/>
  <c r="R256" i="1" s="1"/>
  <c r="Q257" i="1"/>
  <c r="R257" i="1" s="1"/>
  <c r="Q258" i="1"/>
  <c r="R258" i="1" s="1"/>
  <c r="AO319" i="3"/>
  <c r="AP319" i="3"/>
  <c r="AR319" i="3"/>
  <c r="AS319" i="3"/>
  <c r="BA319" i="3"/>
  <c r="BD319" i="3"/>
  <c r="BF319" i="3"/>
  <c r="BP319" i="3" a="1"/>
  <c r="BP319" i="3" s="1"/>
  <c r="Q260" i="1"/>
  <c r="R260" i="1" s="1"/>
  <c r="Q262" i="1"/>
  <c r="R262" i="1" s="1"/>
  <c r="AO264" i="3"/>
  <c r="AP264" i="3"/>
  <c r="AR264" i="3"/>
  <c r="AS264" i="3"/>
  <c r="BA264" i="3"/>
  <c r="BD264" i="3"/>
  <c r="BF264" i="3"/>
  <c r="BP264" i="3" a="1"/>
  <c r="BP264" i="3" s="1"/>
  <c r="Q267" i="1"/>
  <c r="R267" i="1" s="1"/>
  <c r="Q268" i="1"/>
  <c r="R268" i="1" s="1"/>
  <c r="Q269" i="1"/>
  <c r="R269" i="1" s="1"/>
  <c r="Q270" i="1"/>
  <c r="R270" i="1" s="1"/>
  <c r="Q271" i="1"/>
  <c r="R271" i="1" s="1"/>
  <c r="AO325" i="3"/>
  <c r="AP325" i="3"/>
  <c r="AR325" i="3"/>
  <c r="AS325" i="3"/>
  <c r="AY325" i="3"/>
  <c r="BA325" i="3"/>
  <c r="BD325" i="3"/>
  <c r="BF325" i="3"/>
  <c r="BP325" i="3" a="1"/>
  <c r="BP325" i="3" s="1"/>
  <c r="Q274" i="1"/>
  <c r="R274" i="1" s="1"/>
  <c r="Q275" i="1"/>
  <c r="R275" i="1" s="1"/>
  <c r="Q276" i="1"/>
  <c r="R276" i="1" s="1"/>
  <c r="AO257" i="3"/>
  <c r="AP257" i="3"/>
  <c r="AR257" i="3"/>
  <c r="AS257" i="3"/>
  <c r="AZ257" i="3"/>
  <c r="BA257" i="3"/>
  <c r="BD257" i="3"/>
  <c r="BF257" i="3"/>
  <c r="BP257" i="3" a="1"/>
  <c r="BP257" i="3" s="1"/>
  <c r="BQ257" i="3"/>
  <c r="Q279" i="1"/>
  <c r="R279" i="1" s="1"/>
  <c r="Q280" i="1"/>
  <c r="R280" i="1" s="1"/>
  <c r="Q281" i="1"/>
  <c r="R281" i="1" s="1"/>
  <c r="Q282" i="1"/>
  <c r="R282" i="1" s="1"/>
  <c r="Q283" i="1"/>
  <c r="R283" i="1" s="1"/>
  <c r="Q288" i="1"/>
  <c r="R288" i="1" s="1"/>
  <c r="Q290" i="1"/>
  <c r="R290" i="1" s="1"/>
  <c r="Q291" i="1"/>
  <c r="R291" i="1" s="1"/>
  <c r="Q292" i="1"/>
  <c r="R292" i="1" s="1"/>
  <c r="AO259" i="3"/>
  <c r="AP259" i="3"/>
  <c r="AR259" i="3"/>
  <c r="AS259" i="3"/>
  <c r="AY259" i="3"/>
  <c r="BA259" i="3"/>
  <c r="BD259" i="3"/>
  <c r="BF259" i="3"/>
  <c r="BP259" i="3" a="1"/>
  <c r="BP259" i="3" s="1"/>
  <c r="Q294" i="1"/>
  <c r="R294" i="1" s="1"/>
  <c r="AO322" i="3"/>
  <c r="AP322" i="3"/>
  <c r="AQ322" i="3" s="1"/>
  <c r="AR322" i="3"/>
  <c r="AS322" i="3"/>
  <c r="AY322" i="3"/>
  <c r="AZ322" i="3"/>
  <c r="BA322" i="3"/>
  <c r="BD322" i="3"/>
  <c r="BF322" i="3"/>
  <c r="BP322" i="3" a="1"/>
  <c r="BP322" i="3" s="1"/>
  <c r="BQ322" i="3"/>
  <c r="Q296" i="1"/>
  <c r="R296" i="1" s="1"/>
  <c r="Q297" i="1"/>
  <c r="R297" i="1" s="1"/>
  <c r="Q298" i="1"/>
  <c r="R298" i="1" s="1"/>
  <c r="Q299" i="1"/>
  <c r="R299" i="1" s="1"/>
  <c r="Q303" i="1"/>
  <c r="R303" i="1" s="1"/>
  <c r="Q304" i="1"/>
  <c r="R304" i="1" s="1"/>
  <c r="Q305" i="1"/>
  <c r="R305" i="1" s="1"/>
  <c r="Q306" i="1"/>
  <c r="R306" i="1" s="1"/>
  <c r="AO201" i="3"/>
  <c r="AP201" i="3"/>
  <c r="AR201" i="3"/>
  <c r="AS201" i="3"/>
  <c r="BA201" i="3"/>
  <c r="BD201" i="3"/>
  <c r="BF201" i="3"/>
  <c r="BP201" i="3" a="1"/>
  <c r="BP201" i="3" s="1"/>
  <c r="Q308" i="1"/>
  <c r="R308" i="1" s="1"/>
  <c r="Q310" i="1"/>
  <c r="R310" i="1" s="1"/>
  <c r="Q311" i="1"/>
  <c r="R311" i="1" s="1"/>
  <c r="Q312" i="1"/>
  <c r="R312" i="1" s="1"/>
  <c r="Q313" i="1"/>
  <c r="R313" i="1" s="1"/>
  <c r="Q315" i="1"/>
  <c r="R315" i="1" s="1"/>
  <c r="Q316" i="1"/>
  <c r="R316" i="1" s="1"/>
  <c r="Q317" i="1"/>
  <c r="R317" i="1" s="1"/>
  <c r="Q318" i="1"/>
  <c r="R318" i="1" s="1"/>
  <c r="Q319" i="1"/>
  <c r="R319" i="1" s="1"/>
  <c r="AO200" i="3"/>
  <c r="AP200" i="3"/>
  <c r="AR200" i="3"/>
  <c r="AS200" i="3"/>
  <c r="BA200" i="3"/>
  <c r="BD200" i="3"/>
  <c r="BF200" i="3"/>
  <c r="BG200" i="3"/>
  <c r="BP200" i="3" a="1"/>
  <c r="BP200" i="3" s="1"/>
  <c r="Q321" i="1"/>
  <c r="R321" i="1" s="1"/>
  <c r="Q323" i="1"/>
  <c r="R323" i="1" s="1"/>
  <c r="Q327" i="1"/>
  <c r="R327" i="1" s="1"/>
  <c r="Q328" i="1"/>
  <c r="R328" i="1" s="1"/>
  <c r="Q331" i="1"/>
  <c r="R331" i="1" s="1"/>
  <c r="Q332" i="1"/>
  <c r="R332" i="1" s="1"/>
  <c r="Q333" i="1"/>
  <c r="R333" i="1" s="1"/>
  <c r="AO197" i="3"/>
  <c r="AP197" i="3"/>
  <c r="AR197" i="3"/>
  <c r="AS197" i="3"/>
  <c r="BA197" i="3"/>
  <c r="BD197" i="3"/>
  <c r="BF197" i="3"/>
  <c r="BP197" i="3" a="1"/>
  <c r="BP197" i="3" s="1"/>
  <c r="Q338" i="1"/>
  <c r="R338" i="1" s="1"/>
  <c r="Q341" i="1"/>
  <c r="R341" i="1" s="1"/>
  <c r="Q343" i="1"/>
  <c r="R343" i="1" s="1"/>
  <c r="Q344" i="1"/>
  <c r="R344" i="1" s="1"/>
  <c r="Q345" i="1"/>
  <c r="R345" i="1" s="1"/>
  <c r="E107" i="3"/>
  <c r="I73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A231" i="5"/>
  <c r="B231" i="5"/>
  <c r="A232" i="5"/>
  <c r="B232" i="5"/>
  <c r="S232" i="5" s="1"/>
  <c r="V232" i="5" s="1"/>
  <c r="A233" i="5"/>
  <c r="B233" i="5"/>
  <c r="S233" i="5" s="1"/>
  <c r="V233" i="5" s="1"/>
  <c r="A234" i="5"/>
  <c r="B234" i="5"/>
  <c r="A235" i="5"/>
  <c r="B235" i="5"/>
  <c r="A236" i="5"/>
  <c r="B236" i="5"/>
  <c r="S236" i="5" s="1"/>
  <c r="T236" i="5" s="1"/>
  <c r="A237" i="5"/>
  <c r="B237" i="5"/>
  <c r="G237" i="5" s="1"/>
  <c r="A238" i="5"/>
  <c r="B238" i="5"/>
  <c r="A239" i="5"/>
  <c r="B239" i="5"/>
  <c r="S239" i="5" s="1"/>
  <c r="U239" i="5" s="1"/>
  <c r="A240" i="5"/>
  <c r="B240" i="5"/>
  <c r="S240" i="5" s="1"/>
  <c r="U240" i="5" s="1"/>
  <c r="A241" i="5"/>
  <c r="B241" i="5"/>
  <c r="S241" i="5" s="1"/>
  <c r="V241" i="5" s="1"/>
  <c r="A242" i="5"/>
  <c r="B242" i="5"/>
  <c r="A243" i="5"/>
  <c r="B243" i="5"/>
  <c r="G243" i="5" s="1"/>
  <c r="I243" i="5" s="1"/>
  <c r="A244" i="5"/>
  <c r="B244" i="5"/>
  <c r="A245" i="5"/>
  <c r="B245" i="5"/>
  <c r="A246" i="5"/>
  <c r="B246" i="5"/>
  <c r="A247" i="5"/>
  <c r="B247" i="5"/>
  <c r="S247" i="5" s="1"/>
  <c r="T247" i="5" s="1"/>
  <c r="A248" i="5"/>
  <c r="B248" i="5"/>
  <c r="S248" i="5" s="1"/>
  <c r="V248" i="5" s="1"/>
  <c r="A249" i="5"/>
  <c r="B249" i="5"/>
  <c r="S249" i="5" s="1"/>
  <c r="A250" i="5"/>
  <c r="B250" i="5"/>
  <c r="G250" i="5" s="1"/>
  <c r="A251" i="5"/>
  <c r="B251" i="5"/>
  <c r="A252" i="5"/>
  <c r="B252" i="5"/>
  <c r="A253" i="5"/>
  <c r="B253" i="5"/>
  <c r="A254" i="5"/>
  <c r="B254" i="5"/>
  <c r="G254" i="5" s="1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S268" i="5" s="1"/>
  <c r="A269" i="5"/>
  <c r="B269" i="5"/>
  <c r="A270" i="5"/>
  <c r="B270" i="5"/>
  <c r="A271" i="5"/>
  <c r="B271" i="5"/>
  <c r="A272" i="5"/>
  <c r="B272" i="5"/>
  <c r="A273" i="5"/>
  <c r="B273" i="5"/>
  <c r="A274" i="5"/>
  <c r="B274" i="5"/>
  <c r="S274" i="5" s="1"/>
  <c r="U274" i="5" s="1"/>
  <c r="A275" i="5"/>
  <c r="B275" i="5"/>
  <c r="A276" i="5"/>
  <c r="B276" i="5"/>
  <c r="S276" i="5" s="1"/>
  <c r="T276" i="5" s="1"/>
  <c r="A277" i="5"/>
  <c r="B277" i="5"/>
  <c r="A278" i="5"/>
  <c r="B278" i="5"/>
  <c r="E278" i="5" s="1"/>
  <c r="A279" i="5"/>
  <c r="B279" i="5"/>
  <c r="G279" i="5" s="1"/>
  <c r="A280" i="5"/>
  <c r="B280" i="5"/>
  <c r="S280" i="5" s="1"/>
  <c r="A281" i="5"/>
  <c r="B281" i="5"/>
  <c r="G281" i="5" s="1"/>
  <c r="A282" i="5"/>
  <c r="B282" i="5"/>
  <c r="A283" i="5"/>
  <c r="B283" i="5"/>
  <c r="A284" i="5"/>
  <c r="B284" i="5"/>
  <c r="S284" i="5" s="1"/>
  <c r="A285" i="5"/>
  <c r="B285" i="5"/>
  <c r="G285" i="5" s="1"/>
  <c r="A286" i="5"/>
  <c r="B286" i="5"/>
  <c r="S286" i="5" s="1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S294" i="5" s="1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S301" i="5" s="1"/>
  <c r="A302" i="5"/>
  <c r="B302" i="5"/>
  <c r="A303" i="5"/>
  <c r="B303" i="5"/>
  <c r="G303" i="5" s="1"/>
  <c r="A304" i="5"/>
  <c r="B304" i="5"/>
  <c r="G304" i="5" s="1"/>
  <c r="A305" i="5"/>
  <c r="B305" i="5"/>
  <c r="G305" i="5" s="1"/>
  <c r="A306" i="5"/>
  <c r="B306" i="5"/>
  <c r="A307" i="5"/>
  <c r="B307" i="5"/>
  <c r="A308" i="5"/>
  <c r="B308" i="5"/>
  <c r="A309" i="5"/>
  <c r="B309" i="5"/>
  <c r="A310" i="5"/>
  <c r="B310" i="5"/>
  <c r="S310" i="5" s="1"/>
  <c r="U310" i="5" s="1"/>
  <c r="A311" i="5"/>
  <c r="B311" i="5"/>
  <c r="A312" i="5"/>
  <c r="B312" i="5"/>
  <c r="S312" i="5" s="1"/>
  <c r="V312" i="5" s="1"/>
  <c r="A313" i="5"/>
  <c r="B313" i="5"/>
  <c r="A314" i="5"/>
  <c r="B314" i="5"/>
  <c r="G314" i="5" s="1"/>
  <c r="A315" i="5"/>
  <c r="B315" i="5"/>
  <c r="S315" i="5" s="1"/>
  <c r="A316" i="5"/>
  <c r="B316" i="5"/>
  <c r="S316" i="5" s="1"/>
  <c r="U316" i="5" s="1"/>
  <c r="A317" i="5"/>
  <c r="B317" i="5"/>
  <c r="S317" i="5" s="1"/>
  <c r="A318" i="5"/>
  <c r="B318" i="5"/>
  <c r="S318" i="5" s="1"/>
  <c r="A319" i="5"/>
  <c r="B319" i="5"/>
  <c r="S319" i="5" s="1"/>
  <c r="A320" i="5"/>
  <c r="B320" i="5"/>
  <c r="A321" i="5"/>
  <c r="B321" i="5"/>
  <c r="S321" i="5" s="1"/>
  <c r="A322" i="5"/>
  <c r="B322" i="5"/>
  <c r="S322" i="5" s="1"/>
  <c r="A323" i="5"/>
  <c r="B323" i="5"/>
  <c r="G323" i="5" s="1"/>
  <c r="A324" i="5"/>
  <c r="B324" i="5"/>
  <c r="A325" i="5"/>
  <c r="B325" i="5"/>
  <c r="S325" i="5" s="1"/>
  <c r="A326" i="5"/>
  <c r="B326" i="5"/>
  <c r="S326" i="5" s="1"/>
  <c r="A327" i="5"/>
  <c r="B327" i="5"/>
  <c r="G327" i="5" s="1"/>
  <c r="A328" i="5"/>
  <c r="B328" i="5"/>
  <c r="G328" i="5" s="1"/>
  <c r="A329" i="5"/>
  <c r="B329" i="5"/>
  <c r="A330" i="5"/>
  <c r="B330" i="5"/>
  <c r="A331" i="5"/>
  <c r="B331" i="5"/>
  <c r="A332" i="5"/>
  <c r="B332" i="5"/>
  <c r="G332" i="5" s="1"/>
  <c r="A333" i="5"/>
  <c r="B333" i="5"/>
  <c r="S333" i="5" s="1"/>
  <c r="A334" i="5"/>
  <c r="B334" i="5"/>
  <c r="S334" i="5" s="1"/>
  <c r="A335" i="5"/>
  <c r="B335" i="5"/>
  <c r="S335" i="5" s="1"/>
  <c r="A336" i="5"/>
  <c r="B336" i="5"/>
  <c r="A337" i="5"/>
  <c r="B337" i="5"/>
  <c r="A338" i="5"/>
  <c r="B338" i="5"/>
  <c r="A339" i="5"/>
  <c r="B339" i="5"/>
  <c r="S339" i="5" s="1"/>
  <c r="A340" i="5"/>
  <c r="B340" i="5"/>
  <c r="G340" i="5" s="1"/>
  <c r="H340" i="5" s="1"/>
  <c r="A341" i="5"/>
  <c r="B341" i="5"/>
  <c r="G341" i="5" s="1"/>
  <c r="A342" i="5"/>
  <c r="B342" i="5"/>
  <c r="A343" i="5"/>
  <c r="B343" i="5"/>
  <c r="S343" i="5" s="1"/>
  <c r="A344" i="5"/>
  <c r="B344" i="5"/>
  <c r="S344" i="5" s="1"/>
  <c r="A345" i="5"/>
  <c r="B345" i="5"/>
  <c r="G345" i="5" s="1"/>
  <c r="E270" i="3"/>
  <c r="E269" i="3"/>
  <c r="E204" i="3"/>
  <c r="E203" i="3"/>
  <c r="E202" i="3"/>
  <c r="I77" i="17"/>
  <c r="I76" i="17"/>
  <c r="E185" i="3"/>
  <c r="E187" i="3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AT193" i="3" s="1"/>
  <c r="E192" i="3"/>
  <c r="AT192" i="3" s="1"/>
  <c r="E191" i="3"/>
  <c r="E190" i="3"/>
  <c r="E189" i="3"/>
  <c r="E188" i="3"/>
  <c r="E186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0" i="3"/>
  <c r="E169" i="3"/>
  <c r="AT169" i="3" s="1"/>
  <c r="E167" i="3"/>
  <c r="E166" i="3"/>
  <c r="E165" i="3"/>
  <c r="E164" i="3"/>
  <c r="E163" i="3"/>
  <c r="E162" i="3"/>
  <c r="E161" i="3"/>
  <c r="E160" i="3"/>
  <c r="E139" i="3"/>
  <c r="E138" i="3"/>
  <c r="E137" i="3"/>
  <c r="AT137" i="3" s="1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AT116" i="3" s="1"/>
  <c r="E115" i="3"/>
  <c r="E114" i="3"/>
  <c r="E113" i="3"/>
  <c r="E112" i="3"/>
  <c r="AT112" i="3" s="1"/>
  <c r="E111" i="3"/>
  <c r="E110" i="3"/>
  <c r="AT110" i="3" s="1"/>
  <c r="E109" i="3"/>
  <c r="E108" i="3"/>
  <c r="E104" i="3"/>
  <c r="E103" i="3"/>
  <c r="E102" i="3"/>
  <c r="AT102" i="3" s="1"/>
  <c r="E101" i="3"/>
  <c r="AT101" i="3" s="1"/>
  <c r="E100" i="3"/>
  <c r="E99" i="3"/>
  <c r="E98" i="3"/>
  <c r="E97" i="3"/>
  <c r="AT97" i="3" s="1"/>
  <c r="E96" i="3"/>
  <c r="AT96" i="3" s="1"/>
  <c r="E95" i="3"/>
  <c r="E94" i="3"/>
  <c r="E93" i="3"/>
  <c r="E92" i="3"/>
  <c r="E91" i="3"/>
  <c r="E90" i="3"/>
  <c r="E89" i="3"/>
  <c r="E88" i="3"/>
  <c r="AT88" i="3" s="1"/>
  <c r="E87" i="3"/>
  <c r="E86" i="3"/>
  <c r="E85" i="3"/>
  <c r="E84" i="3"/>
  <c r="E83" i="3"/>
  <c r="E82" i="3"/>
  <c r="E81" i="3"/>
  <c r="E80" i="3"/>
  <c r="AT80" i="3" s="1"/>
  <c r="E79" i="3"/>
  <c r="AT79" i="3" s="1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AT54" i="3" s="1"/>
  <c r="E53" i="3"/>
  <c r="AT53" i="3" s="1"/>
  <c r="E52" i="3"/>
  <c r="AT52" i="3" s="1"/>
  <c r="E51" i="3"/>
  <c r="AT51" i="3" s="1"/>
  <c r="E50" i="3"/>
  <c r="AT50" i="3" s="1"/>
  <c r="E49" i="3"/>
  <c r="AT49" i="3" s="1"/>
  <c r="E48" i="3"/>
  <c r="E47" i="3"/>
  <c r="E46" i="3"/>
  <c r="AT46" i="3" s="1"/>
  <c r="E45" i="3"/>
  <c r="AT45" i="3" s="1"/>
  <c r="E44" i="3"/>
  <c r="AT44" i="3" s="1"/>
  <c r="E43" i="3"/>
  <c r="AT43" i="3" s="1"/>
  <c r="E42" i="3"/>
  <c r="AT42" i="3" s="1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AT27" i="3" s="1"/>
  <c r="E26" i="3"/>
  <c r="AT26" i="3" s="1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151" i="3"/>
  <c r="E152" i="3"/>
  <c r="E153" i="3"/>
  <c r="E154" i="3"/>
  <c r="E155" i="3"/>
  <c r="E156" i="3"/>
  <c r="E157" i="3"/>
  <c r="E158" i="3"/>
  <c r="E159" i="3"/>
  <c r="E150" i="3"/>
  <c r="E141" i="3"/>
  <c r="E142" i="3"/>
  <c r="E143" i="3"/>
  <c r="E144" i="3"/>
  <c r="E145" i="3"/>
  <c r="E146" i="3"/>
  <c r="E147" i="3"/>
  <c r="E148" i="3"/>
  <c r="E149" i="3"/>
  <c r="E140" i="3"/>
  <c r="I40" i="9"/>
  <c r="H40" i="9" s="1"/>
  <c r="D40" i="9" s="1"/>
  <c r="G40" i="9"/>
  <c r="C40" i="9" s="1"/>
  <c r="E40" i="9"/>
  <c r="I39" i="9"/>
  <c r="E39" i="9" s="1"/>
  <c r="C39" i="9"/>
  <c r="K102" i="17"/>
  <c r="L192" i="3"/>
  <c r="F192" i="3"/>
  <c r="BD193" i="3"/>
  <c r="BA193" i="3"/>
  <c r="AZ193" i="3"/>
  <c r="AY193" i="3"/>
  <c r="AR193" i="3"/>
  <c r="AO193" i="3"/>
  <c r="L193" i="3"/>
  <c r="F193" i="3"/>
  <c r="BD192" i="3"/>
  <c r="BA192" i="3"/>
  <c r="AZ192" i="3"/>
  <c r="AY192" i="3"/>
  <c r="AR192" i="3"/>
  <c r="AO192" i="3"/>
  <c r="G192" i="3"/>
  <c r="BD190" i="3"/>
  <c r="BA190" i="3"/>
  <c r="AZ190" i="3"/>
  <c r="AY190" i="3"/>
  <c r="AR190" i="3"/>
  <c r="AO190" i="3"/>
  <c r="J190" i="3"/>
  <c r="F190" i="3"/>
  <c r="BD191" i="3"/>
  <c r="BA191" i="3"/>
  <c r="AY191" i="3"/>
  <c r="AR191" i="3"/>
  <c r="AO191" i="3"/>
  <c r="W191" i="3"/>
  <c r="V191" i="3"/>
  <c r="L191" i="3"/>
  <c r="G191" i="3"/>
  <c r="BU188" i="3"/>
  <c r="BQ188" i="3"/>
  <c r="BM188" i="3"/>
  <c r="BI188" i="3"/>
  <c r="BD188" i="3"/>
  <c r="BC188" i="3"/>
  <c r="BA188" i="3"/>
  <c r="AZ188" i="3"/>
  <c r="AY188" i="3"/>
  <c r="AR188" i="3"/>
  <c r="AO188" i="3"/>
  <c r="L188" i="3"/>
  <c r="J188" i="3"/>
  <c r="G188" i="3"/>
  <c r="F188" i="3"/>
  <c r="BU189" i="3"/>
  <c r="BQ189" i="3"/>
  <c r="BM189" i="3"/>
  <c r="BI189" i="3"/>
  <c r="BD189" i="3"/>
  <c r="BC189" i="3"/>
  <c r="BA189" i="3"/>
  <c r="AZ189" i="3"/>
  <c r="AR189" i="3"/>
  <c r="AO189" i="3"/>
  <c r="U189" i="3"/>
  <c r="AY189" i="3" s="1"/>
  <c r="G189" i="3"/>
  <c r="BU187" i="3"/>
  <c r="BQ187" i="3"/>
  <c r="BM187" i="3"/>
  <c r="BI187" i="3"/>
  <c r="BD187" i="3"/>
  <c r="BC187" i="3"/>
  <c r="AZ187" i="3"/>
  <c r="AR187" i="3"/>
  <c r="AY187" i="3"/>
  <c r="G186" i="3"/>
  <c r="BU186" i="3"/>
  <c r="BQ186" i="3"/>
  <c r="BM186" i="3"/>
  <c r="BI186" i="3"/>
  <c r="BD186" i="3"/>
  <c r="BC186" i="3"/>
  <c r="BA186" i="3"/>
  <c r="AZ186" i="3"/>
  <c r="AY186" i="3"/>
  <c r="AR186" i="3"/>
  <c r="AO186" i="3"/>
  <c r="L186" i="3"/>
  <c r="BU185" i="3"/>
  <c r="BQ185" i="3"/>
  <c r="BM185" i="3"/>
  <c r="BI185" i="3"/>
  <c r="BD185" i="3"/>
  <c r="BC185" i="3"/>
  <c r="AZ185" i="3"/>
  <c r="AY185" i="3"/>
  <c r="AR185" i="3"/>
  <c r="J185" i="3"/>
  <c r="F185" i="3"/>
  <c r="AO184" i="3"/>
  <c r="AR184" i="3"/>
  <c r="AY184" i="3"/>
  <c r="AZ184" i="3"/>
  <c r="BA184" i="3"/>
  <c r="BC184" i="3"/>
  <c r="BD184" i="3"/>
  <c r="BI184" i="3"/>
  <c r="BM184" i="3"/>
  <c r="BQ184" i="3"/>
  <c r="BU184" i="3"/>
  <c r="I70" i="17"/>
  <c r="BU183" i="3"/>
  <c r="BQ183" i="3"/>
  <c r="BM183" i="3"/>
  <c r="BI183" i="3"/>
  <c r="BD183" i="3"/>
  <c r="BC183" i="3"/>
  <c r="BA183" i="3"/>
  <c r="AZ183" i="3"/>
  <c r="AY183" i="3"/>
  <c r="AR183" i="3"/>
  <c r="AO183" i="3"/>
  <c r="V183" i="3"/>
  <c r="J183" i="3"/>
  <c r="F183" i="3"/>
  <c r="BU182" i="3"/>
  <c r="BQ182" i="3"/>
  <c r="BM182" i="3"/>
  <c r="BI182" i="3"/>
  <c r="BD182" i="3"/>
  <c r="BC182" i="3"/>
  <c r="BA182" i="3"/>
  <c r="AZ182" i="3"/>
  <c r="AY182" i="3"/>
  <c r="AR182" i="3"/>
  <c r="AO182" i="3"/>
  <c r="L182" i="3"/>
  <c r="I182" i="1" s="1"/>
  <c r="G182" i="3"/>
  <c r="AT182" i="1" s="1"/>
  <c r="AU182" i="1" s="1"/>
  <c r="G181" i="3"/>
  <c r="AT181" i="1" s="1"/>
  <c r="AU181" i="1" s="1"/>
  <c r="BU181" i="3"/>
  <c r="BQ181" i="3"/>
  <c r="BM181" i="3"/>
  <c r="BI181" i="3"/>
  <c r="BD181" i="3"/>
  <c r="BC181" i="3"/>
  <c r="BA181" i="3"/>
  <c r="AZ181" i="3"/>
  <c r="AY181" i="3"/>
  <c r="AR181" i="3"/>
  <c r="AO181" i="3"/>
  <c r="BU180" i="3"/>
  <c r="BQ180" i="3"/>
  <c r="BM180" i="3"/>
  <c r="BI180" i="3"/>
  <c r="BD180" i="3"/>
  <c r="BC180" i="3"/>
  <c r="BA180" i="3"/>
  <c r="AZ180" i="3"/>
  <c r="AY180" i="3"/>
  <c r="AR180" i="3"/>
  <c r="AO180" i="3"/>
  <c r="L180" i="3"/>
  <c r="I180" i="1" s="1"/>
  <c r="G179" i="3"/>
  <c r="AT179" i="1" s="1"/>
  <c r="AU179" i="1" s="1"/>
  <c r="BU179" i="3"/>
  <c r="BQ179" i="3"/>
  <c r="BM179" i="3"/>
  <c r="BI179" i="3"/>
  <c r="BD179" i="3"/>
  <c r="BC179" i="3"/>
  <c r="BA179" i="3"/>
  <c r="AZ179" i="3"/>
  <c r="AY179" i="3"/>
  <c r="AR179" i="3"/>
  <c r="AO179" i="3"/>
  <c r="L179" i="3"/>
  <c r="I179" i="1" s="1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AO178" i="3"/>
  <c r="L178" i="3"/>
  <c r="I178" i="1" s="1"/>
  <c r="BM178" i="1" s="1"/>
  <c r="G178" i="3"/>
  <c r="AT178" i="1" s="1"/>
  <c r="AU178" i="1" s="1"/>
  <c r="F178" i="3"/>
  <c r="AS178" i="1" s="1"/>
  <c r="J178" i="3"/>
  <c r="AV178" i="1" s="1"/>
  <c r="BU177" i="3"/>
  <c r="BQ177" i="3"/>
  <c r="BM177" i="3"/>
  <c r="BI177" i="3"/>
  <c r="BD177" i="3"/>
  <c r="BC177" i="3"/>
  <c r="BA177" i="3"/>
  <c r="AZ177" i="3"/>
  <c r="AY177" i="3"/>
  <c r="AR177" i="3"/>
  <c r="Q177" i="1" s="1"/>
  <c r="R177" i="1" s="1"/>
  <c r="AO177" i="3"/>
  <c r="V177" i="3"/>
  <c r="G177" i="3"/>
  <c r="AT177" i="1" s="1"/>
  <c r="AU177" i="1" s="1"/>
  <c r="BU176" i="3"/>
  <c r="BQ176" i="3"/>
  <c r="BM176" i="3"/>
  <c r="BI176" i="3"/>
  <c r="BD176" i="3"/>
  <c r="BC176" i="3"/>
  <c r="BA176" i="3"/>
  <c r="AZ176" i="3"/>
  <c r="AR176" i="3"/>
  <c r="AO176" i="3"/>
  <c r="AY176" i="3"/>
  <c r="G176" i="3"/>
  <c r="AT176" i="1" s="1"/>
  <c r="AU176" i="1" s="1"/>
  <c r="J176" i="3"/>
  <c r="AV176" i="1" s="1"/>
  <c r="F176" i="3"/>
  <c r="AS176" i="1" s="1"/>
  <c r="BU175" i="3"/>
  <c r="BQ175" i="3"/>
  <c r="BM175" i="3"/>
  <c r="BI175" i="3"/>
  <c r="BD175" i="3"/>
  <c r="BC175" i="3"/>
  <c r="BA175" i="3"/>
  <c r="AZ175" i="3"/>
  <c r="AY175" i="3"/>
  <c r="AR175" i="3"/>
  <c r="AO175" i="3"/>
  <c r="G175" i="3"/>
  <c r="AT175" i="1" s="1"/>
  <c r="AU175" i="1" s="1"/>
  <c r="G174" i="3"/>
  <c r="AT174" i="1" s="1"/>
  <c r="AU174" i="1" s="1"/>
  <c r="BD174" i="3"/>
  <c r="BA174" i="3"/>
  <c r="AY174" i="3"/>
  <c r="AR174" i="3"/>
  <c r="AO174" i="3"/>
  <c r="W174" i="3"/>
  <c r="V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U173" i="3"/>
  <c r="BQ173" i="3"/>
  <c r="BM173" i="3"/>
  <c r="BI173" i="3"/>
  <c r="BD173" i="3"/>
  <c r="BC173" i="3"/>
  <c r="BA173" i="3"/>
  <c r="AZ173" i="3"/>
  <c r="AY173" i="3"/>
  <c r="AR173" i="3"/>
  <c r="AO173" i="3"/>
  <c r="L173" i="3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BG256" i="3" l="1"/>
  <c r="T334" i="5"/>
  <c r="U334" i="5"/>
  <c r="V334" i="5"/>
  <c r="T321" i="5"/>
  <c r="V321" i="5"/>
  <c r="U321" i="5"/>
  <c r="U335" i="5"/>
  <c r="V335" i="5"/>
  <c r="T335" i="5"/>
  <c r="T326" i="5"/>
  <c r="U326" i="5"/>
  <c r="V326" i="5"/>
  <c r="T301" i="5"/>
  <c r="U301" i="5"/>
  <c r="V301" i="5"/>
  <c r="AP256" i="3"/>
  <c r="AQ256" i="3" s="1"/>
  <c r="Q295" i="1"/>
  <c r="R295" i="1" s="1"/>
  <c r="AQ319" i="3"/>
  <c r="Q238" i="1"/>
  <c r="R238" i="1" s="1"/>
  <c r="Q178" i="1"/>
  <c r="R178" i="1" s="1"/>
  <c r="AI293" i="1"/>
  <c r="Q213" i="1"/>
  <c r="R213" i="1" s="1"/>
  <c r="Q217" i="1"/>
  <c r="R217" i="1" s="1"/>
  <c r="Q320" i="1"/>
  <c r="R320" i="1" s="1"/>
  <c r="T339" i="5"/>
  <c r="U339" i="5"/>
  <c r="V339" i="5"/>
  <c r="H332" i="5"/>
  <c r="J332" i="5"/>
  <c r="I332" i="5"/>
  <c r="H314" i="5"/>
  <c r="J314" i="5"/>
  <c r="I314" i="5"/>
  <c r="T325" i="5"/>
  <c r="V325" i="5"/>
  <c r="U325" i="5"/>
  <c r="V318" i="5"/>
  <c r="T318" i="5"/>
  <c r="U318" i="5"/>
  <c r="S311" i="5"/>
  <c r="G311" i="5"/>
  <c r="Q309" i="1"/>
  <c r="R309" i="1" s="1"/>
  <c r="AQ257" i="3"/>
  <c r="Q210" i="1"/>
  <c r="R210" i="1" s="1"/>
  <c r="AQ197" i="3"/>
  <c r="Q307" i="1"/>
  <c r="R307" i="1" s="1"/>
  <c r="BH197" i="3"/>
  <c r="BT197" i="3" s="1"/>
  <c r="AI336" i="1"/>
  <c r="Q263" i="1"/>
  <c r="R263" i="1" s="1"/>
  <c r="AQ326" i="3"/>
  <c r="BH200" i="3"/>
  <c r="BT200" i="3" s="1"/>
  <c r="AI320" i="1"/>
  <c r="BH201" i="3"/>
  <c r="BT201" i="3" s="1"/>
  <c r="AI307" i="1"/>
  <c r="Q175" i="1"/>
  <c r="R175" i="1" s="1"/>
  <c r="Q179" i="1"/>
  <c r="R179" i="1" s="1"/>
  <c r="Q181" i="1"/>
  <c r="R181" i="1" s="1"/>
  <c r="BG264" i="3"/>
  <c r="E263" i="5" s="1"/>
  <c r="Q252" i="1"/>
  <c r="R252" i="1" s="1"/>
  <c r="AQ248" i="3"/>
  <c r="Q224" i="1"/>
  <c r="R224" i="1" s="1"/>
  <c r="AQ302" i="3"/>
  <c r="AQ308" i="3"/>
  <c r="AY212" i="1"/>
  <c r="AT196" i="3"/>
  <c r="AY174" i="1"/>
  <c r="AY211" i="1"/>
  <c r="AT195" i="3"/>
  <c r="Q337" i="1"/>
  <c r="R337" i="1" s="1"/>
  <c r="AY175" i="1"/>
  <c r="AY210" i="1"/>
  <c r="AT194" i="3"/>
  <c r="AY176" i="1"/>
  <c r="AY213" i="1"/>
  <c r="AY181" i="1"/>
  <c r="H327" i="5"/>
  <c r="J327" i="5"/>
  <c r="I327" i="5"/>
  <c r="AS205" i="3"/>
  <c r="BH205" i="3" s="1"/>
  <c r="AT205" i="3"/>
  <c r="BF289" i="3"/>
  <c r="Q314" i="1"/>
  <c r="R314" i="1" s="1"/>
  <c r="AY179" i="1"/>
  <c r="AY216" i="1"/>
  <c r="AY177" i="1"/>
  <c r="AY214" i="1"/>
  <c r="H341" i="5"/>
  <c r="I341" i="5"/>
  <c r="J341" i="5"/>
  <c r="Q342" i="1"/>
  <c r="R342" i="1" s="1"/>
  <c r="AY178" i="1"/>
  <c r="AY215" i="1"/>
  <c r="AY180" i="1"/>
  <c r="AY217" i="1"/>
  <c r="AQ200" i="3"/>
  <c r="AA320" i="5" s="1"/>
  <c r="AY220" i="1"/>
  <c r="AY324" i="1"/>
  <c r="Q219" i="1"/>
  <c r="R219" i="1" s="1"/>
  <c r="Q180" i="1"/>
  <c r="R180" i="1" s="1"/>
  <c r="AY182" i="1"/>
  <c r="Q326" i="1"/>
  <c r="R326" i="1" s="1"/>
  <c r="BF231" i="3"/>
  <c r="AY300" i="1"/>
  <c r="AY224" i="1"/>
  <c r="AY226" i="1"/>
  <c r="AT256" i="3"/>
  <c r="BJ256" i="3" s="1"/>
  <c r="BR256" i="3" s="1"/>
  <c r="AQ264" i="3"/>
  <c r="AA263" i="5" s="1"/>
  <c r="Q218" i="1"/>
  <c r="R218" i="1" s="1"/>
  <c r="Q228" i="1"/>
  <c r="R228" i="1" s="1"/>
  <c r="BG302" i="3"/>
  <c r="W256" i="3"/>
  <c r="BQ256" i="3" s="1"/>
  <c r="AY309" i="1"/>
  <c r="H328" i="5"/>
  <c r="I328" i="5"/>
  <c r="V310" i="5"/>
  <c r="T310" i="5"/>
  <c r="Q293" i="1"/>
  <c r="R293" i="1" s="1"/>
  <c r="AQ259" i="3"/>
  <c r="Z293" i="5" s="1"/>
  <c r="BG259" i="3"/>
  <c r="BK259" i="3" s="1"/>
  <c r="F293" i="5" s="1"/>
  <c r="Q301" i="1"/>
  <c r="R301" i="1" s="1"/>
  <c r="Q302" i="1"/>
  <c r="R302" i="1" s="1"/>
  <c r="AQ201" i="3"/>
  <c r="BG201" i="3"/>
  <c r="AS206" i="3"/>
  <c r="BH206" i="3" s="1"/>
  <c r="BG206" i="3"/>
  <c r="Q174" i="1"/>
  <c r="R174" i="1" s="1"/>
  <c r="I304" i="5"/>
  <c r="H304" i="5"/>
  <c r="T316" i="5"/>
  <c r="V316" i="5"/>
  <c r="I305" i="5"/>
  <c r="H305" i="5"/>
  <c r="T294" i="5"/>
  <c r="U294" i="5"/>
  <c r="V294" i="5"/>
  <c r="AZ201" i="3"/>
  <c r="BI201" i="3"/>
  <c r="BQ200" i="3"/>
  <c r="AZ197" i="3"/>
  <c r="AP206" i="3"/>
  <c r="AQ206" i="3" s="1"/>
  <c r="AI298" i="1"/>
  <c r="BH259" i="3"/>
  <c r="BT259" i="3" s="1"/>
  <c r="S293" i="1"/>
  <c r="H243" i="5"/>
  <c r="I250" i="5"/>
  <c r="U284" i="5"/>
  <c r="V284" i="5"/>
  <c r="T284" i="5"/>
  <c r="I340" i="5"/>
  <c r="V274" i="5"/>
  <c r="T274" i="5"/>
  <c r="H323" i="5"/>
  <c r="I323" i="5"/>
  <c r="U233" i="5"/>
  <c r="T233" i="5"/>
  <c r="T232" i="5"/>
  <c r="V247" i="5"/>
  <c r="H345" i="5"/>
  <c r="I345" i="5"/>
  <c r="T333" i="5"/>
  <c r="V333" i="5"/>
  <c r="U333" i="5"/>
  <c r="U322" i="5"/>
  <c r="T322" i="5"/>
  <c r="H281" i="5"/>
  <c r="I281" i="5"/>
  <c r="T239" i="5"/>
  <c r="V239" i="5"/>
  <c r="H250" i="5"/>
  <c r="U232" i="5"/>
  <c r="T241" i="5"/>
  <c r="V322" i="5"/>
  <c r="U236" i="5"/>
  <c r="U241" i="5"/>
  <c r="U247" i="5"/>
  <c r="T315" i="5"/>
  <c r="V315" i="5"/>
  <c r="U315" i="5"/>
  <c r="H303" i="5"/>
  <c r="I303" i="5"/>
  <c r="V286" i="5"/>
  <c r="T286" i="5"/>
  <c r="U286" i="5"/>
  <c r="T280" i="5"/>
  <c r="U280" i="5"/>
  <c r="V280" i="5"/>
  <c r="V268" i="5"/>
  <c r="U268" i="5"/>
  <c r="T268" i="5"/>
  <c r="T248" i="5"/>
  <c r="T240" i="5"/>
  <c r="V276" i="5"/>
  <c r="U248" i="5"/>
  <c r="H237" i="5"/>
  <c r="V240" i="5"/>
  <c r="U276" i="5"/>
  <c r="H285" i="5"/>
  <c r="I285" i="5"/>
  <c r="V249" i="5"/>
  <c r="T249" i="5"/>
  <c r="U249" i="5"/>
  <c r="I237" i="5"/>
  <c r="I254" i="5"/>
  <c r="T312" i="5"/>
  <c r="V236" i="5"/>
  <c r="H254" i="5"/>
  <c r="U312" i="5"/>
  <c r="T319" i="5"/>
  <c r="U319" i="5"/>
  <c r="V319" i="5"/>
  <c r="U317" i="5"/>
  <c r="V317" i="5"/>
  <c r="T317" i="5"/>
  <c r="Q287" i="1"/>
  <c r="R287" i="1" s="1"/>
  <c r="Q286" i="1"/>
  <c r="R286" i="1" s="1"/>
  <c r="S282" i="1"/>
  <c r="AP169" i="3"/>
  <c r="BF189" i="3"/>
  <c r="BP191" i="3" a="1"/>
  <c r="BP191" i="3" s="1"/>
  <c r="BT191" i="3" s="1"/>
  <c r="U205" i="3"/>
  <c r="AY205" i="3" s="1"/>
  <c r="AY218" i="1"/>
  <c r="W206" i="3"/>
  <c r="X219" i="1" s="1"/>
  <c r="AY219" i="1"/>
  <c r="BP278" i="3" a="1"/>
  <c r="BP278" i="3" s="1"/>
  <c r="AY223" i="1"/>
  <c r="AP231" i="3"/>
  <c r="AQ231" i="3" s="1"/>
  <c r="Z266" i="5" s="1"/>
  <c r="AY266" i="1"/>
  <c r="AY221" i="1"/>
  <c r="W289" i="3"/>
  <c r="AZ289" i="3" s="1"/>
  <c r="AY222" i="1"/>
  <c r="BF224" i="3"/>
  <c r="AY227" i="1"/>
  <c r="AX226" i="3"/>
  <c r="AY228" i="1"/>
  <c r="BH257" i="3"/>
  <c r="BT257" i="3" s="1"/>
  <c r="AI277" i="1"/>
  <c r="BH264" i="3"/>
  <c r="BT264" i="3" s="1"/>
  <c r="AI263" i="1"/>
  <c r="BH319" i="3"/>
  <c r="BT319" i="3" s="1"/>
  <c r="AI259" i="1"/>
  <c r="AZ313" i="3"/>
  <c r="Q253" i="1"/>
  <c r="R253" i="1" s="1"/>
  <c r="AQ325" i="3"/>
  <c r="Z273" i="5" s="1"/>
  <c r="BG322" i="3"/>
  <c r="E295" i="5" s="1"/>
  <c r="BH322" i="3"/>
  <c r="BT322" i="3" s="1"/>
  <c r="S295" i="1"/>
  <c r="BH325" i="3"/>
  <c r="BT325" i="3" s="1"/>
  <c r="S273" i="1"/>
  <c r="BH326" i="3"/>
  <c r="BT326" i="3" s="1"/>
  <c r="S253" i="1"/>
  <c r="BH302" i="3"/>
  <c r="BI302" i="3" s="1"/>
  <c r="AI252" i="1"/>
  <c r="BH313" i="3"/>
  <c r="BI313" i="3" s="1"/>
  <c r="AI251" i="1"/>
  <c r="Q251" i="1"/>
  <c r="R251" i="1" s="1"/>
  <c r="BG313" i="3"/>
  <c r="E251" i="5" s="1"/>
  <c r="BP289" i="3" a="1"/>
  <c r="BP289" i="3" s="1"/>
  <c r="BT289" i="3" s="1"/>
  <c r="AS231" i="3"/>
  <c r="BH231" i="3" s="1"/>
  <c r="BG205" i="3"/>
  <c r="E218" i="5" s="1"/>
  <c r="U289" i="3"/>
  <c r="AY289" i="3" s="1"/>
  <c r="BB224" i="3"/>
  <c r="AZ326" i="3"/>
  <c r="U206" i="3"/>
  <c r="AY206" i="3" s="1"/>
  <c r="Q244" i="1"/>
  <c r="R244" i="1" s="1"/>
  <c r="AI244" i="1"/>
  <c r="BG248" i="3"/>
  <c r="E238" i="5" s="1"/>
  <c r="AI238" i="1"/>
  <c r="BH248" i="3"/>
  <c r="BT248" i="3" s="1"/>
  <c r="S238" i="1"/>
  <c r="Q237" i="1"/>
  <c r="R237" i="1" s="1"/>
  <c r="BQ325" i="3"/>
  <c r="U343" i="5"/>
  <c r="T343" i="5"/>
  <c r="V343" i="5"/>
  <c r="T344" i="5"/>
  <c r="U344" i="5"/>
  <c r="V344" i="5"/>
  <c r="E338" i="5"/>
  <c r="E311" i="5"/>
  <c r="E343" i="5"/>
  <c r="E326" i="5"/>
  <c r="E282" i="5"/>
  <c r="E323" i="5"/>
  <c r="E322" i="5"/>
  <c r="E299" i="5"/>
  <c r="E319" i="5"/>
  <c r="E296" i="5"/>
  <c r="E274" i="5"/>
  <c r="E270" i="5"/>
  <c r="E268" i="5"/>
  <c r="E258" i="5"/>
  <c r="E239" i="5"/>
  <c r="E318" i="5"/>
  <c r="E317" i="5"/>
  <c r="E316" i="5"/>
  <c r="E315" i="5"/>
  <c r="E314" i="5"/>
  <c r="E271" i="5"/>
  <c r="E267" i="5"/>
  <c r="E264" i="5"/>
  <c r="E240" i="5"/>
  <c r="E313" i="5"/>
  <c r="E294" i="5"/>
  <c r="E292" i="5"/>
  <c r="E291" i="5"/>
  <c r="E262" i="5"/>
  <c r="E260" i="5"/>
  <c r="E241" i="5"/>
  <c r="E226" i="5"/>
  <c r="E219" i="5"/>
  <c r="E312" i="5"/>
  <c r="E242" i="5"/>
  <c r="E231" i="5"/>
  <c r="E290" i="5"/>
  <c r="E288" i="5"/>
  <c r="E243" i="5"/>
  <c r="E232" i="5"/>
  <c r="E333" i="5"/>
  <c r="E310" i="5"/>
  <c r="E244" i="5"/>
  <c r="E233" i="5"/>
  <c r="E345" i="5"/>
  <c r="E341" i="5"/>
  <c r="E332" i="5"/>
  <c r="E331" i="5"/>
  <c r="E328" i="5"/>
  <c r="E327" i="5"/>
  <c r="E286" i="5"/>
  <c r="E245" i="5"/>
  <c r="G278" i="5"/>
  <c r="E307" i="5"/>
  <c r="E304" i="5"/>
  <c r="E283" i="5"/>
  <c r="E281" i="5"/>
  <c r="E306" i="5"/>
  <c r="E305" i="5"/>
  <c r="E303" i="5"/>
  <c r="E302" i="5"/>
  <c r="E301" i="5"/>
  <c r="E280" i="5"/>
  <c r="E249" i="5"/>
  <c r="E254" i="5"/>
  <c r="E253" i="5"/>
  <c r="E252" i="5"/>
  <c r="E248" i="5"/>
  <c r="E237" i="5"/>
  <c r="E321" i="5"/>
  <c r="E298" i="5"/>
  <c r="E276" i="5"/>
  <c r="E255" i="5"/>
  <c r="E236" i="5"/>
  <c r="D329" i="5"/>
  <c r="F329" i="5"/>
  <c r="E320" i="5"/>
  <c r="E297" i="5"/>
  <c r="E275" i="5"/>
  <c r="E269" i="5"/>
  <c r="E257" i="5"/>
  <c r="E256" i="5"/>
  <c r="W345" i="5"/>
  <c r="X345" i="5"/>
  <c r="Y345" i="5"/>
  <c r="AC345" i="5"/>
  <c r="W344" i="5"/>
  <c r="X344" i="5"/>
  <c r="Y344" i="5"/>
  <c r="AC344" i="5"/>
  <c r="W343" i="5"/>
  <c r="X343" i="5"/>
  <c r="Y343" i="5"/>
  <c r="AC343" i="5"/>
  <c r="Y342" i="5"/>
  <c r="AC342" i="5"/>
  <c r="W342" i="5"/>
  <c r="X342" i="5"/>
  <c r="W341" i="5"/>
  <c r="X341" i="5"/>
  <c r="Y341" i="5"/>
  <c r="AC341" i="5"/>
  <c r="W340" i="5"/>
  <c r="X340" i="5"/>
  <c r="Y340" i="5"/>
  <c r="AC340" i="5"/>
  <c r="W339" i="5"/>
  <c r="X339" i="5"/>
  <c r="Y339" i="5"/>
  <c r="AC339" i="5"/>
  <c r="W338" i="5"/>
  <c r="X338" i="5"/>
  <c r="Y338" i="5"/>
  <c r="AC338" i="5"/>
  <c r="AC337" i="5"/>
  <c r="W337" i="5"/>
  <c r="X337" i="5"/>
  <c r="Y337" i="5"/>
  <c r="W336" i="5"/>
  <c r="X336" i="5"/>
  <c r="Y336" i="5"/>
  <c r="AC336" i="5"/>
  <c r="X335" i="5"/>
  <c r="Y335" i="5"/>
  <c r="AC335" i="5"/>
  <c r="W335" i="5"/>
  <c r="W334" i="5"/>
  <c r="X334" i="5"/>
  <c r="Y334" i="5"/>
  <c r="AC334" i="5"/>
  <c r="W333" i="5"/>
  <c r="X333" i="5"/>
  <c r="Y333" i="5"/>
  <c r="AC333" i="5"/>
  <c r="W332" i="5"/>
  <c r="X332" i="5"/>
  <c r="Y332" i="5"/>
  <c r="AC332" i="5"/>
  <c r="Y331" i="5"/>
  <c r="AC331" i="5"/>
  <c r="W331" i="5"/>
  <c r="X331" i="5"/>
  <c r="W330" i="5"/>
  <c r="X330" i="5"/>
  <c r="Y330" i="5"/>
  <c r="AC330" i="5"/>
  <c r="W329" i="5"/>
  <c r="Y329" i="5"/>
  <c r="AC329" i="5"/>
  <c r="X329" i="5"/>
  <c r="E329" i="5"/>
  <c r="W328" i="5"/>
  <c r="X328" i="5"/>
  <c r="Y328" i="5"/>
  <c r="AC328" i="5"/>
  <c r="W327" i="5"/>
  <c r="X327" i="5"/>
  <c r="Y327" i="5"/>
  <c r="AC327" i="5"/>
  <c r="Y326" i="5"/>
  <c r="AC326" i="5"/>
  <c r="W326" i="5"/>
  <c r="X326" i="5"/>
  <c r="W325" i="5"/>
  <c r="X325" i="5"/>
  <c r="Y325" i="5"/>
  <c r="AC325" i="5"/>
  <c r="X323" i="5"/>
  <c r="Y323" i="5"/>
  <c r="AC323" i="5"/>
  <c r="W323" i="5"/>
  <c r="W322" i="5"/>
  <c r="X322" i="5"/>
  <c r="Y322" i="5"/>
  <c r="AC322" i="5"/>
  <c r="W321" i="5"/>
  <c r="X321" i="5"/>
  <c r="Y321" i="5"/>
  <c r="AC321" i="5"/>
  <c r="W320" i="5"/>
  <c r="X320" i="5"/>
  <c r="Y320" i="5"/>
  <c r="AC320" i="5"/>
  <c r="W319" i="5"/>
  <c r="X319" i="5"/>
  <c r="Y319" i="5"/>
  <c r="AC319" i="5"/>
  <c r="Y318" i="5"/>
  <c r="AC318" i="5"/>
  <c r="W318" i="5"/>
  <c r="X318" i="5"/>
  <c r="W317" i="5"/>
  <c r="X317" i="5"/>
  <c r="Y317" i="5"/>
  <c r="AC317" i="5"/>
  <c r="W316" i="5"/>
  <c r="X316" i="5"/>
  <c r="Y316" i="5"/>
  <c r="AC316" i="5"/>
  <c r="W315" i="5"/>
  <c r="X315" i="5"/>
  <c r="Y315" i="5"/>
  <c r="AC315" i="5"/>
  <c r="W314" i="5"/>
  <c r="X314" i="5"/>
  <c r="Y314" i="5"/>
  <c r="AC314" i="5"/>
  <c r="AC313" i="5"/>
  <c r="W313" i="5"/>
  <c r="X313" i="5"/>
  <c r="Y313" i="5"/>
  <c r="W312" i="5"/>
  <c r="X312" i="5"/>
  <c r="Y312" i="5"/>
  <c r="AC312" i="5"/>
  <c r="X311" i="5"/>
  <c r="Y311" i="5"/>
  <c r="AC311" i="5"/>
  <c r="W311" i="5"/>
  <c r="W310" i="5"/>
  <c r="X310" i="5"/>
  <c r="Y310" i="5"/>
  <c r="AC310" i="5"/>
  <c r="W308" i="5"/>
  <c r="X308" i="5"/>
  <c r="Y308" i="5"/>
  <c r="AC308" i="5"/>
  <c r="W307" i="5"/>
  <c r="X307" i="5"/>
  <c r="Y307" i="5"/>
  <c r="AC307" i="5"/>
  <c r="W306" i="5"/>
  <c r="X306" i="5"/>
  <c r="Y306" i="5"/>
  <c r="AC306" i="5"/>
  <c r="AC305" i="5"/>
  <c r="W305" i="5"/>
  <c r="X305" i="5"/>
  <c r="Y305" i="5"/>
  <c r="W304" i="5"/>
  <c r="X304" i="5"/>
  <c r="Y304" i="5"/>
  <c r="AC304" i="5"/>
  <c r="X303" i="5"/>
  <c r="Y303" i="5"/>
  <c r="AC303" i="5"/>
  <c r="W303" i="5"/>
  <c r="W302" i="5"/>
  <c r="X302" i="5"/>
  <c r="Y302" i="5"/>
  <c r="AC302" i="5"/>
  <c r="W301" i="5"/>
  <c r="X301" i="5"/>
  <c r="Y301" i="5"/>
  <c r="AC301" i="5"/>
  <c r="W299" i="5"/>
  <c r="X299" i="5"/>
  <c r="Y299" i="5"/>
  <c r="AC299" i="5"/>
  <c r="W298" i="5"/>
  <c r="X298" i="5"/>
  <c r="Y298" i="5"/>
  <c r="AC298" i="5"/>
  <c r="AC297" i="5"/>
  <c r="W297" i="5"/>
  <c r="X297" i="5"/>
  <c r="Y297" i="5"/>
  <c r="W296" i="5"/>
  <c r="X296" i="5"/>
  <c r="Y296" i="5"/>
  <c r="AC296" i="5"/>
  <c r="X295" i="5"/>
  <c r="Y295" i="5"/>
  <c r="AC295" i="5"/>
  <c r="W295" i="5"/>
  <c r="W294" i="5"/>
  <c r="X294" i="5"/>
  <c r="Y294" i="5"/>
  <c r="AC294" i="5"/>
  <c r="W293" i="5"/>
  <c r="X293" i="5"/>
  <c r="Y293" i="5"/>
  <c r="AC293" i="5"/>
  <c r="W292" i="5"/>
  <c r="X292" i="5"/>
  <c r="Y292" i="5"/>
  <c r="AC292" i="5"/>
  <c r="W291" i="5"/>
  <c r="X291" i="5"/>
  <c r="Y291" i="5"/>
  <c r="AC291" i="5"/>
  <c r="W290" i="5"/>
  <c r="X290" i="5"/>
  <c r="Y290" i="5"/>
  <c r="AC290" i="5"/>
  <c r="W289" i="5"/>
  <c r="X289" i="5"/>
  <c r="Y289" i="5"/>
  <c r="AC289" i="5"/>
  <c r="W288" i="5"/>
  <c r="X288" i="5"/>
  <c r="Y288" i="5"/>
  <c r="AC288" i="5"/>
  <c r="W287" i="5"/>
  <c r="X287" i="5"/>
  <c r="Y287" i="5"/>
  <c r="AC287" i="5"/>
  <c r="AC286" i="5"/>
  <c r="W286" i="5"/>
  <c r="X286" i="5"/>
  <c r="Y286" i="5"/>
  <c r="W285" i="5"/>
  <c r="X285" i="5"/>
  <c r="Y285" i="5"/>
  <c r="AC285" i="5"/>
  <c r="X284" i="5"/>
  <c r="Y284" i="5"/>
  <c r="AC284" i="5"/>
  <c r="W284" i="5"/>
  <c r="W283" i="5"/>
  <c r="X283" i="5"/>
  <c r="Y283" i="5"/>
  <c r="AC283" i="5"/>
  <c r="W282" i="5"/>
  <c r="X282" i="5"/>
  <c r="Y282" i="5"/>
  <c r="AC282" i="5"/>
  <c r="W281" i="5"/>
  <c r="X281" i="5"/>
  <c r="Y281" i="5"/>
  <c r="AC281" i="5"/>
  <c r="W280" i="5"/>
  <c r="X280" i="5"/>
  <c r="Y280" i="5"/>
  <c r="AC280" i="5"/>
  <c r="Y279" i="5"/>
  <c r="AC279" i="5"/>
  <c r="W279" i="5"/>
  <c r="X279" i="5"/>
  <c r="W278" i="5"/>
  <c r="X278" i="5"/>
  <c r="Y278" i="5"/>
  <c r="AC278" i="5"/>
  <c r="W277" i="5"/>
  <c r="X277" i="5"/>
  <c r="Y277" i="5"/>
  <c r="AC277" i="5"/>
  <c r="Y276" i="5"/>
  <c r="AC276" i="5"/>
  <c r="W276" i="5"/>
  <c r="X276" i="5"/>
  <c r="W275" i="5"/>
  <c r="X275" i="5"/>
  <c r="Y275" i="5"/>
  <c r="AC275" i="5"/>
  <c r="W274" i="5"/>
  <c r="X274" i="5"/>
  <c r="Y274" i="5"/>
  <c r="AC274" i="5"/>
  <c r="W273" i="5"/>
  <c r="X273" i="5"/>
  <c r="Y273" i="5"/>
  <c r="AC273" i="5"/>
  <c r="W272" i="5"/>
  <c r="X272" i="5"/>
  <c r="Y272" i="5"/>
  <c r="AC272" i="5"/>
  <c r="AC271" i="5"/>
  <c r="W271" i="5"/>
  <c r="X271" i="5"/>
  <c r="Y271" i="5"/>
  <c r="W270" i="5"/>
  <c r="X270" i="5"/>
  <c r="Y270" i="5"/>
  <c r="AC270" i="5"/>
  <c r="X269" i="5"/>
  <c r="Y269" i="5"/>
  <c r="AC269" i="5"/>
  <c r="W269" i="5"/>
  <c r="W268" i="5"/>
  <c r="X268" i="5"/>
  <c r="Y268" i="5"/>
  <c r="AC268" i="5"/>
  <c r="W267" i="5"/>
  <c r="X267" i="5"/>
  <c r="Y267" i="5"/>
  <c r="AC267" i="5"/>
  <c r="W265" i="5"/>
  <c r="X265" i="5"/>
  <c r="Y265" i="5"/>
  <c r="AC265" i="5"/>
  <c r="W264" i="5"/>
  <c r="X264" i="5"/>
  <c r="Y264" i="5"/>
  <c r="AC264" i="5"/>
  <c r="AC263" i="5"/>
  <c r="W263" i="5"/>
  <c r="X263" i="5"/>
  <c r="Y263" i="5"/>
  <c r="W262" i="5"/>
  <c r="X262" i="5"/>
  <c r="Y262" i="5"/>
  <c r="AC262" i="5"/>
  <c r="X261" i="5"/>
  <c r="Y261" i="5"/>
  <c r="AC261" i="5"/>
  <c r="W261" i="5"/>
  <c r="W260" i="5"/>
  <c r="X260" i="5"/>
  <c r="Y260" i="5"/>
  <c r="AC260" i="5"/>
  <c r="W259" i="5"/>
  <c r="X259" i="5"/>
  <c r="Y259" i="5"/>
  <c r="AC259" i="5"/>
  <c r="W258" i="5"/>
  <c r="X258" i="5"/>
  <c r="Y258" i="5"/>
  <c r="AC258" i="5"/>
  <c r="W257" i="5"/>
  <c r="X257" i="5"/>
  <c r="Y257" i="5"/>
  <c r="AC257" i="5"/>
  <c r="Y256" i="5"/>
  <c r="AC256" i="5"/>
  <c r="W256" i="5"/>
  <c r="X256" i="5"/>
  <c r="W255" i="5"/>
  <c r="X255" i="5"/>
  <c r="Y255" i="5"/>
  <c r="AC255" i="5"/>
  <c r="W254" i="5"/>
  <c r="X254" i="5"/>
  <c r="Y254" i="5"/>
  <c r="AC254" i="5"/>
  <c r="W253" i="5"/>
  <c r="X253" i="5"/>
  <c r="Y253" i="5"/>
  <c r="AC253" i="5"/>
  <c r="W252" i="5"/>
  <c r="X252" i="5"/>
  <c r="Y252" i="5"/>
  <c r="AC252" i="5"/>
  <c r="AC251" i="5"/>
  <c r="W251" i="5"/>
  <c r="X251" i="5"/>
  <c r="Y251" i="5"/>
  <c r="W250" i="5"/>
  <c r="X250" i="5"/>
  <c r="Y250" i="5"/>
  <c r="AC250" i="5"/>
  <c r="X249" i="5"/>
  <c r="Y249" i="5"/>
  <c r="AC249" i="5"/>
  <c r="W249" i="5"/>
  <c r="W248" i="5"/>
  <c r="X248" i="5"/>
  <c r="Y248" i="5"/>
  <c r="AC248" i="5"/>
  <c r="W247" i="5"/>
  <c r="X247" i="5"/>
  <c r="Y247" i="5"/>
  <c r="AC247" i="5"/>
  <c r="W246" i="5"/>
  <c r="X246" i="5"/>
  <c r="Y246" i="5"/>
  <c r="AC246" i="5"/>
  <c r="W245" i="5"/>
  <c r="X245" i="5"/>
  <c r="Y245" i="5"/>
  <c r="AC245" i="5"/>
  <c r="Y244" i="5"/>
  <c r="AC244" i="5"/>
  <c r="W244" i="5"/>
  <c r="X244" i="5"/>
  <c r="W243" i="5"/>
  <c r="X243" i="5"/>
  <c r="Y243" i="5"/>
  <c r="AC243" i="5"/>
  <c r="W242" i="5"/>
  <c r="X242" i="5"/>
  <c r="Y242" i="5"/>
  <c r="AC242" i="5"/>
  <c r="W241" i="5"/>
  <c r="X241" i="5"/>
  <c r="Y241" i="5"/>
  <c r="AC241" i="5"/>
  <c r="W240" i="5"/>
  <c r="X240" i="5"/>
  <c r="Y240" i="5"/>
  <c r="AC240" i="5"/>
  <c r="AC239" i="5"/>
  <c r="W239" i="5"/>
  <c r="X239" i="5"/>
  <c r="Y239" i="5"/>
  <c r="W238" i="5"/>
  <c r="X238" i="5"/>
  <c r="Y238" i="5"/>
  <c r="AC238" i="5"/>
  <c r="X237" i="5"/>
  <c r="Y237" i="5"/>
  <c r="AC237" i="5"/>
  <c r="W237" i="5"/>
  <c r="W236" i="5"/>
  <c r="X236" i="5"/>
  <c r="Y236" i="5"/>
  <c r="AC236" i="5"/>
  <c r="W235" i="5"/>
  <c r="X235" i="5"/>
  <c r="Y235" i="5"/>
  <c r="AC235" i="5"/>
  <c r="W234" i="5"/>
  <c r="X234" i="5"/>
  <c r="Y234" i="5"/>
  <c r="AC234" i="5"/>
  <c r="W233" i="5"/>
  <c r="X233" i="5"/>
  <c r="Y233" i="5"/>
  <c r="AC233" i="5"/>
  <c r="Y232" i="5"/>
  <c r="AC232" i="5"/>
  <c r="W232" i="5"/>
  <c r="X232" i="5"/>
  <c r="W231" i="5"/>
  <c r="X231" i="5"/>
  <c r="Y231" i="5"/>
  <c r="AC231" i="5"/>
  <c r="Q182" i="1"/>
  <c r="R182" i="1" s="1"/>
  <c r="Q176" i="1"/>
  <c r="R176" i="1" s="1"/>
  <c r="E344" i="5"/>
  <c r="E342" i="5"/>
  <c r="E337" i="5"/>
  <c r="Q322" i="1"/>
  <c r="R322" i="1" s="1"/>
  <c r="Z339" i="5"/>
  <c r="N339" i="1" s="1"/>
  <c r="BD210" i="1"/>
  <c r="BE210" i="1"/>
  <c r="E340" i="5"/>
  <c r="Q340" i="1"/>
  <c r="R340" i="1" s="1"/>
  <c r="E339" i="5"/>
  <c r="Q339" i="1"/>
  <c r="R339" i="1" s="1"/>
  <c r="BG197" i="3"/>
  <c r="E336" i="5" s="1"/>
  <c r="Q336" i="1"/>
  <c r="R336" i="1" s="1"/>
  <c r="E335" i="5"/>
  <c r="Q335" i="1"/>
  <c r="R335" i="1" s="1"/>
  <c r="E334" i="5"/>
  <c r="Q334" i="1"/>
  <c r="R334" i="1" s="1"/>
  <c r="E330" i="5"/>
  <c r="Q330" i="1"/>
  <c r="R330" i="1" s="1"/>
  <c r="E325" i="5"/>
  <c r="Q325" i="1"/>
  <c r="R325" i="1" s="1"/>
  <c r="E289" i="5"/>
  <c r="Q289" i="1"/>
  <c r="R289" i="1" s="1"/>
  <c r="E285" i="5"/>
  <c r="Q285" i="1"/>
  <c r="R285" i="1" s="1"/>
  <c r="E284" i="5"/>
  <c r="Q284" i="1"/>
  <c r="R284" i="1" s="1"/>
  <c r="BG257" i="3"/>
  <c r="E277" i="5" s="1"/>
  <c r="Q277" i="1"/>
  <c r="R277" i="1" s="1"/>
  <c r="BG325" i="3"/>
  <c r="E273" i="5" s="1"/>
  <c r="Q273" i="1"/>
  <c r="R273" i="1" s="1"/>
  <c r="E272" i="5"/>
  <c r="Q272" i="1"/>
  <c r="R272" i="1" s="1"/>
  <c r="E265" i="5"/>
  <c r="Q265" i="1"/>
  <c r="R265" i="1" s="1"/>
  <c r="E261" i="5"/>
  <c r="Q261" i="1"/>
  <c r="R261" i="1" s="1"/>
  <c r="BG319" i="3"/>
  <c r="E259" i="5" s="1"/>
  <c r="Q259" i="1"/>
  <c r="R259" i="1" s="1"/>
  <c r="E250" i="5"/>
  <c r="Q250" i="1"/>
  <c r="R250" i="1" s="1"/>
  <c r="E247" i="5"/>
  <c r="Q247" i="1"/>
  <c r="R247" i="1" s="1"/>
  <c r="E246" i="5"/>
  <c r="Q246" i="1"/>
  <c r="R246" i="1" s="1"/>
  <c r="E235" i="5"/>
  <c r="Q235" i="1"/>
  <c r="R235" i="1" s="1"/>
  <c r="E234" i="5"/>
  <c r="Q234" i="1"/>
  <c r="R234" i="1" s="1"/>
  <c r="BG279" i="3"/>
  <c r="E324" i="5" s="1"/>
  <c r="Q324" i="1"/>
  <c r="R324" i="1" s="1"/>
  <c r="AS221" i="1"/>
  <c r="AS266" i="1"/>
  <c r="AV221" i="1"/>
  <c r="AV266" i="1"/>
  <c r="BA221" i="1"/>
  <c r="BA266" i="1"/>
  <c r="H279" i="5"/>
  <c r="I279" i="5"/>
  <c r="E279" i="5"/>
  <c r="Q278" i="1"/>
  <c r="R278" i="1" s="1"/>
  <c r="W230" i="5"/>
  <c r="X230" i="5"/>
  <c r="Y230" i="5"/>
  <c r="AC230" i="5"/>
  <c r="E230" i="5"/>
  <c r="F230" i="5"/>
  <c r="D230" i="5"/>
  <c r="Q216" i="1"/>
  <c r="R216" i="1" s="1"/>
  <c r="Q211" i="1"/>
  <c r="R211" i="1" s="1"/>
  <c r="Q212" i="1"/>
  <c r="R212" i="1" s="1"/>
  <c r="Q215" i="1"/>
  <c r="R215" i="1" s="1"/>
  <c r="Q221" i="1"/>
  <c r="R221" i="1" s="1"/>
  <c r="Q266" i="1"/>
  <c r="R266" i="1" s="1"/>
  <c r="BG231" i="3"/>
  <c r="E266" i="5" s="1"/>
  <c r="Q222" i="1"/>
  <c r="R222" i="1" s="1"/>
  <c r="Q226" i="1"/>
  <c r="R226" i="1" s="1"/>
  <c r="BG224" i="3"/>
  <c r="E227" i="5" s="1"/>
  <c r="Q227" i="1"/>
  <c r="R227" i="1" s="1"/>
  <c r="BG308" i="3"/>
  <c r="E229" i="5" s="1"/>
  <c r="Q229" i="1"/>
  <c r="R229" i="1" s="1"/>
  <c r="Q220" i="1"/>
  <c r="R220" i="1" s="1"/>
  <c r="W212" i="5"/>
  <c r="X212" i="5"/>
  <c r="Y212" i="5"/>
  <c r="AC212" i="5"/>
  <c r="CB212" i="1"/>
  <c r="S212" i="1"/>
  <c r="CC212" i="1"/>
  <c r="AQ212" i="1" s="1"/>
  <c r="BS212" i="1" s="1"/>
  <c r="BC212" i="1"/>
  <c r="CE212" i="1"/>
  <c r="BJ212" i="1"/>
  <c r="CH212" i="1"/>
  <c r="CJ212" i="1"/>
  <c r="BE212" i="1"/>
  <c r="BI212" i="1"/>
  <c r="BL212" i="1" s="1"/>
  <c r="BO212" i="1"/>
  <c r="BQ212" i="1" s="1"/>
  <c r="BN212" i="1" s="1"/>
  <c r="AX212" i="1"/>
  <c r="CF212" i="1"/>
  <c r="N212" i="1"/>
  <c r="CG212" i="1"/>
  <c r="O212" i="1"/>
  <c r="CI212" i="1"/>
  <c r="BD212" i="1"/>
  <c r="J212" i="1"/>
  <c r="AZ212" i="1" s="1"/>
  <c r="K212" i="1"/>
  <c r="AP212" i="1"/>
  <c r="AB212" i="5" s="1"/>
  <c r="BH212" i="1"/>
  <c r="X237" i="1"/>
  <c r="AD237" i="1"/>
  <c r="X226" i="1"/>
  <c r="W224" i="5"/>
  <c r="X224" i="5"/>
  <c r="Y224" i="5"/>
  <c r="AC224" i="5"/>
  <c r="BJ224" i="1"/>
  <c r="CH224" i="1"/>
  <c r="CI224" i="1"/>
  <c r="BO224" i="1"/>
  <c r="BQ224" i="1" s="1"/>
  <c r="BN224" i="1" s="1"/>
  <c r="CJ224" i="1"/>
  <c r="AX224" i="1"/>
  <c r="CB224" i="1"/>
  <c r="CC224" i="1"/>
  <c r="AQ224" i="1" s="1"/>
  <c r="BS224" i="1" s="1"/>
  <c r="CE224" i="1"/>
  <c r="CF224" i="1"/>
  <c r="BD224" i="1"/>
  <c r="S224" i="1"/>
  <c r="BI224" i="1"/>
  <c r="BL224" i="1" s="1"/>
  <c r="BC224" i="1"/>
  <c r="CG224" i="1"/>
  <c r="K224" i="1"/>
  <c r="AP224" i="1"/>
  <c r="AB224" i="5" s="1"/>
  <c r="BE224" i="1"/>
  <c r="BH224" i="1"/>
  <c r="J224" i="1"/>
  <c r="AZ224" i="1" s="1"/>
  <c r="W228" i="5"/>
  <c r="X228" i="5"/>
  <c r="Y228" i="5"/>
  <c r="AC228" i="5"/>
  <c r="AZ228" i="1"/>
  <c r="CB228" i="1"/>
  <c r="S228" i="1"/>
  <c r="CC228" i="1"/>
  <c r="AQ228" i="1" s="1"/>
  <c r="BS228" i="1" s="1"/>
  <c r="CE228" i="1"/>
  <c r="BJ228" i="1"/>
  <c r="CH228" i="1"/>
  <c r="CJ228" i="1"/>
  <c r="BC228" i="1"/>
  <c r="BI228" i="1"/>
  <c r="BL228" i="1" s="1"/>
  <c r="AI228" i="1"/>
  <c r="BO228" i="1"/>
  <c r="BQ228" i="1" s="1"/>
  <c r="BN228" i="1" s="1"/>
  <c r="CG228" i="1"/>
  <c r="CF228" i="1"/>
  <c r="CI228" i="1"/>
  <c r="AX228" i="1"/>
  <c r="BD228" i="1"/>
  <c r="BH228" i="1"/>
  <c r="K228" i="1"/>
  <c r="J228" i="1"/>
  <c r="BE228" i="1"/>
  <c r="AP228" i="1"/>
  <c r="AB228" i="5" s="1"/>
  <c r="AD313" i="1"/>
  <c r="X175" i="5"/>
  <c r="Y175" i="5"/>
  <c r="AC175" i="5"/>
  <c r="W175" i="5"/>
  <c r="J175" i="1"/>
  <c r="BO175" i="1"/>
  <c r="BQ175" i="1" s="1"/>
  <c r="BN175" i="1" s="1"/>
  <c r="CJ175" i="1"/>
  <c r="N175" i="1"/>
  <c r="S175" i="1"/>
  <c r="AZ175" i="1"/>
  <c r="CB175" i="1"/>
  <c r="CG175" i="1"/>
  <c r="BC175" i="1"/>
  <c r="CH175" i="1"/>
  <c r="BI175" i="1"/>
  <c r="BL175" i="1" s="1"/>
  <c r="CI175" i="1"/>
  <c r="O175" i="1"/>
  <c r="BJ175" i="1"/>
  <c r="CE175" i="1"/>
  <c r="AX175" i="1"/>
  <c r="CF175" i="1"/>
  <c r="CC175" i="1"/>
  <c r="AQ175" i="1" s="1"/>
  <c r="BS175" i="1" s="1"/>
  <c r="AP175" i="1"/>
  <c r="AB175" i="5" s="1"/>
  <c r="K175" i="1"/>
  <c r="BE175" i="1"/>
  <c r="BD175" i="1"/>
  <c r="BH175" i="1"/>
  <c r="W213" i="5"/>
  <c r="X213" i="5"/>
  <c r="Y213" i="5"/>
  <c r="AC213" i="5"/>
  <c r="S213" i="1"/>
  <c r="BC213" i="1"/>
  <c r="CF213" i="1"/>
  <c r="BI213" i="1"/>
  <c r="BL213" i="1" s="1"/>
  <c r="CG213" i="1"/>
  <c r="BJ213" i="1"/>
  <c r="CH213" i="1"/>
  <c r="CI213" i="1"/>
  <c r="CJ213" i="1"/>
  <c r="N213" i="1"/>
  <c r="O213" i="1"/>
  <c r="BO213" i="1"/>
  <c r="BQ213" i="1" s="1"/>
  <c r="BN213" i="1" s="1"/>
  <c r="CB213" i="1"/>
  <c r="CC213" i="1"/>
  <c r="AQ213" i="1" s="1"/>
  <c r="BS213" i="1" s="1"/>
  <c r="AX213" i="1"/>
  <c r="CE213" i="1"/>
  <c r="BH213" i="1"/>
  <c r="K213" i="1"/>
  <c r="AP213" i="1"/>
  <c r="AB213" i="5" s="1"/>
  <c r="J213" i="1"/>
  <c r="AZ213" i="1" s="1"/>
  <c r="AD342" i="1"/>
  <c r="X340" i="1"/>
  <c r="AD340" i="1"/>
  <c r="AD337" i="1"/>
  <c r="AU197" i="3"/>
  <c r="AD336" i="1"/>
  <c r="AD335" i="1"/>
  <c r="X334" i="1"/>
  <c r="AD334" i="1"/>
  <c r="X222" i="1"/>
  <c r="W223" i="5"/>
  <c r="X223" i="5"/>
  <c r="Y223" i="5"/>
  <c r="AC223" i="5"/>
  <c r="AZ223" i="1"/>
  <c r="CB223" i="1"/>
  <c r="CC223" i="1"/>
  <c r="AQ223" i="1" s="1"/>
  <c r="BS223" i="1" s="1"/>
  <c r="S223" i="1"/>
  <c r="CE223" i="1"/>
  <c r="BJ223" i="1"/>
  <c r="CH223" i="1"/>
  <c r="AX223" i="1"/>
  <c r="CF223" i="1"/>
  <c r="CG223" i="1"/>
  <c r="N223" i="1"/>
  <c r="CI223" i="1"/>
  <c r="O223" i="1"/>
  <c r="CJ223" i="1"/>
  <c r="BI223" i="1"/>
  <c r="BL223" i="1" s="1"/>
  <c r="BO223" i="1"/>
  <c r="BQ223" i="1" s="1"/>
  <c r="BN223" i="1" s="1"/>
  <c r="BC223" i="1"/>
  <c r="AP223" i="1"/>
  <c r="AB223" i="5" s="1"/>
  <c r="BD223" i="1"/>
  <c r="K223" i="1"/>
  <c r="BE223" i="1"/>
  <c r="J223" i="1"/>
  <c r="BH223" i="1"/>
  <c r="BG219" i="3"/>
  <c r="E224" i="5" s="1"/>
  <c r="U256" i="3"/>
  <c r="AY256" i="3" s="1"/>
  <c r="X226" i="5"/>
  <c r="Y226" i="5"/>
  <c r="AC226" i="5"/>
  <c r="W226" i="5"/>
  <c r="AI226" i="1"/>
  <c r="BI226" i="1"/>
  <c r="BL226" i="1" s="1"/>
  <c r="CG226" i="1"/>
  <c r="BJ226" i="1"/>
  <c r="CH226" i="1"/>
  <c r="CI226" i="1"/>
  <c r="J226" i="1"/>
  <c r="AZ226" i="1" s="1"/>
  <c r="AX226" i="1"/>
  <c r="CB226" i="1"/>
  <c r="CC226" i="1"/>
  <c r="AQ226" i="1" s="1"/>
  <c r="BS226" i="1" s="1"/>
  <c r="CE226" i="1"/>
  <c r="S226" i="1"/>
  <c r="CF226" i="1"/>
  <c r="BC226" i="1"/>
  <c r="CJ226" i="1"/>
  <c r="BD226" i="1"/>
  <c r="BO226" i="1"/>
  <c r="BQ226" i="1" s="1"/>
  <c r="BN226" i="1" s="1"/>
  <c r="BH226" i="1"/>
  <c r="BE226" i="1"/>
  <c r="AP226" i="1"/>
  <c r="AB226" i="5" s="1"/>
  <c r="K226" i="1"/>
  <c r="AC229" i="5"/>
  <c r="W229" i="5"/>
  <c r="X229" i="5"/>
  <c r="Y229" i="5"/>
  <c r="BC229" i="1"/>
  <c r="BI229" i="1"/>
  <c r="BL229" i="1" s="1"/>
  <c r="CG229" i="1"/>
  <c r="BO229" i="1"/>
  <c r="BQ229" i="1" s="1"/>
  <c r="BN229" i="1" s="1"/>
  <c r="CJ229" i="1"/>
  <c r="CC229" i="1"/>
  <c r="AQ229" i="1" s="1"/>
  <c r="BS229" i="1" s="1"/>
  <c r="AZ229" i="1"/>
  <c r="CE229" i="1"/>
  <c r="J229" i="1"/>
  <c r="CF229" i="1"/>
  <c r="CH229" i="1"/>
  <c r="S229" i="1"/>
  <c r="CI229" i="1"/>
  <c r="BJ229" i="1"/>
  <c r="CB229" i="1"/>
  <c r="AX229" i="1"/>
  <c r="K229" i="1"/>
  <c r="AI229" i="1"/>
  <c r="BE229" i="1"/>
  <c r="BD229" i="1"/>
  <c r="BH229" i="1"/>
  <c r="AP229" i="1"/>
  <c r="AB229" i="5" s="1"/>
  <c r="W174" i="5"/>
  <c r="X174" i="5"/>
  <c r="Y174" i="5"/>
  <c r="AC174" i="5"/>
  <c r="AX174" i="1"/>
  <c r="CE174" i="1"/>
  <c r="CB174" i="1"/>
  <c r="CC174" i="1"/>
  <c r="AQ174" i="1" s="1"/>
  <c r="BS174" i="1" s="1"/>
  <c r="BI174" i="1"/>
  <c r="BL174" i="1" s="1"/>
  <c r="CH174" i="1"/>
  <c r="AI174" i="1"/>
  <c r="BO174" i="1"/>
  <c r="BQ174" i="1" s="1"/>
  <c r="BN174" i="1" s="1"/>
  <c r="CF174" i="1"/>
  <c r="CG174" i="1"/>
  <c r="BC174" i="1"/>
  <c r="CJ174" i="1"/>
  <c r="BH174" i="1"/>
  <c r="S174" i="1"/>
  <c r="BJ174" i="1"/>
  <c r="CI174" i="1"/>
  <c r="BE174" i="1"/>
  <c r="AP174" i="1"/>
  <c r="AB174" i="5" s="1"/>
  <c r="K174" i="1"/>
  <c r="BD174" i="1"/>
  <c r="J174" i="1"/>
  <c r="AZ174" i="1" s="1"/>
  <c r="W210" i="5"/>
  <c r="X210" i="5"/>
  <c r="Y210" i="5"/>
  <c r="AC210" i="5"/>
  <c r="N210" i="1"/>
  <c r="AX210" i="1"/>
  <c r="O210" i="1"/>
  <c r="CB210" i="1"/>
  <c r="BC210" i="1"/>
  <c r="CF210" i="1"/>
  <c r="CC210" i="1"/>
  <c r="AQ210" i="1" s="1"/>
  <c r="BS210" i="1" s="1"/>
  <c r="CE210" i="1"/>
  <c r="CG210" i="1"/>
  <c r="CH210" i="1"/>
  <c r="BI210" i="1"/>
  <c r="BL210" i="1" s="1"/>
  <c r="CI210" i="1"/>
  <c r="BJ210" i="1"/>
  <c r="CJ210" i="1"/>
  <c r="BO210" i="1"/>
  <c r="BQ210" i="1" s="1"/>
  <c r="BN210" i="1" s="1"/>
  <c r="S210" i="1"/>
  <c r="J210" i="1"/>
  <c r="AZ210" i="1" s="1"/>
  <c r="BH210" i="1"/>
  <c r="K210" i="1"/>
  <c r="AP210" i="1"/>
  <c r="AB210" i="5" s="1"/>
  <c r="AD345" i="1"/>
  <c r="AD338" i="1"/>
  <c r="AD311" i="1"/>
  <c r="W176" i="5"/>
  <c r="X176" i="5"/>
  <c r="Y176" i="5"/>
  <c r="AC176" i="5"/>
  <c r="AX176" i="1"/>
  <c r="CC176" i="1"/>
  <c r="AQ176" i="1" s="1"/>
  <c r="BS176" i="1" s="1"/>
  <c r="O176" i="1"/>
  <c r="CE176" i="1"/>
  <c r="N176" i="1"/>
  <c r="CF176" i="1"/>
  <c r="BC176" i="1"/>
  <c r="CG176" i="1"/>
  <c r="CH176" i="1"/>
  <c r="BI176" i="1"/>
  <c r="BL176" i="1" s="1"/>
  <c r="CI176" i="1"/>
  <c r="AI176" i="1"/>
  <c r="BJ176" i="1"/>
  <c r="CJ176" i="1"/>
  <c r="BO176" i="1"/>
  <c r="BQ176" i="1" s="1"/>
  <c r="BN176" i="1" s="1"/>
  <c r="CB176" i="1"/>
  <c r="K176" i="1"/>
  <c r="BE176" i="1"/>
  <c r="AP176" i="1"/>
  <c r="AB176" i="5" s="1"/>
  <c r="BD176" i="1"/>
  <c r="J176" i="1"/>
  <c r="BH176" i="1"/>
  <c r="W214" i="5"/>
  <c r="X214" i="5"/>
  <c r="Y214" i="5"/>
  <c r="AC214" i="5"/>
  <c r="BI214" i="1"/>
  <c r="BL214" i="1" s="1"/>
  <c r="CG214" i="1"/>
  <c r="BJ214" i="1"/>
  <c r="CH214" i="1"/>
  <c r="CI214" i="1"/>
  <c r="AX214" i="1"/>
  <c r="CB214" i="1"/>
  <c r="N214" i="1"/>
  <c r="CC214" i="1"/>
  <c r="O214" i="1"/>
  <c r="CE214" i="1"/>
  <c r="CF214" i="1"/>
  <c r="S214" i="1"/>
  <c r="BC214" i="1"/>
  <c r="CJ214" i="1"/>
  <c r="BO214" i="1"/>
  <c r="BQ214" i="1" s="1"/>
  <c r="BN214" i="1" s="1"/>
  <c r="BH214" i="1"/>
  <c r="J214" i="1"/>
  <c r="AZ214" i="1" s="1"/>
  <c r="AP214" i="1"/>
  <c r="AB214" i="5" s="1"/>
  <c r="K214" i="1"/>
  <c r="BE214" i="1"/>
  <c r="BD214" i="1"/>
  <c r="AD341" i="1"/>
  <c r="AD333" i="1"/>
  <c r="AD328" i="1"/>
  <c r="AD310" i="1"/>
  <c r="AZ302" i="3"/>
  <c r="X290" i="1"/>
  <c r="W177" i="5"/>
  <c r="X177" i="5"/>
  <c r="Y177" i="5"/>
  <c r="AC177" i="5"/>
  <c r="AX177" i="1"/>
  <c r="O177" i="1"/>
  <c r="CC177" i="1"/>
  <c r="AQ177" i="1" s="1"/>
  <c r="BS177" i="1" s="1"/>
  <c r="BI177" i="1"/>
  <c r="BL177" i="1" s="1"/>
  <c r="CG177" i="1"/>
  <c r="N177" i="1"/>
  <c r="CH177" i="1"/>
  <c r="BC177" i="1"/>
  <c r="CI177" i="1"/>
  <c r="BJ177" i="1"/>
  <c r="CJ177" i="1"/>
  <c r="CB177" i="1"/>
  <c r="CE177" i="1"/>
  <c r="CF177" i="1"/>
  <c r="BO177" i="1"/>
  <c r="BQ177" i="1" s="1"/>
  <c r="BN177" i="1" s="1"/>
  <c r="AI177" i="1"/>
  <c r="AP177" i="1"/>
  <c r="AB177" i="5" s="1"/>
  <c r="BE177" i="1"/>
  <c r="J177" i="1"/>
  <c r="AZ177" i="1" s="1"/>
  <c r="BH177" i="1"/>
  <c r="K177" i="1"/>
  <c r="BD177" i="1"/>
  <c r="W215" i="5"/>
  <c r="X215" i="5"/>
  <c r="Y215" i="5"/>
  <c r="AC215" i="5"/>
  <c r="CI215" i="1"/>
  <c r="BO215" i="1"/>
  <c r="BQ215" i="1" s="1"/>
  <c r="BN215" i="1" s="1"/>
  <c r="CJ215" i="1"/>
  <c r="AX215" i="1"/>
  <c r="S215" i="1"/>
  <c r="BI215" i="1"/>
  <c r="BL215" i="1" s="1"/>
  <c r="CH215" i="1"/>
  <c r="BJ215" i="1"/>
  <c r="CB215" i="1"/>
  <c r="N215" i="1"/>
  <c r="CE215" i="1"/>
  <c r="O215" i="1"/>
  <c r="CF215" i="1"/>
  <c r="BC215" i="1"/>
  <c r="CG215" i="1"/>
  <c r="CC215" i="1"/>
  <c r="AQ215" i="1" s="1"/>
  <c r="BH215" i="1"/>
  <c r="J215" i="1"/>
  <c r="AZ215" i="1" s="1"/>
  <c r="K215" i="1"/>
  <c r="AP215" i="1"/>
  <c r="AB215" i="5" s="1"/>
  <c r="X332" i="1"/>
  <c r="AD332" i="1"/>
  <c r="AD331" i="1"/>
  <c r="AD330" i="1"/>
  <c r="AD327" i="1"/>
  <c r="AD285" i="1"/>
  <c r="AD284" i="1"/>
  <c r="AD278" i="1"/>
  <c r="AD243" i="1"/>
  <c r="BB231" i="3"/>
  <c r="BQ264" i="3"/>
  <c r="W205" i="3"/>
  <c r="BI205" i="3" s="1"/>
  <c r="Y324" i="5"/>
  <c r="W324" i="5"/>
  <c r="X324" i="5"/>
  <c r="AC324" i="5"/>
  <c r="S324" i="1"/>
  <c r="CC324" i="1"/>
  <c r="AQ324" i="1" s="1"/>
  <c r="BS324" i="1" s="1"/>
  <c r="BC324" i="1"/>
  <c r="CE324" i="1"/>
  <c r="CG324" i="1"/>
  <c r="BO324" i="1"/>
  <c r="BQ324" i="1" s="1"/>
  <c r="BN324" i="1" s="1"/>
  <c r="AX324" i="1"/>
  <c r="BI324" i="1"/>
  <c r="BL324" i="1" s="1"/>
  <c r="N324" i="1"/>
  <c r="CF324" i="1"/>
  <c r="O324" i="1"/>
  <c r="AZ324" i="1"/>
  <c r="CB324" i="1"/>
  <c r="CI324" i="1"/>
  <c r="CH324" i="1"/>
  <c r="BJ324" i="1"/>
  <c r="CJ324" i="1"/>
  <c r="BE324" i="1"/>
  <c r="BH324" i="1"/>
  <c r="J324" i="1"/>
  <c r="AP324" i="1"/>
  <c r="AB324" i="5" s="1"/>
  <c r="K324" i="1"/>
  <c r="BD324" i="1"/>
  <c r="W222" i="5"/>
  <c r="X222" i="5"/>
  <c r="Y222" i="5"/>
  <c r="AC222" i="5"/>
  <c r="AZ222" i="1"/>
  <c r="CB222" i="1"/>
  <c r="S222" i="1"/>
  <c r="CC222" i="1"/>
  <c r="AQ222" i="1" s="1"/>
  <c r="BS222" i="1" s="1"/>
  <c r="CE222" i="1"/>
  <c r="BJ222" i="1"/>
  <c r="CH222" i="1"/>
  <c r="AX222" i="1"/>
  <c r="CF222" i="1"/>
  <c r="CG222" i="1"/>
  <c r="N222" i="1"/>
  <c r="CI222" i="1"/>
  <c r="O222" i="1"/>
  <c r="CJ222" i="1"/>
  <c r="BC222" i="1"/>
  <c r="BI222" i="1"/>
  <c r="BL222" i="1" s="1"/>
  <c r="AI222" i="1"/>
  <c r="BO222" i="1"/>
  <c r="BQ222" i="1" s="1"/>
  <c r="BN222" i="1" s="1"/>
  <c r="K222" i="1"/>
  <c r="AP222" i="1"/>
  <c r="AB222" i="5" s="1"/>
  <c r="J222" i="1"/>
  <c r="BH222" i="1"/>
  <c r="AS224" i="3"/>
  <c r="BH224" i="3" s="1"/>
  <c r="BI224" i="3" s="1"/>
  <c r="W227" i="5"/>
  <c r="X227" i="5"/>
  <c r="Y227" i="5"/>
  <c r="AC227" i="5"/>
  <c r="AX227" i="1"/>
  <c r="CE227" i="1"/>
  <c r="AZ227" i="1"/>
  <c r="CB227" i="1"/>
  <c r="CC227" i="1"/>
  <c r="AQ227" i="1" s="1"/>
  <c r="BS227" i="1" s="1"/>
  <c r="CF227" i="1"/>
  <c r="BI227" i="1"/>
  <c r="BL227" i="1" s="1"/>
  <c r="CH227" i="1"/>
  <c r="CJ227" i="1"/>
  <c r="S227" i="1"/>
  <c r="BO227" i="1"/>
  <c r="BQ227" i="1" s="1"/>
  <c r="BN227" i="1" s="1"/>
  <c r="CG227" i="1"/>
  <c r="CI227" i="1"/>
  <c r="BC227" i="1"/>
  <c r="BJ227" i="1"/>
  <c r="BE227" i="1"/>
  <c r="BH227" i="1"/>
  <c r="K227" i="1"/>
  <c r="BD227" i="1"/>
  <c r="AP227" i="1"/>
  <c r="AB227" i="5" s="1"/>
  <c r="J227" i="1"/>
  <c r="BQ224" i="3"/>
  <c r="AD319" i="1"/>
  <c r="F308" i="5"/>
  <c r="E308" i="5"/>
  <c r="X292" i="1"/>
  <c r="X291" i="1"/>
  <c r="BJ201" i="3"/>
  <c r="AD305" i="1"/>
  <c r="AD304" i="1"/>
  <c r="AD302" i="1"/>
  <c r="AD279" i="1"/>
  <c r="AZ248" i="3"/>
  <c r="BG278" i="3"/>
  <c r="E223" i="5" s="1"/>
  <c r="BP218" i="3" a="1"/>
  <c r="BP218" i="3" s="1"/>
  <c r="BT218" i="3" s="1"/>
  <c r="W225" i="5"/>
  <c r="X225" i="5"/>
  <c r="Y225" i="5"/>
  <c r="AC225" i="5"/>
  <c r="BI225" i="1"/>
  <c r="BL225" i="1" s="1"/>
  <c r="CG225" i="1"/>
  <c r="BJ225" i="1"/>
  <c r="CH225" i="1"/>
  <c r="CI225" i="1"/>
  <c r="CF225" i="1"/>
  <c r="BC225" i="1"/>
  <c r="CJ225" i="1"/>
  <c r="BH225" i="1"/>
  <c r="AI225" i="1"/>
  <c r="BO225" i="1"/>
  <c r="BQ225" i="1" s="1"/>
  <c r="BN225" i="1" s="1"/>
  <c r="CC225" i="1"/>
  <c r="AQ225" i="1" s="1"/>
  <c r="BS225" i="1" s="1"/>
  <c r="S225" i="1"/>
  <c r="CB225" i="1"/>
  <c r="CE225" i="1"/>
  <c r="AX225" i="1"/>
  <c r="K225" i="1"/>
  <c r="AP225" i="1"/>
  <c r="AB225" i="5" s="1"/>
  <c r="J225" i="1"/>
  <c r="AZ225" i="1" s="1"/>
  <c r="BB226" i="3"/>
  <c r="AC211" i="5"/>
  <c r="W211" i="5"/>
  <c r="X211" i="5"/>
  <c r="Y211" i="5"/>
  <c r="O211" i="1"/>
  <c r="CB211" i="1"/>
  <c r="CC211" i="1"/>
  <c r="AQ211" i="1" s="1"/>
  <c r="BS211" i="1" s="1"/>
  <c r="S211" i="1"/>
  <c r="CE211" i="1"/>
  <c r="BJ211" i="1"/>
  <c r="CH211" i="1"/>
  <c r="BO211" i="1"/>
  <c r="BQ211" i="1" s="1"/>
  <c r="BN211" i="1" s="1"/>
  <c r="CF211" i="1"/>
  <c r="AX211" i="1"/>
  <c r="CG211" i="1"/>
  <c r="CI211" i="1"/>
  <c r="N211" i="1"/>
  <c r="BC211" i="1"/>
  <c r="BI211" i="1"/>
  <c r="BL211" i="1" s="1"/>
  <c r="CJ211" i="1"/>
  <c r="BD211" i="1"/>
  <c r="AP211" i="1"/>
  <c r="AB211" i="5" s="1"/>
  <c r="J211" i="1"/>
  <c r="AZ211" i="1" s="1"/>
  <c r="BH211" i="1"/>
  <c r="BE211" i="1"/>
  <c r="K211" i="1"/>
  <c r="AD339" i="1"/>
  <c r="X178" i="5"/>
  <c r="AC178" i="5"/>
  <c r="W178" i="5"/>
  <c r="Y178" i="5"/>
  <c r="O178" i="1"/>
  <c r="CC178" i="1"/>
  <c r="AQ178" i="1" s="1"/>
  <c r="BS178" i="1" s="1"/>
  <c r="S178" i="1"/>
  <c r="CF178" i="1"/>
  <c r="AI178" i="1"/>
  <c r="BJ178" i="1"/>
  <c r="CI178" i="1"/>
  <c r="CB178" i="1"/>
  <c r="CE178" i="1"/>
  <c r="AX178" i="1"/>
  <c r="CG178" i="1"/>
  <c r="N178" i="1"/>
  <c r="BC178" i="1"/>
  <c r="BI178" i="1"/>
  <c r="BL178" i="1" s="1"/>
  <c r="BO178" i="1"/>
  <c r="BQ178" i="1" s="1"/>
  <c r="BN178" i="1" s="1"/>
  <c r="CH178" i="1"/>
  <c r="CJ178" i="1"/>
  <c r="AP178" i="1"/>
  <c r="AB178" i="5" s="1"/>
  <c r="K178" i="1"/>
  <c r="J178" i="1"/>
  <c r="AZ178" i="1" s="1"/>
  <c r="BH178" i="1"/>
  <c r="AD326" i="1"/>
  <c r="X325" i="1"/>
  <c r="AD325" i="1"/>
  <c r="W179" i="5"/>
  <c r="X179" i="5"/>
  <c r="Y179" i="5"/>
  <c r="AC179" i="5"/>
  <c r="S179" i="1"/>
  <c r="BC179" i="1"/>
  <c r="CC179" i="1"/>
  <c r="BI179" i="1"/>
  <c r="BL179" i="1" s="1"/>
  <c r="CG179" i="1"/>
  <c r="BH179" i="1"/>
  <c r="CI179" i="1"/>
  <c r="BJ179" i="1"/>
  <c r="CJ179" i="1"/>
  <c r="CE179" i="1"/>
  <c r="N179" i="1"/>
  <c r="AZ179" i="1"/>
  <c r="CF179" i="1"/>
  <c r="O179" i="1"/>
  <c r="CH179" i="1"/>
  <c r="BE179" i="1"/>
  <c r="BO179" i="1"/>
  <c r="BQ179" i="1" s="1"/>
  <c r="BN179" i="1" s="1"/>
  <c r="AX179" i="1"/>
  <c r="CB179" i="1"/>
  <c r="AP179" i="1"/>
  <c r="AB179" i="5" s="1"/>
  <c r="J179" i="1"/>
  <c r="K179" i="1"/>
  <c r="BD179" i="1"/>
  <c r="W216" i="5"/>
  <c r="AC216" i="5"/>
  <c r="X216" i="5"/>
  <c r="Y216" i="5"/>
  <c r="AX216" i="1"/>
  <c r="S216" i="1"/>
  <c r="CE216" i="1"/>
  <c r="CC216" i="1"/>
  <c r="AQ216" i="1" s="1"/>
  <c r="CF216" i="1"/>
  <c r="BC216" i="1"/>
  <c r="CG216" i="1"/>
  <c r="BI216" i="1"/>
  <c r="BL216" i="1" s="1"/>
  <c r="CH216" i="1"/>
  <c r="BJ216" i="1"/>
  <c r="CI216" i="1"/>
  <c r="CJ216" i="1"/>
  <c r="BO216" i="1"/>
  <c r="BQ216" i="1" s="1"/>
  <c r="BN216" i="1" s="1"/>
  <c r="AZ216" i="1"/>
  <c r="CB216" i="1"/>
  <c r="K216" i="1"/>
  <c r="BH216" i="1"/>
  <c r="AP216" i="1"/>
  <c r="AB216" i="5" s="1"/>
  <c r="BD216" i="1"/>
  <c r="BE216" i="1"/>
  <c r="J216" i="1"/>
  <c r="X303" i="1"/>
  <c r="X301" i="1"/>
  <c r="AD301" i="1"/>
  <c r="AD254" i="1"/>
  <c r="X250" i="1"/>
  <c r="AD250" i="1"/>
  <c r="Y309" i="5"/>
  <c r="W309" i="5"/>
  <c r="X309" i="5"/>
  <c r="AC309" i="5"/>
  <c r="AZ309" i="1"/>
  <c r="CB309" i="1"/>
  <c r="S309" i="1"/>
  <c r="CC309" i="1"/>
  <c r="AQ309" i="1" s="1"/>
  <c r="BS309" i="1" s="1"/>
  <c r="AI309" i="1"/>
  <c r="BI309" i="1"/>
  <c r="BL309" i="1" s="1"/>
  <c r="CG309" i="1"/>
  <c r="CH309" i="1"/>
  <c r="CI309" i="1"/>
  <c r="BC309" i="1"/>
  <c r="CJ309" i="1"/>
  <c r="BO309" i="1"/>
  <c r="BQ309" i="1" s="1"/>
  <c r="BN309" i="1" s="1"/>
  <c r="CF309" i="1"/>
  <c r="BJ309" i="1"/>
  <c r="AX309" i="1"/>
  <c r="CE309" i="1"/>
  <c r="BD309" i="1"/>
  <c r="BH309" i="1"/>
  <c r="BE309" i="1"/>
  <c r="J309" i="1"/>
  <c r="AP309" i="1"/>
  <c r="AB309" i="5" s="1"/>
  <c r="K309" i="1"/>
  <c r="X299" i="1"/>
  <c r="X274" i="1"/>
  <c r="X272" i="1"/>
  <c r="AD255" i="1"/>
  <c r="X249" i="1"/>
  <c r="AD249" i="1"/>
  <c r="X236" i="1"/>
  <c r="BF181" i="3"/>
  <c r="X181" i="5"/>
  <c r="AC181" i="5"/>
  <c r="W181" i="5"/>
  <c r="Y181" i="5"/>
  <c r="AZ181" i="1"/>
  <c r="CB181" i="1"/>
  <c r="CE181" i="1"/>
  <c r="BJ181" i="1"/>
  <c r="CH181" i="1"/>
  <c r="BC181" i="1"/>
  <c r="CJ181" i="1"/>
  <c r="BI181" i="1"/>
  <c r="BL181" i="1" s="1"/>
  <c r="AI181" i="1"/>
  <c r="CC181" i="1"/>
  <c r="AQ181" i="1" s="1"/>
  <c r="BS181" i="1" s="1"/>
  <c r="CF181" i="1"/>
  <c r="AX181" i="1"/>
  <c r="CG181" i="1"/>
  <c r="N181" i="1"/>
  <c r="CI181" i="1"/>
  <c r="O181" i="1"/>
  <c r="S181" i="1"/>
  <c r="BO181" i="1"/>
  <c r="BQ181" i="1" s="1"/>
  <c r="BN181" i="1" s="1"/>
  <c r="K181" i="1"/>
  <c r="BD181" i="1"/>
  <c r="AP181" i="1"/>
  <c r="AB181" i="5" s="1"/>
  <c r="J181" i="1"/>
  <c r="BH181" i="1"/>
  <c r="BE181" i="1"/>
  <c r="X321" i="1"/>
  <c r="AD321" i="1"/>
  <c r="X298" i="1"/>
  <c r="X271" i="1"/>
  <c r="AD265" i="1"/>
  <c r="BF205" i="3"/>
  <c r="BO205" i="3" s="1"/>
  <c r="W218" i="5"/>
  <c r="X218" i="5"/>
  <c r="Y218" i="5"/>
  <c r="AC218" i="5"/>
  <c r="S218" i="1"/>
  <c r="CB218" i="1"/>
  <c r="AI218" i="1"/>
  <c r="CF218" i="1"/>
  <c r="BJ218" i="1"/>
  <c r="CJ218" i="1"/>
  <c r="BO218" i="1"/>
  <c r="BQ218" i="1" s="1"/>
  <c r="BN218" i="1" s="1"/>
  <c r="AX218" i="1"/>
  <c r="CC218" i="1"/>
  <c r="AQ218" i="1" s="1"/>
  <c r="BS218" i="1" s="1"/>
  <c r="J218" i="1"/>
  <c r="AZ218" i="1" s="1"/>
  <c r="BC218" i="1"/>
  <c r="CG218" i="1"/>
  <c r="BD218" i="1"/>
  <c r="CH218" i="1"/>
  <c r="BI218" i="1"/>
  <c r="BL218" i="1" s="1"/>
  <c r="CI218" i="1"/>
  <c r="CE218" i="1"/>
  <c r="AP218" i="1"/>
  <c r="AB218" i="5" s="1"/>
  <c r="BE218" i="1"/>
  <c r="K218" i="1"/>
  <c r="BH218" i="1"/>
  <c r="BQ319" i="3"/>
  <c r="BF226" i="3"/>
  <c r="X318" i="1"/>
  <c r="AD318" i="1"/>
  <c r="X314" i="1"/>
  <c r="AD314" i="1"/>
  <c r="W180" i="5"/>
  <c r="X180" i="5"/>
  <c r="Y180" i="5"/>
  <c r="AC180" i="5"/>
  <c r="O180" i="1"/>
  <c r="S180" i="1"/>
  <c r="CC180" i="1"/>
  <c r="AI180" i="1"/>
  <c r="BI180" i="1"/>
  <c r="BL180" i="1" s="1"/>
  <c r="CG180" i="1"/>
  <c r="AX180" i="1"/>
  <c r="CB180" i="1"/>
  <c r="AZ180" i="1"/>
  <c r="CE180" i="1"/>
  <c r="BC180" i="1"/>
  <c r="CI180" i="1"/>
  <c r="CH180" i="1"/>
  <c r="CJ180" i="1"/>
  <c r="BJ180" i="1"/>
  <c r="BZ180" i="1" s="1"/>
  <c r="N180" i="1"/>
  <c r="BO180" i="1"/>
  <c r="BQ180" i="1" s="1"/>
  <c r="BN180" i="1" s="1"/>
  <c r="CF180" i="1"/>
  <c r="BH180" i="1"/>
  <c r="K180" i="1"/>
  <c r="BE180" i="1"/>
  <c r="J180" i="1"/>
  <c r="BD180" i="1"/>
  <c r="AP180" i="1"/>
  <c r="AB180" i="5" s="1"/>
  <c r="W217" i="5"/>
  <c r="X217" i="5"/>
  <c r="Y217" i="5"/>
  <c r="AC217" i="5"/>
  <c r="AZ217" i="1"/>
  <c r="S217" i="1"/>
  <c r="CB217" i="1"/>
  <c r="CC217" i="1"/>
  <c r="AQ217" i="1" s="1"/>
  <c r="BI217" i="1"/>
  <c r="BL217" i="1" s="1"/>
  <c r="CG217" i="1"/>
  <c r="AX217" i="1"/>
  <c r="CE217" i="1"/>
  <c r="CF217" i="1"/>
  <c r="CH217" i="1"/>
  <c r="BC217" i="1"/>
  <c r="CI217" i="1"/>
  <c r="CJ217" i="1"/>
  <c r="BO217" i="1"/>
  <c r="BQ217" i="1" s="1"/>
  <c r="BN217" i="1" s="1"/>
  <c r="BJ217" i="1"/>
  <c r="AP217" i="1"/>
  <c r="AB217" i="5" s="1"/>
  <c r="BD217" i="1"/>
  <c r="BE217" i="1"/>
  <c r="J217" i="1"/>
  <c r="K217" i="1"/>
  <c r="BH217" i="1"/>
  <c r="W182" i="5"/>
  <c r="X182" i="5"/>
  <c r="Y182" i="5"/>
  <c r="AC182" i="5"/>
  <c r="AI182" i="1"/>
  <c r="BI182" i="1"/>
  <c r="BL182" i="1" s="1"/>
  <c r="CG182" i="1"/>
  <c r="BO182" i="1"/>
  <c r="BQ182" i="1" s="1"/>
  <c r="BN182" i="1" s="1"/>
  <c r="AX182" i="1"/>
  <c r="CB182" i="1"/>
  <c r="CC182" i="1"/>
  <c r="AQ182" i="1" s="1"/>
  <c r="BS182" i="1" s="1"/>
  <c r="AZ182" i="1"/>
  <c r="CE182" i="1"/>
  <c r="BC182" i="1"/>
  <c r="CI182" i="1"/>
  <c r="CJ182" i="1"/>
  <c r="BJ182" i="1"/>
  <c r="S182" i="1"/>
  <c r="CF182" i="1"/>
  <c r="CH182" i="1"/>
  <c r="K182" i="1"/>
  <c r="BH182" i="1"/>
  <c r="AP182" i="1"/>
  <c r="AB182" i="5" s="1"/>
  <c r="J182" i="1"/>
  <c r="BB200" i="3"/>
  <c r="X297" i="1"/>
  <c r="D287" i="5"/>
  <c r="E287" i="5"/>
  <c r="BF206" i="3"/>
  <c r="BC206" i="3" s="1"/>
  <c r="W219" i="5"/>
  <c r="X219" i="5"/>
  <c r="Y219" i="5"/>
  <c r="AC219" i="5"/>
  <c r="AX219" i="1"/>
  <c r="CB219" i="1"/>
  <c r="S219" i="1"/>
  <c r="CC219" i="1"/>
  <c r="AQ219" i="1" s="1"/>
  <c r="BS219" i="1" s="1"/>
  <c r="BI219" i="1"/>
  <c r="BL219" i="1" s="1"/>
  <c r="CG219" i="1"/>
  <c r="CH219" i="1"/>
  <c r="CI219" i="1"/>
  <c r="BC219" i="1"/>
  <c r="CJ219" i="1"/>
  <c r="BJ219" i="1"/>
  <c r="BO219" i="1"/>
  <c r="BQ219" i="1" s="1"/>
  <c r="BN219" i="1" s="1"/>
  <c r="AI219" i="1"/>
  <c r="CE219" i="1"/>
  <c r="CF219" i="1"/>
  <c r="J219" i="1"/>
  <c r="AZ219" i="1" s="1"/>
  <c r="BH219" i="1"/>
  <c r="AP219" i="1"/>
  <c r="AB219" i="5" s="1"/>
  <c r="K219" i="1"/>
  <c r="AZ259" i="3"/>
  <c r="X262" i="1"/>
  <c r="X261" i="1"/>
  <c r="AD261" i="1"/>
  <c r="AU319" i="3"/>
  <c r="X259" i="1" s="1"/>
  <c r="BF311" i="3"/>
  <c r="W220" i="5"/>
  <c r="X220" i="5"/>
  <c r="Y220" i="5"/>
  <c r="AC220" i="5"/>
  <c r="S220" i="1"/>
  <c r="AZ220" i="1"/>
  <c r="CB220" i="1"/>
  <c r="CC220" i="1"/>
  <c r="BI220" i="1"/>
  <c r="BL220" i="1" s="1"/>
  <c r="CG220" i="1"/>
  <c r="AX220" i="1"/>
  <c r="CE220" i="1"/>
  <c r="CF220" i="1"/>
  <c r="CH220" i="1"/>
  <c r="BC220" i="1"/>
  <c r="CI220" i="1"/>
  <c r="BD220" i="1"/>
  <c r="CJ220" i="1"/>
  <c r="BO220" i="1"/>
  <c r="BQ220" i="1" s="1"/>
  <c r="BN220" i="1" s="1"/>
  <c r="AI220" i="1"/>
  <c r="BJ220" i="1"/>
  <c r="BE220" i="1"/>
  <c r="BH220" i="1"/>
  <c r="AP220" i="1"/>
  <c r="AB220" i="5" s="1"/>
  <c r="K220" i="1"/>
  <c r="J220" i="1"/>
  <c r="BG309" i="3"/>
  <c r="E309" i="5" s="1"/>
  <c r="W221" i="5"/>
  <c r="Y221" i="5"/>
  <c r="AC221" i="5"/>
  <c r="X221" i="5"/>
  <c r="W266" i="5"/>
  <c r="X266" i="5"/>
  <c r="Y266" i="5"/>
  <c r="AC266" i="5"/>
  <c r="S221" i="1"/>
  <c r="CB221" i="1"/>
  <c r="BC221" i="1"/>
  <c r="CC221" i="1"/>
  <c r="AQ221" i="1" s="1"/>
  <c r="BS221" i="1" s="1"/>
  <c r="BI221" i="1"/>
  <c r="BL221" i="1" s="1"/>
  <c r="CG221" i="1"/>
  <c r="AI221" i="1"/>
  <c r="BH221" i="1"/>
  <c r="CJ221" i="1"/>
  <c r="BJ221" i="1"/>
  <c r="S266" i="1"/>
  <c r="AZ266" i="1"/>
  <c r="BO221" i="1"/>
  <c r="BQ221" i="1" s="1"/>
  <c r="BN221" i="1" s="1"/>
  <c r="CB266" i="1"/>
  <c r="AX221" i="1"/>
  <c r="BH266" i="1"/>
  <c r="CF266" i="1"/>
  <c r="CF221" i="1"/>
  <c r="CH221" i="1"/>
  <c r="CI221" i="1"/>
  <c r="AZ221" i="1"/>
  <c r="CC266" i="1"/>
  <c r="AQ266" i="1" s="1"/>
  <c r="BS266" i="1" s="1"/>
  <c r="CE266" i="1"/>
  <c r="BC266" i="1"/>
  <c r="CG266" i="1"/>
  <c r="AX266" i="1"/>
  <c r="CH266" i="1"/>
  <c r="AI266" i="1"/>
  <c r="CI266" i="1"/>
  <c r="BI266" i="1"/>
  <c r="BL266" i="1" s="1"/>
  <c r="BJ266" i="1"/>
  <c r="CJ266" i="1"/>
  <c r="BO266" i="1"/>
  <c r="BQ266" i="1" s="1"/>
  <c r="BN266" i="1" s="1"/>
  <c r="CE221" i="1"/>
  <c r="BD266" i="1"/>
  <c r="J221" i="1"/>
  <c r="BE221" i="1"/>
  <c r="K266" i="1"/>
  <c r="AP266" i="1"/>
  <c r="AB266" i="5" s="1"/>
  <c r="BE266" i="1"/>
  <c r="K221" i="1"/>
  <c r="J266" i="1"/>
  <c r="AP221" i="1"/>
  <c r="AB221" i="5" s="1"/>
  <c r="BD221" i="1"/>
  <c r="BB259" i="3"/>
  <c r="X260" i="1"/>
  <c r="BJ248" i="3"/>
  <c r="Y300" i="5"/>
  <c r="X300" i="5"/>
  <c r="W300" i="5"/>
  <c r="AC300" i="5"/>
  <c r="AZ300" i="1"/>
  <c r="CB300" i="1"/>
  <c r="S300" i="1"/>
  <c r="CC300" i="1"/>
  <c r="AQ300" i="1" s="1"/>
  <c r="BS300" i="1" s="1"/>
  <c r="CE300" i="1"/>
  <c r="BJ300" i="1"/>
  <c r="CH300" i="1"/>
  <c r="AX300" i="1"/>
  <c r="CF300" i="1"/>
  <c r="CG300" i="1"/>
  <c r="CI300" i="1"/>
  <c r="BC300" i="1"/>
  <c r="CJ300" i="1"/>
  <c r="BI300" i="1"/>
  <c r="BL300" i="1" s="1"/>
  <c r="AI300" i="1"/>
  <c r="BO300" i="1"/>
  <c r="BQ300" i="1" s="1"/>
  <c r="BN300" i="1" s="1"/>
  <c r="BH300" i="1"/>
  <c r="AP300" i="1"/>
  <c r="AB300" i="5" s="1"/>
  <c r="BD300" i="1"/>
  <c r="J300" i="1"/>
  <c r="BE300" i="1"/>
  <c r="K300" i="1"/>
  <c r="AP226" i="3"/>
  <c r="AQ226" i="3" s="1"/>
  <c r="Z228" i="5" s="1"/>
  <c r="Z308" i="5"/>
  <c r="AA308" i="5"/>
  <c r="Z286" i="5"/>
  <c r="AA286" i="5"/>
  <c r="AA285" i="5"/>
  <c r="Z285" i="5"/>
  <c r="AA284" i="5"/>
  <c r="Z284" i="5"/>
  <c r="Z282" i="5"/>
  <c r="AA282" i="5"/>
  <c r="Z278" i="5"/>
  <c r="AA278" i="5"/>
  <c r="Z277" i="5"/>
  <c r="AA277" i="5"/>
  <c r="Z244" i="5"/>
  <c r="AA244" i="5"/>
  <c r="Z243" i="5"/>
  <c r="AA243" i="5"/>
  <c r="Z219" i="5"/>
  <c r="AA219" i="5"/>
  <c r="Z336" i="5"/>
  <c r="AA336" i="5"/>
  <c r="Z341" i="5"/>
  <c r="AA341" i="5"/>
  <c r="Z333" i="5"/>
  <c r="AA333" i="5"/>
  <c r="Z326" i="5"/>
  <c r="AA326" i="5"/>
  <c r="Z307" i="5"/>
  <c r="AA307" i="5"/>
  <c r="Z305" i="5"/>
  <c r="AA305" i="5"/>
  <c r="AA304" i="5"/>
  <c r="O304" i="1" s="1"/>
  <c r="Z304" i="5"/>
  <c r="N304" i="1" s="1"/>
  <c r="Z302" i="5"/>
  <c r="N302" i="1" s="1"/>
  <c r="AA302" i="5"/>
  <c r="O302" i="1" s="1"/>
  <c r="Z283" i="5"/>
  <c r="AA283" i="5"/>
  <c r="Z279" i="5"/>
  <c r="AA279" i="5"/>
  <c r="Z276" i="5"/>
  <c r="AA276" i="5"/>
  <c r="Z232" i="5"/>
  <c r="AA232" i="5"/>
  <c r="Z231" i="5"/>
  <c r="AA231" i="5"/>
  <c r="AA310" i="5"/>
  <c r="Z310" i="5"/>
  <c r="Z337" i="5"/>
  <c r="N337" i="1" s="1"/>
  <c r="AA337" i="5"/>
  <c r="O337" i="1" s="1"/>
  <c r="Z327" i="5"/>
  <c r="AA327" i="5"/>
  <c r="Z332" i="5"/>
  <c r="AA332" i="5"/>
  <c r="AA331" i="5"/>
  <c r="O331" i="1" s="1"/>
  <c r="Z331" i="5"/>
  <c r="N331" i="1" s="1"/>
  <c r="Z330" i="5"/>
  <c r="AA330" i="5"/>
  <c r="Z323" i="5"/>
  <c r="AA323" i="5"/>
  <c r="Z306" i="5"/>
  <c r="AA306" i="5"/>
  <c r="Z303" i="5"/>
  <c r="AA303" i="5"/>
  <c r="Z301" i="5"/>
  <c r="N301" i="1" s="1"/>
  <c r="AA301" i="5"/>
  <c r="O301" i="1" s="1"/>
  <c r="Z252" i="5"/>
  <c r="AA252" i="5"/>
  <c r="AA250" i="5"/>
  <c r="Z250" i="5"/>
  <c r="Z246" i="5"/>
  <c r="AA246" i="5"/>
  <c r="Z245" i="5"/>
  <c r="AA245" i="5"/>
  <c r="Z299" i="5"/>
  <c r="N299" i="1" s="1"/>
  <c r="AA299" i="5"/>
  <c r="O299" i="1" s="1"/>
  <c r="Z272" i="5"/>
  <c r="AA272" i="5"/>
  <c r="Z270" i="5"/>
  <c r="AA270" i="5"/>
  <c r="Z269" i="5"/>
  <c r="AA269" i="5"/>
  <c r="AA256" i="5"/>
  <c r="Z256" i="5"/>
  <c r="Z255" i="5"/>
  <c r="AA255" i="5"/>
  <c r="Z253" i="5"/>
  <c r="AA253" i="5"/>
  <c r="Z249" i="5"/>
  <c r="AA249" i="5"/>
  <c r="Z233" i="5"/>
  <c r="AA233" i="5"/>
  <c r="Z335" i="5"/>
  <c r="AA335" i="5"/>
  <c r="AA298" i="5"/>
  <c r="O298" i="1" s="1"/>
  <c r="Z298" i="5"/>
  <c r="N298" i="1" s="1"/>
  <c r="Z271" i="5"/>
  <c r="AA271" i="5"/>
  <c r="Z268" i="5"/>
  <c r="AA268" i="5"/>
  <c r="Z265" i="5"/>
  <c r="AA265" i="5"/>
  <c r="Z258" i="5"/>
  <c r="AA258" i="5"/>
  <c r="Z234" i="5"/>
  <c r="AA234" i="5"/>
  <c r="Z344" i="5"/>
  <c r="AA344" i="5"/>
  <c r="Z320" i="5"/>
  <c r="Z297" i="5"/>
  <c r="AA297" i="5"/>
  <c r="Z267" i="5"/>
  <c r="AA267" i="5"/>
  <c r="Z263" i="5"/>
  <c r="Z257" i="5"/>
  <c r="AA257" i="5"/>
  <c r="Z287" i="5"/>
  <c r="N287" i="1" s="1"/>
  <c r="AA287" i="5"/>
  <c r="O287" i="1" s="1"/>
  <c r="Z319" i="5"/>
  <c r="AA319" i="5"/>
  <c r="Z317" i="5"/>
  <c r="AA317" i="5"/>
  <c r="Z315" i="5"/>
  <c r="AA315" i="5"/>
  <c r="Z296" i="5"/>
  <c r="N296" i="1" s="1"/>
  <c r="AA296" i="5"/>
  <c r="O296" i="1" s="1"/>
  <c r="Z262" i="5"/>
  <c r="AA262" i="5"/>
  <c r="Z259" i="5"/>
  <c r="AA259" i="5"/>
  <c r="Z342" i="5"/>
  <c r="AA342" i="5"/>
  <c r="Z322" i="5"/>
  <c r="AA322" i="5"/>
  <c r="Z318" i="5"/>
  <c r="AA318" i="5"/>
  <c r="Z316" i="5"/>
  <c r="AA316" i="5"/>
  <c r="Z314" i="5"/>
  <c r="AA314" i="5"/>
  <c r="Z295" i="5"/>
  <c r="AA295" i="5"/>
  <c r="AA293" i="5"/>
  <c r="Z260" i="5"/>
  <c r="AA260" i="5"/>
  <c r="Z238" i="5"/>
  <c r="AA238" i="5"/>
  <c r="Z235" i="5"/>
  <c r="AA235" i="5"/>
  <c r="Z345" i="5"/>
  <c r="AA345" i="5"/>
  <c r="Z241" i="5"/>
  <c r="AA241" i="5"/>
  <c r="Z313" i="5"/>
  <c r="N313" i="1" s="1"/>
  <c r="Z294" i="5"/>
  <c r="AA294" i="5"/>
  <c r="Z291" i="5"/>
  <c r="AA291" i="5"/>
  <c r="Z237" i="5"/>
  <c r="AA237" i="5"/>
  <c r="Z340" i="5"/>
  <c r="AA340" i="5"/>
  <c r="Z290" i="5"/>
  <c r="AA290" i="5"/>
  <c r="Z289" i="5"/>
  <c r="AA289" i="5"/>
  <c r="Z236" i="5"/>
  <c r="AA236" i="5"/>
  <c r="Z338" i="5"/>
  <c r="N338" i="1" s="1"/>
  <c r="AA338" i="5"/>
  <c r="O338" i="1" s="1"/>
  <c r="Z334" i="5"/>
  <c r="N334" i="1" s="1"/>
  <c r="AA334" i="5"/>
  <c r="O334" i="1" s="1"/>
  <c r="Z311" i="5"/>
  <c r="AA311" i="5"/>
  <c r="Z288" i="5"/>
  <c r="AA288" i="5"/>
  <c r="Z240" i="5"/>
  <c r="AA240" i="5"/>
  <c r="Z229" i="5"/>
  <c r="AA229" i="5"/>
  <c r="BT308" i="3"/>
  <c r="AP195" i="3"/>
  <c r="AQ195" i="3" s="1"/>
  <c r="AS195" i="3"/>
  <c r="BH195" i="3" s="1"/>
  <c r="BJ195" i="3"/>
  <c r="BR195" i="3" s="1"/>
  <c r="W195" i="3"/>
  <c r="BQ195" i="3" s="1"/>
  <c r="BF195" i="3"/>
  <c r="BP195" i="3" a="1"/>
  <c r="BP195" i="3" s="1"/>
  <c r="AP194" i="3"/>
  <c r="AQ194" i="3" s="1"/>
  <c r="BF202" i="3"/>
  <c r="BG202" i="3"/>
  <c r="BP202" i="3" a="1"/>
  <c r="BP202" i="3" s="1"/>
  <c r="AX202" i="3"/>
  <c r="AP202" i="3"/>
  <c r="AQ202" i="3" s="1"/>
  <c r="AS202" i="3"/>
  <c r="BH202" i="3" s="1"/>
  <c r="W202" i="3"/>
  <c r="BC202" i="3" s="1"/>
  <c r="BG203" i="3"/>
  <c r="E214" i="5" s="1"/>
  <c r="BP203" i="3" a="1"/>
  <c r="BP203" i="3" s="1"/>
  <c r="AX203" i="3"/>
  <c r="AP203" i="3"/>
  <c r="AQ203" i="3" s="1"/>
  <c r="AS203" i="3"/>
  <c r="BH203" i="3" s="1"/>
  <c r="W203" i="3"/>
  <c r="BQ203" i="3" s="1"/>
  <c r="BF203" i="3"/>
  <c r="BG204" i="3"/>
  <c r="BP204" i="3" a="1"/>
  <c r="BP204" i="3" s="1"/>
  <c r="AP204" i="3"/>
  <c r="AQ204" i="3" s="1"/>
  <c r="AS204" i="3"/>
  <c r="BH204" i="3" s="1"/>
  <c r="AX204" i="3"/>
  <c r="W204" i="3"/>
  <c r="BC204" i="3" s="1"/>
  <c r="BF204" i="3"/>
  <c r="W269" i="3"/>
  <c r="BQ269" i="3" s="1"/>
  <c r="W270" i="3"/>
  <c r="BQ270" i="3" s="1"/>
  <c r="F345" i="5"/>
  <c r="F344" i="5"/>
  <c r="F343" i="5"/>
  <c r="D341" i="5"/>
  <c r="F338" i="5"/>
  <c r="D333" i="5"/>
  <c r="D332" i="5"/>
  <c r="D331" i="5"/>
  <c r="F328" i="5"/>
  <c r="F327" i="5"/>
  <c r="D326" i="5"/>
  <c r="D323" i="5"/>
  <c r="F322" i="5"/>
  <c r="F321" i="5"/>
  <c r="BK200" i="3"/>
  <c r="F320" i="5" s="1"/>
  <c r="D319" i="5"/>
  <c r="F318" i="5"/>
  <c r="F317" i="5"/>
  <c r="F316" i="5"/>
  <c r="F315" i="5"/>
  <c r="F314" i="5"/>
  <c r="F313" i="5"/>
  <c r="F312" i="5"/>
  <c r="D311" i="5"/>
  <c r="D310" i="5"/>
  <c r="BS201" i="3"/>
  <c r="D307" i="5" s="1"/>
  <c r="F306" i="5"/>
  <c r="D305" i="5"/>
  <c r="F304" i="5"/>
  <c r="F303" i="5"/>
  <c r="F302" i="5"/>
  <c r="F301" i="5"/>
  <c r="F299" i="5"/>
  <c r="D298" i="5"/>
  <c r="D297" i="5"/>
  <c r="D296" i="5"/>
  <c r="F294" i="5"/>
  <c r="F292" i="5"/>
  <c r="F291" i="5"/>
  <c r="F290" i="5"/>
  <c r="F289" i="5"/>
  <c r="F288" i="5"/>
  <c r="F286" i="5"/>
  <c r="D282" i="5"/>
  <c r="F281" i="5"/>
  <c r="D280" i="5"/>
  <c r="D279" i="5"/>
  <c r="F278" i="5"/>
  <c r="D275" i="5"/>
  <c r="F274" i="5"/>
  <c r="D271" i="5"/>
  <c r="D270" i="5"/>
  <c r="F269" i="5"/>
  <c r="D268" i="5"/>
  <c r="D267" i="5"/>
  <c r="F264" i="5"/>
  <c r="BS264" i="3"/>
  <c r="D263" i="5" s="1"/>
  <c r="D262" i="5"/>
  <c r="F260" i="5"/>
  <c r="F258" i="5"/>
  <c r="F257" i="5"/>
  <c r="F256" i="5"/>
  <c r="F255" i="5"/>
  <c r="F254" i="5"/>
  <c r="BK326" i="3"/>
  <c r="F253" i="5" s="1"/>
  <c r="BK302" i="3"/>
  <c r="F252" i="5" s="1"/>
  <c r="D248" i="5"/>
  <c r="F242" i="5"/>
  <c r="BS256" i="3"/>
  <c r="D226" i="5" s="1"/>
  <c r="U310" i="3"/>
  <c r="AY310" i="3" s="1"/>
  <c r="F243" i="5"/>
  <c r="BP205" i="3" a="1"/>
  <c r="BP205" i="3" s="1"/>
  <c r="BT205" i="3" s="1"/>
  <c r="AP218" i="3"/>
  <c r="AQ218" i="3" s="1"/>
  <c r="BP226" i="3" a="1"/>
  <c r="BP226" i="3" s="1"/>
  <c r="BT226" i="3" s="1"/>
  <c r="D245" i="5"/>
  <c r="F244" i="5"/>
  <c r="BG218" i="3"/>
  <c r="E225" i="5" s="1"/>
  <c r="BG289" i="3"/>
  <c r="E222" i="5" s="1"/>
  <c r="BP311" i="3" a="1"/>
  <c r="BP311" i="3" s="1"/>
  <c r="BT311" i="3" s="1"/>
  <c r="AP219" i="3"/>
  <c r="AQ219" i="3" s="1"/>
  <c r="AP224" i="3"/>
  <c r="AQ224" i="3" s="1"/>
  <c r="F231" i="5"/>
  <c r="BG311" i="3"/>
  <c r="E220" i="5" s="1"/>
  <c r="BG310" i="3"/>
  <c r="E300" i="5" s="1"/>
  <c r="F232" i="5"/>
  <c r="AS256" i="3"/>
  <c r="BH256" i="3" s="1"/>
  <c r="BO256" i="3" s="1"/>
  <c r="BP231" i="3" a="1"/>
  <c r="BP231" i="3" s="1"/>
  <c r="BT231" i="3" s="1"/>
  <c r="W308" i="3"/>
  <c r="BC308" i="3" s="1"/>
  <c r="D233" i="5"/>
  <c r="W311" i="3"/>
  <c r="BC311" i="3" s="1"/>
  <c r="AD218" i="1"/>
  <c r="AX311" i="3"/>
  <c r="U309" i="3"/>
  <c r="AY309" i="3" s="1"/>
  <c r="BF219" i="3"/>
  <c r="BE226" i="3"/>
  <c r="BS248" i="3"/>
  <c r="D238" i="5" s="1"/>
  <c r="D237" i="5"/>
  <c r="BG195" i="3"/>
  <c r="E211" i="5" s="1"/>
  <c r="W218" i="3"/>
  <c r="BU218" i="3" s="1"/>
  <c r="D236" i="5"/>
  <c r="AS311" i="3"/>
  <c r="BH311" i="3" s="1"/>
  <c r="F239" i="5"/>
  <c r="AP205" i="3"/>
  <c r="AQ205" i="3" s="1"/>
  <c r="W231" i="3"/>
  <c r="AZ231" i="3" s="1"/>
  <c r="W309" i="3"/>
  <c r="BC309" i="3" s="1"/>
  <c r="AX224" i="3"/>
  <c r="BG226" i="3"/>
  <c r="E228" i="5" s="1"/>
  <c r="D240" i="5"/>
  <c r="BP256" i="3" a="1"/>
  <c r="BP256" i="3" s="1"/>
  <c r="BT256" i="3" s="1"/>
  <c r="AP311" i="3"/>
  <c r="AQ311" i="3" s="1"/>
  <c r="BE224" i="3"/>
  <c r="AS226" i="3"/>
  <c r="BH226" i="3" s="1"/>
  <c r="BQ248" i="3"/>
  <c r="BI326" i="3"/>
  <c r="BU326" i="3" s="1"/>
  <c r="AZ206" i="3"/>
  <c r="BP224" i="3" a="1"/>
  <c r="BP224" i="3" s="1"/>
  <c r="BI256" i="3"/>
  <c r="AZ256" i="3"/>
  <c r="BE206" i="3"/>
  <c r="BL206" i="3" s="1"/>
  <c r="BE219" i="3"/>
  <c r="BB219" i="3"/>
  <c r="AY219" i="3"/>
  <c r="AS218" i="3"/>
  <c r="BH218" i="3" s="1"/>
  <c r="BE218" i="3"/>
  <c r="BF218" i="3"/>
  <c r="U218" i="3"/>
  <c r="AY218" i="3" s="1"/>
  <c r="BP219" i="3" a="1"/>
  <c r="BP219" i="3" s="1"/>
  <c r="AS219" i="3"/>
  <c r="BQ302" i="3"/>
  <c r="BU302" i="3" s="1"/>
  <c r="BP279" i="3" a="1"/>
  <c r="BP279" i="3" s="1"/>
  <c r="AS279" i="3"/>
  <c r="AI324" i="1" s="1"/>
  <c r="BF279" i="3"/>
  <c r="BC256" i="3"/>
  <c r="BM256" i="3" s="1"/>
  <c r="BC302" i="3"/>
  <c r="BM302" i="3" s="1"/>
  <c r="BC248" i="3"/>
  <c r="BE248" i="3"/>
  <c r="AO278" i="3"/>
  <c r="BA278" i="3"/>
  <c r="Q223" i="1" s="1"/>
  <c r="R223" i="1" s="1"/>
  <c r="BC322" i="3"/>
  <c r="BC313" i="3"/>
  <c r="BM313" i="3" s="1"/>
  <c r="BC325" i="3"/>
  <c r="AS278" i="3"/>
  <c r="BC264" i="3"/>
  <c r="BC257" i="3"/>
  <c r="BC326" i="3"/>
  <c r="AP309" i="3"/>
  <c r="AQ309" i="3" s="1"/>
  <c r="BP309" i="3" a="1"/>
  <c r="BP309" i="3" s="1"/>
  <c r="BT309" i="3" s="1"/>
  <c r="AS309" i="3"/>
  <c r="BH309" i="3" s="1"/>
  <c r="BF309" i="3"/>
  <c r="AX309" i="3"/>
  <c r="W310" i="3"/>
  <c r="X300" i="1" s="1"/>
  <c r="AP310" i="3"/>
  <c r="AQ310" i="3" s="1"/>
  <c r="BP310" i="3" a="1"/>
  <c r="BP310" i="3" s="1"/>
  <c r="BT310" i="3" s="1"/>
  <c r="AS310" i="3"/>
  <c r="BH310" i="3" s="1"/>
  <c r="BF310" i="3"/>
  <c r="AX310" i="3"/>
  <c r="F267" i="5"/>
  <c r="AS196" i="3"/>
  <c r="BH196" i="3" s="1"/>
  <c r="AP196" i="3"/>
  <c r="AQ196" i="3" s="1"/>
  <c r="W196" i="3"/>
  <c r="AS194" i="3"/>
  <c r="BH194" i="3" s="1"/>
  <c r="BP196" i="3" a="1"/>
  <c r="BP196" i="3" s="1"/>
  <c r="BF196" i="3"/>
  <c r="BG196" i="3"/>
  <c r="BP194" i="3" a="1"/>
  <c r="BP194" i="3" s="1"/>
  <c r="BG194" i="3"/>
  <c r="E210" i="5" s="1"/>
  <c r="BF194" i="3"/>
  <c r="W194" i="3"/>
  <c r="BI194" i="3" s="1"/>
  <c r="BM194" i="3" s="1"/>
  <c r="D321" i="5"/>
  <c r="X287" i="1"/>
  <c r="D239" i="5"/>
  <c r="D302" i="5"/>
  <c r="D291" i="5"/>
  <c r="D318" i="5"/>
  <c r="AX201" i="3"/>
  <c r="AD307" i="1" s="1"/>
  <c r="AX322" i="3"/>
  <c r="D286" i="5"/>
  <c r="F233" i="5"/>
  <c r="AX259" i="3"/>
  <c r="AX231" i="3"/>
  <c r="D274" i="5"/>
  <c r="AX197" i="3"/>
  <c r="U311" i="3"/>
  <c r="AY311" i="3" s="1"/>
  <c r="D344" i="5"/>
  <c r="F323" i="5"/>
  <c r="AX257" i="3"/>
  <c r="AX326" i="3"/>
  <c r="AX308" i="3"/>
  <c r="AX302" i="3"/>
  <c r="D299" i="5"/>
  <c r="X316" i="1"/>
  <c r="D308" i="5"/>
  <c r="AX264" i="3"/>
  <c r="D313" i="5"/>
  <c r="V248" i="3"/>
  <c r="AX248" i="3" s="1"/>
  <c r="AD238" i="1" s="1"/>
  <c r="V256" i="3"/>
  <c r="AX256" i="3" s="1"/>
  <c r="AX200" i="3"/>
  <c r="AD320" i="1" s="1"/>
  <c r="AX325" i="3"/>
  <c r="BK206" i="3"/>
  <c r="F219" i="5" s="1"/>
  <c r="BI259" i="3"/>
  <c r="BQ259" i="3"/>
  <c r="BQ289" i="3"/>
  <c r="BC259" i="3"/>
  <c r="BC289" i="3"/>
  <c r="F341" i="5"/>
  <c r="X241" i="1"/>
  <c r="D232" i="5"/>
  <c r="BF270" i="3"/>
  <c r="D269" i="5"/>
  <c r="AS269" i="3"/>
  <c r="BH269" i="3" s="1"/>
  <c r="D306" i="5"/>
  <c r="D345" i="5"/>
  <c r="AU200" i="3"/>
  <c r="X320" i="1" s="1"/>
  <c r="D316" i="5"/>
  <c r="X313" i="1"/>
  <c r="F310" i="5"/>
  <c r="F297" i="5"/>
  <c r="D289" i="5"/>
  <c r="BP269" i="3" a="1"/>
  <c r="BP269" i="3" s="1"/>
  <c r="BS205" i="3"/>
  <c r="D218" i="5" s="1"/>
  <c r="BG269" i="3"/>
  <c r="E216" i="5" s="1"/>
  <c r="AP269" i="3"/>
  <c r="AQ269" i="3" s="1"/>
  <c r="BJ200" i="3"/>
  <c r="BR200" i="3" s="1"/>
  <c r="X311" i="1"/>
  <c r="F245" i="5"/>
  <c r="BF269" i="3"/>
  <c r="F298" i="5"/>
  <c r="D294" i="5"/>
  <c r="X323" i="1"/>
  <c r="D242" i="5"/>
  <c r="D312" i="5"/>
  <c r="AS270" i="3"/>
  <c r="BH270" i="3" s="1"/>
  <c r="BP270" i="3" a="1"/>
  <c r="BP270" i="3" s="1"/>
  <c r="X285" i="1"/>
  <c r="X264" i="1"/>
  <c r="BG270" i="3"/>
  <c r="E217" i="5" s="1"/>
  <c r="AP270" i="3"/>
  <c r="AQ270" i="3" s="1"/>
  <c r="BO322" i="3"/>
  <c r="BI322" i="3"/>
  <c r="BU322" i="3" s="1"/>
  <c r="BO200" i="3"/>
  <c r="D281" i="5"/>
  <c r="D254" i="5"/>
  <c r="X310" i="1"/>
  <c r="D257" i="5"/>
  <c r="D304" i="5"/>
  <c r="D303" i="5"/>
  <c r="D292" i="5"/>
  <c r="D256" i="5"/>
  <c r="BO201" i="3"/>
  <c r="BS200" i="3"/>
  <c r="D320" i="5" s="1"/>
  <c r="D315" i="5"/>
  <c r="D255" i="5"/>
  <c r="D322" i="5"/>
  <c r="D317" i="5"/>
  <c r="D314" i="5"/>
  <c r="BK201" i="3"/>
  <c r="F307" i="5" s="1"/>
  <c r="F305" i="5"/>
  <c r="F279" i="5"/>
  <c r="F262" i="5"/>
  <c r="D258" i="5"/>
  <c r="D301" i="5"/>
  <c r="D288" i="5"/>
  <c r="F287" i="5"/>
  <c r="D343" i="5"/>
  <c r="X322" i="1"/>
  <c r="F319" i="5"/>
  <c r="F280" i="5"/>
  <c r="D260" i="5"/>
  <c r="D244" i="5"/>
  <c r="AU201" i="3"/>
  <c r="X307" i="1" s="1"/>
  <c r="X288" i="1"/>
  <c r="X246" i="1"/>
  <c r="X231" i="1"/>
  <c r="X306" i="1"/>
  <c r="X345" i="1"/>
  <c r="X335" i="1"/>
  <c r="X304" i="1"/>
  <c r="X296" i="1"/>
  <c r="X312" i="1"/>
  <c r="BB201" i="3"/>
  <c r="X283" i="1"/>
  <c r="X333" i="1"/>
  <c r="X308" i="1"/>
  <c r="X276" i="1"/>
  <c r="AU248" i="3"/>
  <c r="X238" i="1" s="1"/>
  <c r="X268" i="1"/>
  <c r="AU256" i="3"/>
  <c r="X338" i="1"/>
  <c r="X319" i="1"/>
  <c r="X243" i="1"/>
  <c r="BJ197" i="3"/>
  <c r="BR197" i="3" s="1"/>
  <c r="X344" i="1"/>
  <c r="X342" i="1"/>
  <c r="X343" i="1"/>
  <c r="X331" i="1"/>
  <c r="BI197" i="3"/>
  <c r="BO197" i="3"/>
  <c r="F325" i="5"/>
  <c r="BU201" i="3"/>
  <c r="D334" i="5"/>
  <c r="F334" i="5"/>
  <c r="F340" i="5"/>
  <c r="D340" i="5"/>
  <c r="D338" i="5"/>
  <c r="X337" i="1"/>
  <c r="D327" i="5"/>
  <c r="X326" i="1"/>
  <c r="F331" i="5"/>
  <c r="D328" i="5"/>
  <c r="X327" i="1"/>
  <c r="F332" i="5"/>
  <c r="X341" i="1"/>
  <c r="BB197" i="3"/>
  <c r="F333" i="5"/>
  <c r="X330" i="1"/>
  <c r="BI200" i="3"/>
  <c r="F311" i="5"/>
  <c r="F296" i="5"/>
  <c r="F326" i="5"/>
  <c r="BO259" i="3"/>
  <c r="X286" i="1"/>
  <c r="D283" i="5"/>
  <c r="F283" i="5"/>
  <c r="X279" i="1"/>
  <c r="BO257" i="3"/>
  <c r="BI257" i="3"/>
  <c r="F276" i="5"/>
  <c r="D276" i="5"/>
  <c r="X275" i="1"/>
  <c r="BI325" i="3"/>
  <c r="BO325" i="3"/>
  <c r="D272" i="5"/>
  <c r="F272" i="5"/>
  <c r="D265" i="5"/>
  <c r="BI264" i="3"/>
  <c r="BO264" i="3"/>
  <c r="BU313" i="3"/>
  <c r="F250" i="5"/>
  <c r="D250" i="5"/>
  <c r="D264" i="5"/>
  <c r="X257" i="1"/>
  <c r="D249" i="5"/>
  <c r="F249" i="5"/>
  <c r="X240" i="1"/>
  <c r="BI248" i="3"/>
  <c r="BO289" i="3"/>
  <c r="BI289" i="3"/>
  <c r="BO231" i="3"/>
  <c r="F268" i="5"/>
  <c r="BO326" i="3"/>
  <c r="D290" i="5"/>
  <c r="X289" i="1"/>
  <c r="D278" i="5"/>
  <c r="X265" i="1"/>
  <c r="D247" i="5"/>
  <c r="F247" i="5"/>
  <c r="D235" i="5"/>
  <c r="F235" i="5"/>
  <c r="F282" i="5"/>
  <c r="F270" i="5"/>
  <c r="X255" i="1"/>
  <c r="F271" i="5"/>
  <c r="X267" i="1"/>
  <c r="BO313" i="3"/>
  <c r="BB264" i="3"/>
  <c r="BS326" i="3"/>
  <c r="D253" i="5" s="1"/>
  <c r="BU256" i="3"/>
  <c r="X281" i="1"/>
  <c r="X269" i="1"/>
  <c r="X248" i="1"/>
  <c r="BI206" i="3"/>
  <c r="F275" i="5"/>
  <c r="BK264" i="3"/>
  <c r="F263" i="5" s="1"/>
  <c r="X254" i="1"/>
  <c r="D234" i="5"/>
  <c r="F234" i="5"/>
  <c r="BS302" i="3"/>
  <c r="D252" i="5" s="1"/>
  <c r="D246" i="5"/>
  <c r="F246" i="5"/>
  <c r="D241" i="5"/>
  <c r="F241" i="5"/>
  <c r="BO308" i="3"/>
  <c r="D243" i="5"/>
  <c r="X242" i="1"/>
  <c r="D231" i="5"/>
  <c r="BS206" i="3"/>
  <c r="D219" i="5" s="1"/>
  <c r="BB248" i="3"/>
  <c r="BB256" i="3"/>
  <c r="F248" i="5"/>
  <c r="X244" i="1"/>
  <c r="F236" i="5"/>
  <c r="X232" i="1"/>
  <c r="F237" i="5"/>
  <c r="BK256" i="3"/>
  <c r="F226" i="5" s="1"/>
  <c r="X247" i="1"/>
  <c r="X235" i="1"/>
  <c r="F240" i="5"/>
  <c r="AS177" i="3"/>
  <c r="BH177" i="3" s="1"/>
  <c r="BP189" i="3" a="1"/>
  <c r="BP189" i="3" s="1"/>
  <c r="BG189" i="3"/>
  <c r="AX190" i="3"/>
  <c r="BQ190" i="3"/>
  <c r="AP191" i="3"/>
  <c r="AQ191" i="3" s="1"/>
  <c r="BG190" i="3"/>
  <c r="BG191" i="3"/>
  <c r="AS191" i="3"/>
  <c r="BH191" i="3" s="1"/>
  <c r="AP188" i="3"/>
  <c r="AQ188" i="3" s="1"/>
  <c r="AQ169" i="3"/>
  <c r="H39" i="9"/>
  <c r="D39" i="9" s="1"/>
  <c r="BP186" i="3" a="1"/>
  <c r="BP186" i="3" s="1"/>
  <c r="BT186" i="3" s="1"/>
  <c r="BG186" i="3"/>
  <c r="BP172" i="3" a="1"/>
  <c r="BP172" i="3" s="1"/>
  <c r="BT172" i="3" s="1"/>
  <c r="BG192" i="3"/>
  <c r="AS186" i="3"/>
  <c r="BH186" i="3" s="1"/>
  <c r="AS187" i="3"/>
  <c r="BH187" i="3" s="1"/>
  <c r="AX191" i="3"/>
  <c r="BG193" i="3"/>
  <c r="BG188" i="3"/>
  <c r="BF186" i="3"/>
  <c r="AX188" i="3"/>
  <c r="AS188" i="3"/>
  <c r="BH188" i="3" s="1"/>
  <c r="AP172" i="3"/>
  <c r="AQ172" i="3" s="1"/>
  <c r="AP175" i="3"/>
  <c r="AQ175" i="3" s="1"/>
  <c r="AP193" i="3"/>
  <c r="AQ193" i="3" s="1"/>
  <c r="BP193" i="3" a="1"/>
  <c r="BP193" i="3" s="1"/>
  <c r="AS193" i="3"/>
  <c r="BH193" i="3" s="1"/>
  <c r="BI193" i="3" s="1"/>
  <c r="BF193" i="3"/>
  <c r="BQ193" i="3"/>
  <c r="AP192" i="3"/>
  <c r="AQ192" i="3" s="1"/>
  <c r="BP192" i="3" a="1"/>
  <c r="BP192" i="3" s="1"/>
  <c r="AS192" i="3"/>
  <c r="BH192" i="3" s="1"/>
  <c r="BI192" i="3" s="1"/>
  <c r="BF192" i="3"/>
  <c r="BQ192" i="3"/>
  <c r="AP190" i="3"/>
  <c r="AQ190" i="3" s="1"/>
  <c r="BB190" i="3"/>
  <c r="BP190" i="3" a="1"/>
  <c r="BP190" i="3" s="1"/>
  <c r="AS190" i="3"/>
  <c r="BH190" i="3" s="1"/>
  <c r="BI190" i="3" s="1"/>
  <c r="BE190" i="3"/>
  <c r="BF190" i="3"/>
  <c r="AZ191" i="3"/>
  <c r="BF191" i="3"/>
  <c r="BQ191" i="3"/>
  <c r="BP188" i="3" a="1"/>
  <c r="BP188" i="3" s="1"/>
  <c r="BF188" i="3"/>
  <c r="AS189" i="3"/>
  <c r="BH189" i="3" s="1"/>
  <c r="AP178" i="3"/>
  <c r="AQ178" i="3" s="1"/>
  <c r="BP176" i="3" a="1"/>
  <c r="BP176" i="3" s="1"/>
  <c r="BG185" i="3"/>
  <c r="BG180" i="3"/>
  <c r="E180" i="5" s="1"/>
  <c r="AS180" i="3"/>
  <c r="BH180" i="3" s="1"/>
  <c r="AP176" i="3"/>
  <c r="AQ176" i="3" s="1"/>
  <c r="BP175" i="3" a="1"/>
  <c r="BP175" i="3" s="1"/>
  <c r="BG176" i="3"/>
  <c r="E176" i="5" s="1"/>
  <c r="BP177" i="3" a="1"/>
  <c r="BP177" i="3" s="1"/>
  <c r="BP179" i="3" a="1"/>
  <c r="BP179" i="3" s="1"/>
  <c r="AS176" i="3"/>
  <c r="BH176" i="3" s="1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BF183" i="3"/>
  <c r="BF185" i="3"/>
  <c r="BG179" i="3"/>
  <c r="E179" i="5" s="1"/>
  <c r="BP185" i="3" a="1"/>
  <c r="BP185" i="3" s="1"/>
  <c r="BT185" i="3" s="1"/>
  <c r="AS173" i="3"/>
  <c r="BH173" i="3" s="1"/>
  <c r="BF176" i="3"/>
  <c r="BG187" i="3"/>
  <c r="AO187" i="3"/>
  <c r="BA187" i="3"/>
  <c r="AS175" i="3"/>
  <c r="BH175" i="3" s="1"/>
  <c r="BG181" i="3"/>
  <c r="E181" i="5" s="1"/>
  <c r="BF178" i="3"/>
  <c r="BP173" i="3" a="1"/>
  <c r="BP173" i="3" s="1"/>
  <c r="BG177" i="3"/>
  <c r="E177" i="5" s="1"/>
  <c r="BF173" i="3"/>
  <c r="BG173" i="3"/>
  <c r="BP178" i="3" a="1"/>
  <c r="BP178" i="3" s="1"/>
  <c r="BT178" i="3" s="1"/>
  <c r="BG178" i="3"/>
  <c r="E178" i="5" s="1"/>
  <c r="BP184" i="3" a="1"/>
  <c r="BP184" i="3" s="1"/>
  <c r="BT184" i="3" s="1"/>
  <c r="BF175" i="3"/>
  <c r="AX178" i="3"/>
  <c r="AS184" i="3"/>
  <c r="BH184" i="3" s="1"/>
  <c r="BF182" i="3"/>
  <c r="AX169" i="3"/>
  <c r="BF172" i="3"/>
  <c r="BG172" i="3"/>
  <c r="AX172" i="3"/>
  <c r="AU169" i="3"/>
  <c r="BF174" i="3"/>
  <c r="AP182" i="3"/>
  <c r="AQ182" i="3" s="1"/>
  <c r="BP182" i="3" a="1"/>
  <c r="BP182" i="3" s="1"/>
  <c r="BT182" i="3" s="1"/>
  <c r="AS172" i="3"/>
  <c r="BH172" i="3" s="1"/>
  <c r="BP174" i="3" a="1"/>
  <c r="BP174" i="3" s="1"/>
  <c r="BT174" i="3" s="1"/>
  <c r="BG182" i="3"/>
  <c r="E182" i="5" s="1"/>
  <c r="AS182" i="3"/>
  <c r="BH182" i="3" s="1"/>
  <c r="AX182" i="3"/>
  <c r="AS174" i="3"/>
  <c r="BH174" i="3" s="1"/>
  <c r="AP174" i="3"/>
  <c r="AQ174" i="3" s="1"/>
  <c r="BC169" i="3"/>
  <c r="BF169" i="3"/>
  <c r="AS169" i="3"/>
  <c r="BP169" i="3" a="1"/>
  <c r="BP169" i="3" s="1"/>
  <c r="BQ169" i="3"/>
  <c r="BG169" i="3"/>
  <c r="AX174" i="3"/>
  <c r="BG175" i="3"/>
  <c r="E175" i="5" s="1"/>
  <c r="AX176" i="3"/>
  <c r="BF177" i="3"/>
  <c r="AS178" i="3"/>
  <c r="BH178" i="3" s="1"/>
  <c r="AX183" i="3"/>
  <c r="BP183" i="3" a="1"/>
  <c r="BP183" i="3" s="1"/>
  <c r="BT183" i="3" s="1"/>
  <c r="BG174" i="3"/>
  <c r="E174" i="5" s="1"/>
  <c r="AX177" i="3"/>
  <c r="AP183" i="3"/>
  <c r="AQ183" i="3" s="1"/>
  <c r="BF180" i="3"/>
  <c r="BG183" i="3"/>
  <c r="BF184" i="3"/>
  <c r="AP184" i="3"/>
  <c r="AQ184" i="3" s="1"/>
  <c r="AP177" i="3"/>
  <c r="AQ177" i="3" s="1"/>
  <c r="BE184" i="3"/>
  <c r="BP180" i="3" a="1"/>
  <c r="BP180" i="3" s="1"/>
  <c r="BT180" i="3" s="1"/>
  <c r="BB184" i="3"/>
  <c r="AO185" i="3"/>
  <c r="BA185" i="3"/>
  <c r="AP185" i="3"/>
  <c r="AS185" i="3"/>
  <c r="BH185" i="3" s="1"/>
  <c r="AS183" i="3"/>
  <c r="BH183" i="3" s="1"/>
  <c r="AS179" i="3"/>
  <c r="BH179" i="3" s="1"/>
  <c r="BF179" i="3"/>
  <c r="AZ174" i="3"/>
  <c r="BC174" i="3"/>
  <c r="BQ174" i="3"/>
  <c r="AU174" i="3"/>
  <c r="BB172" i="3"/>
  <c r="BP170" i="3" a="1"/>
  <c r="BP170" i="3" s="1"/>
  <c r="AX170" i="3"/>
  <c r="AS170" i="3"/>
  <c r="BH170" i="3" s="1"/>
  <c r="BG170" i="3"/>
  <c r="BF170" i="3"/>
  <c r="AP170" i="3"/>
  <c r="AQ170" i="3" s="1"/>
  <c r="BE170" i="3"/>
  <c r="BB170" i="3"/>
  <c r="Z226" i="5" l="1"/>
  <c r="AA226" i="5"/>
  <c r="BK224" i="3"/>
  <c r="F227" i="5" s="1"/>
  <c r="AD226" i="1"/>
  <c r="AV260" i="3"/>
  <c r="BK308" i="3"/>
  <c r="F229" i="5" s="1"/>
  <c r="BO302" i="3"/>
  <c r="BO319" i="3"/>
  <c r="E293" i="5"/>
  <c r="BS259" i="3"/>
  <c r="D293" i="5" s="1"/>
  <c r="AV263" i="3"/>
  <c r="AV250" i="3"/>
  <c r="AV261" i="3"/>
  <c r="AV252" i="3"/>
  <c r="AV230" i="3"/>
  <c r="AJ293" i="1"/>
  <c r="S293" i="5"/>
  <c r="AL293" i="1"/>
  <c r="AM293" i="1"/>
  <c r="AK293" i="1"/>
  <c r="J311" i="5"/>
  <c r="H311" i="5"/>
  <c r="I311" i="5"/>
  <c r="V311" i="5"/>
  <c r="T311" i="5"/>
  <c r="U311" i="5"/>
  <c r="AK307" i="1"/>
  <c r="AJ307" i="1"/>
  <c r="AL307" i="1"/>
  <c r="S307" i="5"/>
  <c r="AM307" i="1"/>
  <c r="AL320" i="1"/>
  <c r="AJ320" i="1"/>
  <c r="AK320" i="1"/>
  <c r="S320" i="5"/>
  <c r="AM320" i="1"/>
  <c r="S336" i="5"/>
  <c r="AJ336" i="1"/>
  <c r="AK336" i="1"/>
  <c r="AM336" i="1"/>
  <c r="AL336" i="1"/>
  <c r="BS224" i="3"/>
  <c r="D227" i="5" s="1"/>
  <c r="BS309" i="3"/>
  <c r="D309" i="5" s="1"/>
  <c r="X336" i="1"/>
  <c r="X174" i="1"/>
  <c r="Y174" i="1" s="1"/>
  <c r="AI223" i="1"/>
  <c r="BL248" i="3"/>
  <c r="AA266" i="5"/>
  <c r="BO248" i="3"/>
  <c r="BT224" i="3"/>
  <c r="BQ206" i="3"/>
  <c r="BS313" i="3"/>
  <c r="D251" i="5" s="1"/>
  <c r="BK248" i="3"/>
  <c r="F238" i="5" s="1"/>
  <c r="F342" i="5"/>
  <c r="BL224" i="3"/>
  <c r="AJ298" i="1"/>
  <c r="AK298" i="1"/>
  <c r="AM298" i="1"/>
  <c r="S298" i="5"/>
  <c r="AL298" i="1"/>
  <c r="BS231" i="3"/>
  <c r="U293" i="1"/>
  <c r="T293" i="1"/>
  <c r="W293" i="1"/>
  <c r="G293" i="5"/>
  <c r="V293" i="1"/>
  <c r="BT195" i="3"/>
  <c r="BS325" i="3"/>
  <c r="D273" i="5" s="1"/>
  <c r="BK231" i="3"/>
  <c r="F221" i="5" s="1"/>
  <c r="BK278" i="3"/>
  <c r="F223" i="5" s="1"/>
  <c r="D325" i="5"/>
  <c r="V195" i="3"/>
  <c r="AX195" i="3" s="1"/>
  <c r="BK322" i="3"/>
  <c r="F295" i="5" s="1"/>
  <c r="BK313" i="3"/>
  <c r="F251" i="5" s="1"/>
  <c r="BS322" i="3"/>
  <c r="D295" i="5" s="1"/>
  <c r="BO226" i="3"/>
  <c r="AA339" i="5"/>
  <c r="O339" i="1" s="1"/>
  <c r="AV244" i="3" s="1"/>
  <c r="X339" i="1"/>
  <c r="BK205" i="3"/>
  <c r="F218" i="5" s="1"/>
  <c r="BO206" i="3"/>
  <c r="F339" i="5"/>
  <c r="AA273" i="5"/>
  <c r="G282" i="5"/>
  <c r="T282" i="1"/>
  <c r="V282" i="1"/>
  <c r="U282" i="1"/>
  <c r="W282" i="1"/>
  <c r="BO224" i="3"/>
  <c r="BU205" i="3"/>
  <c r="BZ226" i="1"/>
  <c r="BI202" i="3"/>
  <c r="BI319" i="3"/>
  <c r="BT203" i="3"/>
  <c r="BI269" i="3"/>
  <c r="D330" i="5"/>
  <c r="AK277" i="1"/>
  <c r="AJ277" i="1"/>
  <c r="AM277" i="1"/>
  <c r="S277" i="5"/>
  <c r="AL277" i="1"/>
  <c r="BZ229" i="1"/>
  <c r="BK325" i="3"/>
  <c r="F273" i="5" s="1"/>
  <c r="BK257" i="3"/>
  <c r="F277" i="5" s="1"/>
  <c r="BS257" i="3"/>
  <c r="D277" i="5" s="1"/>
  <c r="BS278" i="3"/>
  <c r="D223" i="5" s="1"/>
  <c r="BS279" i="3"/>
  <c r="D324" i="5" s="1"/>
  <c r="BK279" i="3"/>
  <c r="F324" i="5" s="1"/>
  <c r="BS289" i="3"/>
  <c r="D222" i="5" s="1"/>
  <c r="F330" i="5"/>
  <c r="BZ266" i="1"/>
  <c r="BZ214" i="1"/>
  <c r="BZ223" i="1"/>
  <c r="BZ178" i="1"/>
  <c r="BZ212" i="1"/>
  <c r="BZ219" i="1"/>
  <c r="BM205" i="3"/>
  <c r="BZ300" i="1"/>
  <c r="BZ179" i="1"/>
  <c r="BZ222" i="1"/>
  <c r="BZ221" i="1"/>
  <c r="BZ218" i="1"/>
  <c r="BZ216" i="1"/>
  <c r="BZ324" i="1"/>
  <c r="BZ309" i="1"/>
  <c r="BZ225" i="1"/>
  <c r="BO181" i="3"/>
  <c r="BZ213" i="1"/>
  <c r="BZ224" i="1"/>
  <c r="BZ220" i="1"/>
  <c r="BZ182" i="1"/>
  <c r="BZ211" i="1"/>
  <c r="BZ215" i="1"/>
  <c r="BZ210" i="1"/>
  <c r="BZ174" i="1"/>
  <c r="BZ227" i="1"/>
  <c r="CA227" i="1"/>
  <c r="BZ228" i="1"/>
  <c r="CA228" i="1"/>
  <c r="BZ217" i="1"/>
  <c r="BZ177" i="1"/>
  <c r="BZ176" i="1"/>
  <c r="BZ175" i="1"/>
  <c r="BZ181" i="1"/>
  <c r="X284" i="1"/>
  <c r="K284" i="5" s="1"/>
  <c r="AL263" i="1"/>
  <c r="AM263" i="1"/>
  <c r="AJ263" i="1"/>
  <c r="S263" i="5"/>
  <c r="AK263" i="1"/>
  <c r="D335" i="5"/>
  <c r="S259" i="5"/>
  <c r="AL259" i="1"/>
  <c r="AJ259" i="1"/>
  <c r="AK259" i="1"/>
  <c r="AM259" i="1"/>
  <c r="D337" i="5"/>
  <c r="F337" i="5"/>
  <c r="BO204" i="3"/>
  <c r="BV256" i="3"/>
  <c r="BI311" i="3"/>
  <c r="F335" i="5"/>
  <c r="BK319" i="3"/>
  <c r="F259" i="5" s="1"/>
  <c r="E221" i="5"/>
  <c r="BK197" i="3"/>
  <c r="F336" i="5" s="1"/>
  <c r="BS195" i="3"/>
  <c r="D211" i="5" s="1"/>
  <c r="BS308" i="3"/>
  <c r="D229" i="5" s="1"/>
  <c r="BT204" i="3"/>
  <c r="X270" i="1"/>
  <c r="Z270" i="1" s="1"/>
  <c r="BO203" i="3"/>
  <c r="U295" i="1"/>
  <c r="W295" i="1"/>
  <c r="V295" i="1"/>
  <c r="G295" i="5"/>
  <c r="T295" i="1"/>
  <c r="V273" i="1"/>
  <c r="W273" i="1"/>
  <c r="T273" i="1"/>
  <c r="U273" i="1"/>
  <c r="G273" i="5"/>
  <c r="U253" i="1"/>
  <c r="V253" i="1"/>
  <c r="G253" i="5"/>
  <c r="T253" i="1"/>
  <c r="W253" i="1"/>
  <c r="BT302" i="3"/>
  <c r="S252" i="5"/>
  <c r="AL252" i="1"/>
  <c r="AM252" i="1"/>
  <c r="AJ252" i="1"/>
  <c r="AK252" i="1"/>
  <c r="BT313" i="3"/>
  <c r="S251" i="5"/>
  <c r="AM251" i="1"/>
  <c r="AK251" i="1"/>
  <c r="AJ251" i="1"/>
  <c r="AL251" i="1"/>
  <c r="BI270" i="3"/>
  <c r="X302" i="1"/>
  <c r="K302" i="5" s="1"/>
  <c r="BT269" i="3"/>
  <c r="BS319" i="3"/>
  <c r="D259" i="5" s="1"/>
  <c r="BS219" i="3"/>
  <c r="D224" i="5" s="1"/>
  <c r="F265" i="5"/>
  <c r="F285" i="5"/>
  <c r="D339" i="5"/>
  <c r="D284" i="5"/>
  <c r="BK219" i="3"/>
  <c r="F224" i="5" s="1"/>
  <c r="AA221" i="5"/>
  <c r="Z221" i="5"/>
  <c r="AK244" i="1"/>
  <c r="AJ244" i="1"/>
  <c r="AL244" i="1"/>
  <c r="S244" i="5"/>
  <c r="AM244" i="1"/>
  <c r="BK203" i="3"/>
  <c r="F214" i="5" s="1"/>
  <c r="BQ202" i="3"/>
  <c r="D285" i="5"/>
  <c r="BC205" i="3"/>
  <c r="BI195" i="3"/>
  <c r="BO202" i="3"/>
  <c r="AL238" i="1"/>
  <c r="AK238" i="1"/>
  <c r="AM238" i="1"/>
  <c r="S238" i="5"/>
  <c r="AJ238" i="1"/>
  <c r="T238" i="1"/>
  <c r="V238" i="1"/>
  <c r="U238" i="1"/>
  <c r="G238" i="5"/>
  <c r="W238" i="1"/>
  <c r="X280" i="1"/>
  <c r="Y280" i="1" s="1"/>
  <c r="AU224" i="3"/>
  <c r="X227" i="1" s="1"/>
  <c r="AB227" i="1" s="1"/>
  <c r="BK289" i="3"/>
  <c r="F222" i="5" s="1"/>
  <c r="F261" i="5"/>
  <c r="BK309" i="3"/>
  <c r="F309" i="5" s="1"/>
  <c r="BO195" i="3"/>
  <c r="AU195" i="3"/>
  <c r="BR201" i="3"/>
  <c r="BV201" i="3" s="1"/>
  <c r="X315" i="1"/>
  <c r="K315" i="5" s="1"/>
  <c r="BT202" i="3"/>
  <c r="X239" i="1"/>
  <c r="AB239" i="1" s="1"/>
  <c r="BR248" i="3"/>
  <c r="BV248" i="3" s="1"/>
  <c r="D261" i="5"/>
  <c r="BS197" i="3"/>
  <c r="D336" i="5" s="1"/>
  <c r="X293" i="1"/>
  <c r="K293" i="5" s="1"/>
  <c r="F284" i="5"/>
  <c r="D342" i="5"/>
  <c r="BS217" i="1"/>
  <c r="BS215" i="1"/>
  <c r="BS216" i="1"/>
  <c r="I278" i="5"/>
  <c r="H278" i="5"/>
  <c r="X258" i="1"/>
  <c r="K258" i="5" s="1"/>
  <c r="BC195" i="3"/>
  <c r="BO311" i="3"/>
  <c r="BQ311" i="3"/>
  <c r="BM218" i="3"/>
  <c r="X282" i="1"/>
  <c r="K282" i="5" s="1"/>
  <c r="BQ218" i="3"/>
  <c r="BC231" i="3"/>
  <c r="BC269" i="3"/>
  <c r="BK195" i="3"/>
  <c r="F211" i="5" s="1"/>
  <c r="X245" i="1"/>
  <c r="K245" i="5" s="1"/>
  <c r="AI224" i="1"/>
  <c r="AM224" i="1" s="1"/>
  <c r="X233" i="1"/>
  <c r="AB233" i="1" s="1"/>
  <c r="BI231" i="3"/>
  <c r="AZ204" i="3"/>
  <c r="X256" i="1"/>
  <c r="Z256" i="1" s="1"/>
  <c r="X305" i="1"/>
  <c r="AB305" i="1" s="1"/>
  <c r="AI227" i="1"/>
  <c r="S227" i="5" s="1"/>
  <c r="AA228" i="5"/>
  <c r="X234" i="1"/>
  <c r="AA234" i="1" s="1"/>
  <c r="BS310" i="3"/>
  <c r="D300" i="5" s="1"/>
  <c r="BK310" i="3"/>
  <c r="F300" i="5" s="1"/>
  <c r="BU175" i="1"/>
  <c r="X278" i="1"/>
  <c r="AA278" i="1" s="1"/>
  <c r="BU194" i="3"/>
  <c r="X317" i="1"/>
  <c r="K317" i="5" s="1"/>
  <c r="BK311" i="3"/>
  <c r="F220" i="5" s="1"/>
  <c r="BI203" i="3"/>
  <c r="X328" i="1"/>
  <c r="K328" i="5" s="1"/>
  <c r="BI204" i="3"/>
  <c r="BC203" i="3"/>
  <c r="AI210" i="1"/>
  <c r="AK210" i="1" s="1"/>
  <c r="AI212" i="1"/>
  <c r="AM212" i="1" s="1"/>
  <c r="S176" i="1"/>
  <c r="W176" i="1" s="1"/>
  <c r="AI179" i="1"/>
  <c r="AJ179" i="1" s="1"/>
  <c r="V205" i="3"/>
  <c r="AX205" i="3" s="1"/>
  <c r="BM326" i="3"/>
  <c r="S177" i="1"/>
  <c r="U177" i="1" s="1"/>
  <c r="AI175" i="1"/>
  <c r="AL175" i="1" s="1"/>
  <c r="AI217" i="1"/>
  <c r="S217" i="5" s="1"/>
  <c r="AI215" i="1"/>
  <c r="AL215" i="1" s="1"/>
  <c r="AI213" i="1"/>
  <c r="BC270" i="3"/>
  <c r="AI216" i="1"/>
  <c r="AL216" i="1" s="1"/>
  <c r="AI211" i="1"/>
  <c r="AI214" i="1"/>
  <c r="AK214" i="1" s="1"/>
  <c r="BB205" i="3"/>
  <c r="AU205" i="3"/>
  <c r="BU181" i="1"/>
  <c r="BU226" i="1"/>
  <c r="BJ169" i="3"/>
  <c r="BV169" i="3" s="1"/>
  <c r="BB192" i="3"/>
  <c r="AU196" i="3"/>
  <c r="AD212" i="1"/>
  <c r="BQ194" i="3"/>
  <c r="X210" i="1"/>
  <c r="BK196" i="3"/>
  <c r="F212" i="5" s="1"/>
  <c r="E212" i="5"/>
  <c r="BQ196" i="3"/>
  <c r="X212" i="1"/>
  <c r="BJ194" i="3"/>
  <c r="BV194" i="3" s="1"/>
  <c r="AD210" i="1"/>
  <c r="Y300" i="1"/>
  <c r="AA300" i="1"/>
  <c r="AB300" i="1"/>
  <c r="Z300" i="1"/>
  <c r="K300" i="5"/>
  <c r="BU309" i="3"/>
  <c r="X309" i="1"/>
  <c r="BQ231" i="3"/>
  <c r="X221" i="1"/>
  <c r="X266" i="1"/>
  <c r="AZ218" i="3"/>
  <c r="X225" i="1"/>
  <c r="O218" i="5"/>
  <c r="AE218" i="1"/>
  <c r="AG218" i="1"/>
  <c r="AH218" i="1"/>
  <c r="AF218" i="1"/>
  <c r="AZ311" i="3"/>
  <c r="X220" i="1"/>
  <c r="D221" i="5"/>
  <c r="D266" i="5"/>
  <c r="AZ308" i="3"/>
  <c r="X229" i="1"/>
  <c r="AZ270" i="3"/>
  <c r="X217" i="1"/>
  <c r="AZ269" i="3"/>
  <c r="X216" i="1"/>
  <c r="BQ204" i="3"/>
  <c r="X215" i="1"/>
  <c r="BK204" i="3"/>
  <c r="F215" i="5" s="1"/>
  <c r="E215" i="5"/>
  <c r="AZ203" i="3"/>
  <c r="X214" i="1"/>
  <c r="AZ202" i="3"/>
  <c r="X213" i="1"/>
  <c r="BK202" i="3"/>
  <c r="F213" i="5" s="1"/>
  <c r="E213" i="5"/>
  <c r="AZ195" i="3"/>
  <c r="X211" i="1"/>
  <c r="BB195" i="3"/>
  <c r="AD211" i="1"/>
  <c r="CD300" i="1"/>
  <c r="BU300" i="1"/>
  <c r="BF300" i="1"/>
  <c r="BG300" i="1"/>
  <c r="BP300" i="1" s="1" a="1"/>
  <c r="BP300" i="1" s="1"/>
  <c r="BW300" i="1"/>
  <c r="S300" i="5"/>
  <c r="AL300" i="1"/>
  <c r="AK300" i="1"/>
  <c r="AM300" i="1"/>
  <c r="AJ300" i="1"/>
  <c r="BK300" i="1"/>
  <c r="AN300" i="1"/>
  <c r="G300" i="5"/>
  <c r="T300" i="1"/>
  <c r="U300" i="1"/>
  <c r="V300" i="1"/>
  <c r="W300" i="1"/>
  <c r="K232" i="5"/>
  <c r="AA232" i="1"/>
  <c r="Z232" i="1"/>
  <c r="AB232" i="1"/>
  <c r="Y232" i="1"/>
  <c r="K244" i="5"/>
  <c r="Y244" i="1"/>
  <c r="Z244" i="1"/>
  <c r="AB244" i="1"/>
  <c r="AA244" i="1"/>
  <c r="K268" i="5"/>
  <c r="AB268" i="1"/>
  <c r="AA268" i="1"/>
  <c r="Y268" i="1"/>
  <c r="Z268" i="1"/>
  <c r="K291" i="5"/>
  <c r="Z291" i="1"/>
  <c r="AA291" i="1"/>
  <c r="Y291" i="1"/>
  <c r="AB291" i="1"/>
  <c r="K304" i="5"/>
  <c r="Y304" i="1"/>
  <c r="AA304" i="1"/>
  <c r="Z304" i="1"/>
  <c r="AB304" i="1"/>
  <c r="K331" i="5"/>
  <c r="AA331" i="1"/>
  <c r="AB331" i="1"/>
  <c r="Z331" i="1"/>
  <c r="Y331" i="1"/>
  <c r="Z342" i="1"/>
  <c r="K342" i="5"/>
  <c r="Y342" i="1"/>
  <c r="AB342" i="1"/>
  <c r="AA342" i="1"/>
  <c r="AH238" i="1"/>
  <c r="AF238" i="1"/>
  <c r="AE238" i="1"/>
  <c r="O238" i="5"/>
  <c r="AG238" i="1"/>
  <c r="BF266" i="1"/>
  <c r="CD266" i="1"/>
  <c r="BU266" i="1"/>
  <c r="BG266" i="1"/>
  <c r="BP266" i="1" s="1" a="1"/>
  <c r="BP266" i="1" s="1"/>
  <c r="CD221" i="1"/>
  <c r="BG221" i="1"/>
  <c r="BP221" i="1" s="1" a="1"/>
  <c r="BP221" i="1" s="1"/>
  <c r="BF221" i="1"/>
  <c r="BU221" i="1"/>
  <c r="AN266" i="1"/>
  <c r="BK266" i="1"/>
  <c r="AK266" i="1"/>
  <c r="AM266" i="1"/>
  <c r="AJ266" i="1"/>
  <c r="S266" i="5"/>
  <c r="AL266" i="1"/>
  <c r="U266" i="1"/>
  <c r="V266" i="1"/>
  <c r="W266" i="1"/>
  <c r="G266" i="5"/>
  <c r="T266" i="1"/>
  <c r="BK221" i="1"/>
  <c r="AN221" i="1"/>
  <c r="S221" i="5"/>
  <c r="AL221" i="1"/>
  <c r="AJ221" i="1"/>
  <c r="AM221" i="1"/>
  <c r="AK221" i="1"/>
  <c r="U221" i="1"/>
  <c r="W221" i="1"/>
  <c r="G221" i="5"/>
  <c r="T221" i="1"/>
  <c r="V221" i="1"/>
  <c r="AB257" i="1"/>
  <c r="AA257" i="1"/>
  <c r="Z257" i="1"/>
  <c r="K257" i="5"/>
  <c r="Y257" i="1"/>
  <c r="K269" i="5"/>
  <c r="Z269" i="1"/>
  <c r="AA269" i="1"/>
  <c r="AB269" i="1"/>
  <c r="Y269" i="1"/>
  <c r="K281" i="5"/>
  <c r="Y281" i="1"/>
  <c r="AA281" i="1"/>
  <c r="AB281" i="1"/>
  <c r="Z281" i="1"/>
  <c r="K292" i="5"/>
  <c r="AA292" i="1"/>
  <c r="Z292" i="1"/>
  <c r="AB292" i="1"/>
  <c r="Y292" i="1"/>
  <c r="K318" i="5"/>
  <c r="AB318" i="1"/>
  <c r="Y318" i="1"/>
  <c r="Z318" i="1"/>
  <c r="AA318" i="1"/>
  <c r="K343" i="5"/>
  <c r="Y343" i="1"/>
  <c r="AB343" i="1"/>
  <c r="AA343" i="1"/>
  <c r="Z343" i="1"/>
  <c r="CD220" i="1"/>
  <c r="BU220" i="1"/>
  <c r="BW220" i="1"/>
  <c r="BG220" i="1"/>
  <c r="BP220" i="1" s="1" a="1"/>
  <c r="BP220" i="1" s="1"/>
  <c r="BF220" i="1"/>
  <c r="BK220" i="1"/>
  <c r="AN220" i="1"/>
  <c r="AK220" i="1"/>
  <c r="AM220" i="1"/>
  <c r="AJ220" i="1"/>
  <c r="S220" i="5"/>
  <c r="AL220" i="1"/>
  <c r="AQ220" i="1"/>
  <c r="BS220" i="1" s="1"/>
  <c r="V220" i="1"/>
  <c r="G220" i="5"/>
  <c r="T220" i="1"/>
  <c r="U220" i="1"/>
  <c r="W220" i="1"/>
  <c r="O261" i="5"/>
  <c r="AG261" i="1"/>
  <c r="AH261" i="1"/>
  <c r="AF261" i="1"/>
  <c r="AE261" i="1"/>
  <c r="Z246" i="1"/>
  <c r="K246" i="5"/>
  <c r="Y246" i="1"/>
  <c r="AA246" i="1"/>
  <c r="AB246" i="1"/>
  <c r="AA306" i="1"/>
  <c r="Z306" i="1"/>
  <c r="K306" i="5"/>
  <c r="Y306" i="1"/>
  <c r="AB306" i="1"/>
  <c r="K319" i="5"/>
  <c r="Y319" i="1"/>
  <c r="AA319" i="1"/>
  <c r="AB319" i="1"/>
  <c r="Z319" i="1"/>
  <c r="K332" i="5"/>
  <c r="AB332" i="1"/>
  <c r="AA332" i="1"/>
  <c r="Y332" i="1"/>
  <c r="Z332" i="1"/>
  <c r="K344" i="5"/>
  <c r="AB344" i="1"/>
  <c r="AA344" i="1"/>
  <c r="Y344" i="1"/>
  <c r="Z344" i="1"/>
  <c r="CD219" i="1"/>
  <c r="BG219" i="1"/>
  <c r="BP219" i="1" s="1" a="1"/>
  <c r="BP219" i="1" s="1"/>
  <c r="BF219" i="1"/>
  <c r="BU219" i="1"/>
  <c r="AJ219" i="1"/>
  <c r="S219" i="5"/>
  <c r="AK219" i="1"/>
  <c r="AL219" i="1"/>
  <c r="AM219" i="1"/>
  <c r="BK219" i="1"/>
  <c r="AN219" i="1"/>
  <c r="T219" i="1"/>
  <c r="G219" i="5"/>
  <c r="V219" i="1"/>
  <c r="U219" i="1"/>
  <c r="W219" i="1"/>
  <c r="AG320" i="1"/>
  <c r="O320" i="5"/>
  <c r="AH320" i="1"/>
  <c r="AE320" i="1"/>
  <c r="AF320" i="1"/>
  <c r="CD182" i="1"/>
  <c r="BU182" i="1"/>
  <c r="BF182" i="1"/>
  <c r="BG182" i="1"/>
  <c r="BP182" i="1" s="1" a="1"/>
  <c r="BP182" i="1" s="1"/>
  <c r="U182" i="1"/>
  <c r="G182" i="5"/>
  <c r="T182" i="1"/>
  <c r="W182" i="1"/>
  <c r="V182" i="1"/>
  <c r="BK182" i="1"/>
  <c r="AN182" i="1"/>
  <c r="AJ182" i="1"/>
  <c r="AM182" i="1"/>
  <c r="AL182" i="1"/>
  <c r="S182" i="5"/>
  <c r="AK182" i="1"/>
  <c r="BG217" i="1"/>
  <c r="BP217" i="1" s="1" a="1"/>
  <c r="BP217" i="1" s="1"/>
  <c r="BF217" i="1"/>
  <c r="CD217" i="1"/>
  <c r="BU217" i="1"/>
  <c r="AN217" i="1"/>
  <c r="BK217" i="1"/>
  <c r="G217" i="5"/>
  <c r="T217" i="1"/>
  <c r="U217" i="1"/>
  <c r="V217" i="1"/>
  <c r="W217" i="1"/>
  <c r="CD180" i="1"/>
  <c r="BF180" i="1"/>
  <c r="BG180" i="1" s="1"/>
  <c r="BP180" i="1" s="1" a="1"/>
  <c r="BP180" i="1" s="1"/>
  <c r="BU180" i="1"/>
  <c r="BK180" i="1"/>
  <c r="AN180" i="1"/>
  <c r="AM180" i="1"/>
  <c r="S180" i="5"/>
  <c r="AL180" i="1"/>
  <c r="AK180" i="1"/>
  <c r="AJ180" i="1"/>
  <c r="AQ180" i="1"/>
  <c r="BS180" i="1" s="1"/>
  <c r="U180" i="1"/>
  <c r="W180" i="1"/>
  <c r="V180" i="1"/>
  <c r="G180" i="5"/>
  <c r="T180" i="1"/>
  <c r="O314" i="5"/>
  <c r="AE314" i="1"/>
  <c r="AH314" i="1"/>
  <c r="AF314" i="1"/>
  <c r="AG314" i="1"/>
  <c r="AE318" i="1"/>
  <c r="O318" i="5"/>
  <c r="AH318" i="1"/>
  <c r="AF318" i="1"/>
  <c r="AG318" i="1"/>
  <c r="Z235" i="1"/>
  <c r="AB235" i="1"/>
  <c r="Y235" i="1"/>
  <c r="K235" i="5"/>
  <c r="AA235" i="1"/>
  <c r="AA247" i="1"/>
  <c r="K247" i="5"/>
  <c r="Z247" i="1"/>
  <c r="AB247" i="1"/>
  <c r="Y247" i="1"/>
  <c r="K259" i="5"/>
  <c r="Z259" i="1"/>
  <c r="AB259" i="1"/>
  <c r="AA259" i="1"/>
  <c r="Y259" i="1"/>
  <c r="K271" i="5"/>
  <c r="Z271" i="1"/>
  <c r="Y271" i="1"/>
  <c r="AA271" i="1"/>
  <c r="AB271" i="1"/>
  <c r="K283" i="5"/>
  <c r="Z283" i="1"/>
  <c r="AA283" i="1"/>
  <c r="Y283" i="1"/>
  <c r="AB283" i="1"/>
  <c r="K307" i="5"/>
  <c r="AA307" i="1"/>
  <c r="Y307" i="1"/>
  <c r="AB307" i="1"/>
  <c r="Z307" i="1"/>
  <c r="Y320" i="1"/>
  <c r="AA320" i="1"/>
  <c r="AB320" i="1"/>
  <c r="K320" i="5"/>
  <c r="Z320" i="1"/>
  <c r="K333" i="5"/>
  <c r="Y333" i="1"/>
  <c r="AA333" i="1"/>
  <c r="AB333" i="1"/>
  <c r="Z333" i="1"/>
  <c r="Y345" i="1"/>
  <c r="K345" i="5"/>
  <c r="Z345" i="1"/>
  <c r="AA345" i="1"/>
  <c r="AB345" i="1"/>
  <c r="BG218" i="1"/>
  <c r="BP218" i="1" s="1" a="1"/>
  <c r="BP218" i="1" s="1"/>
  <c r="BU218" i="1"/>
  <c r="BF218" i="1"/>
  <c r="CD218" i="1"/>
  <c r="AN218" i="1"/>
  <c r="BK218" i="1"/>
  <c r="AM218" i="1"/>
  <c r="S218" i="5"/>
  <c r="AJ218" i="1"/>
  <c r="AK218" i="1"/>
  <c r="AL218" i="1"/>
  <c r="U218" i="1"/>
  <c r="W218" i="1"/>
  <c r="T218" i="1"/>
  <c r="V218" i="1"/>
  <c r="G218" i="5"/>
  <c r="O265" i="5"/>
  <c r="AG265" i="1"/>
  <c r="AF265" i="1"/>
  <c r="AE265" i="1"/>
  <c r="AH265" i="1"/>
  <c r="O321" i="5"/>
  <c r="AG321" i="1"/>
  <c r="AH321" i="1"/>
  <c r="AE321" i="1"/>
  <c r="AF321" i="1"/>
  <c r="BF181" i="1"/>
  <c r="BG181" i="1" s="1"/>
  <c r="BP181" i="1" s="1" a="1"/>
  <c r="BP181" i="1" s="1"/>
  <c r="CD181" i="1"/>
  <c r="G181" i="5"/>
  <c r="V181" i="1"/>
  <c r="U181" i="1"/>
  <c r="T181" i="1"/>
  <c r="W181" i="1"/>
  <c r="AM181" i="1"/>
  <c r="AJ181" i="1"/>
  <c r="S181" i="5"/>
  <c r="AK181" i="1"/>
  <c r="AL181" i="1"/>
  <c r="AN181" i="1"/>
  <c r="BK181" i="1"/>
  <c r="K236" i="5"/>
  <c r="Y236" i="1"/>
  <c r="Z236" i="1"/>
  <c r="AA236" i="1"/>
  <c r="AB236" i="1"/>
  <c r="AB248" i="1"/>
  <c r="Y248" i="1"/>
  <c r="AA248" i="1"/>
  <c r="Z248" i="1"/>
  <c r="K248" i="5"/>
  <c r="K260" i="5"/>
  <c r="Y260" i="1"/>
  <c r="AA260" i="1"/>
  <c r="Z260" i="1"/>
  <c r="AB260" i="1"/>
  <c r="K272" i="5"/>
  <c r="Z272" i="1"/>
  <c r="AB272" i="1"/>
  <c r="Y272" i="1"/>
  <c r="AA272" i="1"/>
  <c r="AB284" i="1"/>
  <c r="K308" i="5"/>
  <c r="AA308" i="1"/>
  <c r="AB308" i="1"/>
  <c r="Y308" i="1"/>
  <c r="Z308" i="1"/>
  <c r="AA321" i="1"/>
  <c r="K321" i="5"/>
  <c r="AB321" i="1"/>
  <c r="Z321" i="1"/>
  <c r="Y321" i="1"/>
  <c r="Z334" i="1"/>
  <c r="AB334" i="1"/>
  <c r="K334" i="5"/>
  <c r="AA334" i="1"/>
  <c r="Y334" i="1"/>
  <c r="O249" i="5"/>
  <c r="AG249" i="1"/>
  <c r="AE249" i="1"/>
  <c r="AH249" i="1"/>
  <c r="AF249" i="1"/>
  <c r="AG255" i="1"/>
  <c r="AF255" i="1"/>
  <c r="AE255" i="1"/>
  <c r="O255" i="5"/>
  <c r="AH255" i="1"/>
  <c r="BU309" i="1"/>
  <c r="BW309" i="1"/>
  <c r="CD309" i="1"/>
  <c r="BF309" i="1"/>
  <c r="BG309" i="1"/>
  <c r="BP309" i="1" s="1" a="1"/>
  <c r="BP309" i="1" s="1"/>
  <c r="AN309" i="1"/>
  <c r="BK309" i="1"/>
  <c r="S309" i="5"/>
  <c r="AM309" i="1"/>
  <c r="AJ309" i="1"/>
  <c r="AK309" i="1"/>
  <c r="AL309" i="1"/>
  <c r="V309" i="1"/>
  <c r="T309" i="1"/>
  <c r="G309" i="5"/>
  <c r="W309" i="1"/>
  <c r="U309" i="1"/>
  <c r="K237" i="5"/>
  <c r="Z237" i="1"/>
  <c r="AB237" i="1"/>
  <c r="AA237" i="1"/>
  <c r="Y237" i="1"/>
  <c r="K249" i="5"/>
  <c r="AB249" i="1"/>
  <c r="AA249" i="1"/>
  <c r="Y249" i="1"/>
  <c r="Z249" i="1"/>
  <c r="K261" i="5"/>
  <c r="AB261" i="1"/>
  <c r="Y261" i="1"/>
  <c r="Z261" i="1"/>
  <c r="AA261" i="1"/>
  <c r="K285" i="5"/>
  <c r="AA285" i="1"/>
  <c r="AB285" i="1"/>
  <c r="Z285" i="1"/>
  <c r="Y285" i="1"/>
  <c r="K296" i="5"/>
  <c r="AB296" i="1"/>
  <c r="Z296" i="1"/>
  <c r="Y296" i="1"/>
  <c r="AA296" i="1"/>
  <c r="K310" i="5"/>
  <c r="AB310" i="1"/>
  <c r="AA310" i="1"/>
  <c r="Y310" i="1"/>
  <c r="Z310" i="1"/>
  <c r="Y322" i="1"/>
  <c r="Z322" i="1"/>
  <c r="K322" i="5"/>
  <c r="AB322" i="1"/>
  <c r="AA322" i="1"/>
  <c r="K335" i="5"/>
  <c r="AA335" i="1"/>
  <c r="Y335" i="1"/>
  <c r="AB335" i="1"/>
  <c r="Z335" i="1"/>
  <c r="AF250" i="1"/>
  <c r="AH250" i="1"/>
  <c r="AE250" i="1"/>
  <c r="AG250" i="1"/>
  <c r="O250" i="5"/>
  <c r="AH254" i="1"/>
  <c r="AF254" i="1"/>
  <c r="AG254" i="1"/>
  <c r="O254" i="5"/>
  <c r="AE254" i="1"/>
  <c r="O301" i="5"/>
  <c r="AF301" i="1"/>
  <c r="AH301" i="1"/>
  <c r="AE301" i="1"/>
  <c r="AG301" i="1"/>
  <c r="BU216" i="1"/>
  <c r="BF216" i="1"/>
  <c r="CD216" i="1"/>
  <c r="BG216" i="1"/>
  <c r="BP216" i="1" s="1" a="1"/>
  <c r="BP216" i="1" s="1"/>
  <c r="AN216" i="1"/>
  <c r="BK216" i="1"/>
  <c r="W216" i="1"/>
  <c r="G216" i="5"/>
  <c r="T216" i="1"/>
  <c r="U216" i="1"/>
  <c r="V216" i="1"/>
  <c r="BU179" i="1"/>
  <c r="BG179" i="1"/>
  <c r="BP179" i="1" s="1" a="1"/>
  <c r="BP179" i="1" s="1"/>
  <c r="CD179" i="1"/>
  <c r="BF179" i="1"/>
  <c r="AN179" i="1"/>
  <c r="BK179" i="1"/>
  <c r="AQ179" i="1"/>
  <c r="BS179" i="1" s="1"/>
  <c r="U179" i="1"/>
  <c r="V179" i="1"/>
  <c r="G179" i="5"/>
  <c r="W179" i="1"/>
  <c r="T179" i="1"/>
  <c r="O325" i="5"/>
  <c r="AE325" i="1"/>
  <c r="AH325" i="1"/>
  <c r="AF325" i="1"/>
  <c r="AG325" i="1"/>
  <c r="O326" i="5"/>
  <c r="AE326" i="1"/>
  <c r="AG326" i="1"/>
  <c r="AF326" i="1"/>
  <c r="AH326" i="1"/>
  <c r="BG178" i="1"/>
  <c r="BP178" i="1" s="1" a="1"/>
  <c r="BP178" i="1" s="1"/>
  <c r="BU178" i="1"/>
  <c r="BF178" i="1"/>
  <c r="CD178" i="1"/>
  <c r="BK178" i="1"/>
  <c r="AN178" i="1"/>
  <c r="S178" i="5"/>
  <c r="AJ178" i="1"/>
  <c r="AK178" i="1"/>
  <c r="AM178" i="1"/>
  <c r="AL178" i="1"/>
  <c r="T178" i="1"/>
  <c r="U178" i="1"/>
  <c r="G178" i="5"/>
  <c r="W178" i="1"/>
  <c r="V178" i="1"/>
  <c r="AH339" i="1"/>
  <c r="AG339" i="1"/>
  <c r="AE339" i="1"/>
  <c r="O339" i="5"/>
  <c r="AF339" i="1"/>
  <c r="CD211" i="1"/>
  <c r="BU211" i="1"/>
  <c r="BF211" i="1"/>
  <c r="BG211" i="1"/>
  <c r="BP211" i="1" s="1" a="1"/>
  <c r="BP211" i="1" s="1"/>
  <c r="BK211" i="1"/>
  <c r="AN211" i="1"/>
  <c r="G211" i="5"/>
  <c r="T211" i="1"/>
  <c r="V211" i="1"/>
  <c r="W211" i="1"/>
  <c r="U211" i="1"/>
  <c r="CD225" i="1"/>
  <c r="BF225" i="1"/>
  <c r="BG225" i="1"/>
  <c r="BP225" i="1" s="1" a="1"/>
  <c r="BP225" i="1" s="1"/>
  <c r="BU225" i="1"/>
  <c r="U225" i="1"/>
  <c r="G225" i="5"/>
  <c r="T225" i="1"/>
  <c r="W225" i="1"/>
  <c r="V225" i="1"/>
  <c r="AJ225" i="1"/>
  <c r="S225" i="5"/>
  <c r="AL225" i="1"/>
  <c r="AK225" i="1"/>
  <c r="AM225" i="1"/>
  <c r="BK225" i="1"/>
  <c r="AN225" i="1"/>
  <c r="Z238" i="1"/>
  <c r="K238" i="5"/>
  <c r="Y238" i="1"/>
  <c r="AB238" i="1"/>
  <c r="AA238" i="1"/>
  <c r="K250" i="5"/>
  <c r="Z250" i="1"/>
  <c r="AB250" i="1"/>
  <c r="Y250" i="1"/>
  <c r="AA250" i="1"/>
  <c r="K262" i="5"/>
  <c r="AA262" i="1"/>
  <c r="Y262" i="1"/>
  <c r="Z262" i="1"/>
  <c r="AB262" i="1"/>
  <c r="K274" i="5"/>
  <c r="AA274" i="1"/>
  <c r="Y274" i="1"/>
  <c r="Z274" i="1"/>
  <c r="AB274" i="1"/>
  <c r="K286" i="5"/>
  <c r="Y286" i="1"/>
  <c r="Z286" i="1"/>
  <c r="AA286" i="1"/>
  <c r="AB286" i="1"/>
  <c r="K297" i="5"/>
  <c r="Z297" i="1"/>
  <c r="AB297" i="1"/>
  <c r="AA297" i="1"/>
  <c r="Y297" i="1"/>
  <c r="K311" i="5"/>
  <c r="AA311" i="1"/>
  <c r="AB311" i="1"/>
  <c r="Y311" i="1"/>
  <c r="Z311" i="1"/>
  <c r="K323" i="5"/>
  <c r="AB323" i="1"/>
  <c r="Y323" i="1"/>
  <c r="Z323" i="1"/>
  <c r="AA323" i="1"/>
  <c r="K336" i="5"/>
  <c r="Y336" i="1"/>
  <c r="Z336" i="1"/>
  <c r="AB336" i="1"/>
  <c r="AA336" i="1"/>
  <c r="O279" i="5"/>
  <c r="AG279" i="1"/>
  <c r="AF279" i="1"/>
  <c r="AH279" i="1"/>
  <c r="AE279" i="1"/>
  <c r="AF302" i="1"/>
  <c r="AE302" i="1"/>
  <c r="AH302" i="1"/>
  <c r="O302" i="5"/>
  <c r="AG302" i="1"/>
  <c r="AE304" i="1"/>
  <c r="AG304" i="1"/>
  <c r="AF304" i="1"/>
  <c r="AH304" i="1"/>
  <c r="O304" i="5"/>
  <c r="AF305" i="1"/>
  <c r="AE305" i="1"/>
  <c r="AG305" i="1"/>
  <c r="O305" i="5"/>
  <c r="AH305" i="1"/>
  <c r="AE307" i="1"/>
  <c r="O307" i="5"/>
  <c r="AF307" i="1"/>
  <c r="AG307" i="1"/>
  <c r="AH307" i="1"/>
  <c r="AE319" i="1"/>
  <c r="AF319" i="1"/>
  <c r="AG319" i="1"/>
  <c r="AH319" i="1"/>
  <c r="O319" i="5"/>
  <c r="CD227" i="1"/>
  <c r="BF227" i="1"/>
  <c r="BG227" i="1"/>
  <c r="BP227" i="1" s="1" a="1"/>
  <c r="BP227" i="1" s="1"/>
  <c r="BU227" i="1"/>
  <c r="AN227" i="1"/>
  <c r="BK227" i="1"/>
  <c r="V227" i="1"/>
  <c r="W227" i="1"/>
  <c r="T227" i="1"/>
  <c r="U227" i="1"/>
  <c r="G227" i="5"/>
  <c r="BF222" i="1"/>
  <c r="BG222" i="1" s="1"/>
  <c r="BP222" i="1" s="1" a="1"/>
  <c r="BP222" i="1" s="1"/>
  <c r="CD222" i="1"/>
  <c r="BU222" i="1"/>
  <c r="S222" i="5"/>
  <c r="AJ222" i="1"/>
  <c r="AM222" i="1"/>
  <c r="AK222" i="1"/>
  <c r="AL222" i="1"/>
  <c r="BK222" i="1"/>
  <c r="AN222" i="1"/>
  <c r="G222" i="5"/>
  <c r="W222" i="1"/>
  <c r="T222" i="1"/>
  <c r="V222" i="1"/>
  <c r="U222" i="1"/>
  <c r="BG324" i="1"/>
  <c r="BP324" i="1" s="1" a="1"/>
  <c r="BP324" i="1" s="1"/>
  <c r="CD324" i="1"/>
  <c r="BU324" i="1"/>
  <c r="BF324" i="1"/>
  <c r="AK324" i="1"/>
  <c r="AL324" i="1"/>
  <c r="AM324" i="1"/>
  <c r="AJ324" i="1"/>
  <c r="BK324" i="1"/>
  <c r="AN324" i="1"/>
  <c r="G324" i="5"/>
  <c r="U324" i="1"/>
  <c r="V324" i="1"/>
  <c r="T324" i="1"/>
  <c r="W324" i="1"/>
  <c r="AZ205" i="3"/>
  <c r="X218" i="1"/>
  <c r="BQ205" i="3"/>
  <c r="K275" i="5"/>
  <c r="AA275" i="1"/>
  <c r="Y275" i="1"/>
  <c r="Z275" i="1"/>
  <c r="AB275" i="1"/>
  <c r="K287" i="5"/>
  <c r="Y287" i="1"/>
  <c r="AB287" i="1"/>
  <c r="Z287" i="1"/>
  <c r="AA287" i="1"/>
  <c r="K298" i="5"/>
  <c r="AA298" i="1"/>
  <c r="Z298" i="1"/>
  <c r="Y298" i="1"/>
  <c r="AB298" i="1"/>
  <c r="K312" i="5"/>
  <c r="Z312" i="1"/>
  <c r="Y312" i="1"/>
  <c r="AA312" i="1"/>
  <c r="AB312" i="1"/>
  <c r="K325" i="5"/>
  <c r="Y325" i="1"/>
  <c r="AA325" i="1"/>
  <c r="AB325" i="1"/>
  <c r="Z325" i="1"/>
  <c r="K337" i="5"/>
  <c r="Y337" i="1"/>
  <c r="AA337" i="1"/>
  <c r="Z337" i="1"/>
  <c r="AB337" i="1"/>
  <c r="O243" i="5"/>
  <c r="AH243" i="1"/>
  <c r="AF243" i="1"/>
  <c r="AG243" i="1"/>
  <c r="AE243" i="1"/>
  <c r="AE278" i="1"/>
  <c r="AH278" i="1"/>
  <c r="AF278" i="1"/>
  <c r="AG278" i="1"/>
  <c r="O278" i="5"/>
  <c r="O284" i="5"/>
  <c r="AH284" i="1"/>
  <c r="AG284" i="1"/>
  <c r="AF284" i="1"/>
  <c r="AE284" i="1"/>
  <c r="O285" i="5"/>
  <c r="AF285" i="1"/>
  <c r="AE285" i="1"/>
  <c r="AG285" i="1"/>
  <c r="AH285" i="1"/>
  <c r="AG327" i="1"/>
  <c r="AH327" i="1"/>
  <c r="O327" i="5"/>
  <c r="AE327" i="1"/>
  <c r="AF327" i="1"/>
  <c r="O330" i="5"/>
  <c r="AH330" i="1"/>
  <c r="AG330" i="1"/>
  <c r="AE330" i="1"/>
  <c r="AF330" i="1"/>
  <c r="O331" i="5"/>
  <c r="AH331" i="1"/>
  <c r="AG331" i="1"/>
  <c r="AF331" i="1"/>
  <c r="AE331" i="1"/>
  <c r="AE332" i="1"/>
  <c r="AG332" i="1"/>
  <c r="AH332" i="1"/>
  <c r="O332" i="5"/>
  <c r="AF332" i="1"/>
  <c r="BG215" i="1"/>
  <c r="BP215" i="1" s="1" a="1"/>
  <c r="BP215" i="1" s="1"/>
  <c r="CD215" i="1"/>
  <c r="BF215" i="1"/>
  <c r="BU215" i="1"/>
  <c r="BK215" i="1"/>
  <c r="AN215" i="1"/>
  <c r="G215" i="5"/>
  <c r="W215" i="1"/>
  <c r="U215" i="1"/>
  <c r="T215" i="1"/>
  <c r="V215" i="1"/>
  <c r="BU177" i="1"/>
  <c r="BF177" i="1"/>
  <c r="CD177" i="1"/>
  <c r="BG177" i="1"/>
  <c r="BP177" i="1" s="1" a="1"/>
  <c r="BP177" i="1" s="1"/>
  <c r="S177" i="5"/>
  <c r="AJ177" i="1"/>
  <c r="AK177" i="1"/>
  <c r="AM177" i="1"/>
  <c r="AL177" i="1"/>
  <c r="BK177" i="1"/>
  <c r="AN177" i="1"/>
  <c r="Z240" i="1"/>
  <c r="AB240" i="1"/>
  <c r="K240" i="5"/>
  <c r="Y240" i="1"/>
  <c r="AA240" i="1"/>
  <c r="K264" i="5"/>
  <c r="AB264" i="1"/>
  <c r="Z264" i="1"/>
  <c r="AA264" i="1"/>
  <c r="Y264" i="1"/>
  <c r="K276" i="5"/>
  <c r="Z276" i="1"/>
  <c r="AA276" i="1"/>
  <c r="Y276" i="1"/>
  <c r="AB276" i="1"/>
  <c r="K288" i="5"/>
  <c r="AA288" i="1"/>
  <c r="AB288" i="1"/>
  <c r="Z288" i="1"/>
  <c r="Y288" i="1"/>
  <c r="K299" i="5"/>
  <c r="Y299" i="1"/>
  <c r="AB299" i="1"/>
  <c r="AA299" i="1"/>
  <c r="Z299" i="1"/>
  <c r="K313" i="5"/>
  <c r="Y313" i="1"/>
  <c r="AA313" i="1"/>
  <c r="AB313" i="1"/>
  <c r="Z313" i="1"/>
  <c r="AB326" i="1"/>
  <c r="AA326" i="1"/>
  <c r="K326" i="5"/>
  <c r="Z326" i="1"/>
  <c r="Y326" i="1"/>
  <c r="K338" i="5"/>
  <c r="AA338" i="1"/>
  <c r="AB338" i="1"/>
  <c r="Y338" i="1"/>
  <c r="Z338" i="1"/>
  <c r="AF310" i="1"/>
  <c r="AE310" i="1"/>
  <c r="AH310" i="1"/>
  <c r="O310" i="5"/>
  <c r="AG310" i="1"/>
  <c r="O328" i="5"/>
  <c r="AH328" i="1"/>
  <c r="AF328" i="1"/>
  <c r="AE328" i="1"/>
  <c r="AG328" i="1"/>
  <c r="AF333" i="1"/>
  <c r="AE333" i="1"/>
  <c r="O333" i="5"/>
  <c r="AG333" i="1"/>
  <c r="AH333" i="1"/>
  <c r="O341" i="5"/>
  <c r="AH341" i="1"/>
  <c r="AF341" i="1"/>
  <c r="AG341" i="1"/>
  <c r="AE341" i="1"/>
  <c r="BF214" i="1"/>
  <c r="BU214" i="1"/>
  <c r="CD214" i="1"/>
  <c r="BG214" i="1"/>
  <c r="BP214" i="1" s="1" a="1"/>
  <c r="BP214" i="1" s="1"/>
  <c r="U214" i="1"/>
  <c r="V214" i="1"/>
  <c r="G214" i="5"/>
  <c r="T214" i="1"/>
  <c r="W214" i="1"/>
  <c r="AQ214" i="1"/>
  <c r="BS214" i="1" s="1"/>
  <c r="AN214" i="1"/>
  <c r="BK214" i="1"/>
  <c r="AZ176" i="1"/>
  <c r="BF176" i="1"/>
  <c r="BU176" i="1"/>
  <c r="BG176" i="1"/>
  <c r="BP176" i="1" s="1" a="1"/>
  <c r="BP176" i="1" s="1"/>
  <c r="CD176" i="1"/>
  <c r="AN176" i="1"/>
  <c r="BK176" i="1"/>
  <c r="AJ176" i="1"/>
  <c r="AK176" i="1"/>
  <c r="S176" i="5"/>
  <c r="AL176" i="1"/>
  <c r="AM176" i="1"/>
  <c r="AF311" i="1"/>
  <c r="AE311" i="1"/>
  <c r="O311" i="5"/>
  <c r="AH311" i="1"/>
  <c r="AG311" i="1"/>
  <c r="O338" i="5"/>
  <c r="AE338" i="1"/>
  <c r="AG338" i="1"/>
  <c r="AH338" i="1"/>
  <c r="AF338" i="1"/>
  <c r="AE345" i="1"/>
  <c r="AH345" i="1"/>
  <c r="O345" i="5"/>
  <c r="AG345" i="1"/>
  <c r="AF345" i="1"/>
  <c r="CD210" i="1"/>
  <c r="BF210" i="1"/>
  <c r="BG210" i="1"/>
  <c r="BP210" i="1" s="1" a="1"/>
  <c r="BP210" i="1" s="1"/>
  <c r="BU210" i="1"/>
  <c r="T210" i="1"/>
  <c r="U210" i="1"/>
  <c r="W210" i="1"/>
  <c r="G210" i="5"/>
  <c r="V210" i="1"/>
  <c r="AN210" i="1"/>
  <c r="BK210" i="1"/>
  <c r="BU174" i="1"/>
  <c r="BF174" i="1"/>
  <c r="CD174" i="1"/>
  <c r="BG174" i="1"/>
  <c r="BP174" i="1" s="1" a="1"/>
  <c r="BP174" i="1" s="1"/>
  <c r="AN174" i="1"/>
  <c r="BK174" i="1"/>
  <c r="T174" i="1"/>
  <c r="W174" i="1"/>
  <c r="G174" i="5"/>
  <c r="U174" i="1"/>
  <c r="V174" i="1"/>
  <c r="AK174" i="1"/>
  <c r="AL174" i="1"/>
  <c r="AJ174" i="1"/>
  <c r="S174" i="5"/>
  <c r="AM174" i="1"/>
  <c r="AJ229" i="1"/>
  <c r="AK229" i="1"/>
  <c r="AL229" i="1"/>
  <c r="AM229" i="1"/>
  <c r="S229" i="5"/>
  <c r="BK229" i="1"/>
  <c r="AN229" i="1"/>
  <c r="T229" i="1"/>
  <c r="W229" i="1"/>
  <c r="V229" i="1"/>
  <c r="U229" i="1"/>
  <c r="G229" i="5"/>
  <c r="BW229" i="1"/>
  <c r="BF229" i="1"/>
  <c r="CD229" i="1"/>
  <c r="BG229" i="1"/>
  <c r="BP229" i="1" s="1" a="1"/>
  <c r="BP229" i="1" s="1"/>
  <c r="BU229" i="1"/>
  <c r="G226" i="5"/>
  <c r="V226" i="1"/>
  <c r="T226" i="1"/>
  <c r="U226" i="1"/>
  <c r="W226" i="1"/>
  <c r="BG226" i="1"/>
  <c r="BP226" i="1" s="1" a="1"/>
  <c r="BP226" i="1" s="1"/>
  <c r="CD226" i="1"/>
  <c r="BF226" i="1"/>
  <c r="AN226" i="1"/>
  <c r="BK226" i="1"/>
  <c r="AK226" i="1"/>
  <c r="AJ226" i="1"/>
  <c r="AM226" i="1"/>
  <c r="S226" i="5"/>
  <c r="AL226" i="1"/>
  <c r="BG223" i="1"/>
  <c r="BP223" i="1" s="1" a="1"/>
  <c r="BP223" i="1" s="1"/>
  <c r="CD223" i="1"/>
  <c r="BU223" i="1"/>
  <c r="BF223" i="1"/>
  <c r="AM223" i="1"/>
  <c r="AJ223" i="1"/>
  <c r="AK223" i="1"/>
  <c r="AL223" i="1"/>
  <c r="AN223" i="1"/>
  <c r="BK223" i="1"/>
  <c r="U223" i="1"/>
  <c r="G223" i="5"/>
  <c r="V223" i="1"/>
  <c r="W223" i="1"/>
  <c r="T223" i="1"/>
  <c r="Z222" i="1"/>
  <c r="AB222" i="1"/>
  <c r="K222" i="5"/>
  <c r="Y222" i="1"/>
  <c r="AA222" i="1"/>
  <c r="Y241" i="1"/>
  <c r="K241" i="5"/>
  <c r="AA241" i="1"/>
  <c r="AB241" i="1"/>
  <c r="Z241" i="1"/>
  <c r="K265" i="5"/>
  <c r="AB265" i="1"/>
  <c r="Z265" i="1"/>
  <c r="Y265" i="1"/>
  <c r="AA265" i="1"/>
  <c r="K289" i="5"/>
  <c r="AB289" i="1"/>
  <c r="Z289" i="1"/>
  <c r="Y289" i="1"/>
  <c r="AA289" i="1"/>
  <c r="K301" i="5"/>
  <c r="AB301" i="1"/>
  <c r="Y301" i="1"/>
  <c r="AA301" i="1"/>
  <c r="Z301" i="1"/>
  <c r="AA314" i="1"/>
  <c r="K314" i="5"/>
  <c r="Y314" i="1"/>
  <c r="Z314" i="1"/>
  <c r="AB314" i="1"/>
  <c r="K327" i="5"/>
  <c r="Y327" i="1"/>
  <c r="AB327" i="1"/>
  <c r="Z327" i="1"/>
  <c r="AA327" i="1"/>
  <c r="K339" i="5"/>
  <c r="Z339" i="1"/>
  <c r="Y339" i="1"/>
  <c r="AA339" i="1"/>
  <c r="AB339" i="1"/>
  <c r="AH334" i="1"/>
  <c r="AF334" i="1"/>
  <c r="AE334" i="1"/>
  <c r="O334" i="5"/>
  <c r="AG334" i="1"/>
  <c r="O335" i="5"/>
  <c r="AH335" i="1"/>
  <c r="AG335" i="1"/>
  <c r="AE335" i="1"/>
  <c r="AF335" i="1"/>
  <c r="AE336" i="1"/>
  <c r="O336" i="5"/>
  <c r="AF336" i="1"/>
  <c r="AG336" i="1"/>
  <c r="AH336" i="1"/>
  <c r="AF337" i="1"/>
  <c r="O337" i="5"/>
  <c r="AH337" i="1"/>
  <c r="AE337" i="1"/>
  <c r="AG337" i="1"/>
  <c r="AF340" i="1"/>
  <c r="AG340" i="1"/>
  <c r="O340" i="5"/>
  <c r="AH340" i="1"/>
  <c r="AE340" i="1"/>
  <c r="AF342" i="1"/>
  <c r="AE342" i="1"/>
  <c r="O342" i="5"/>
  <c r="AH342" i="1"/>
  <c r="AG342" i="1"/>
  <c r="BU213" i="1"/>
  <c r="CD213" i="1"/>
  <c r="BF213" i="1"/>
  <c r="BG213" i="1"/>
  <c r="BP213" i="1" s="1" a="1"/>
  <c r="BP213" i="1" s="1"/>
  <c r="BK213" i="1"/>
  <c r="AN213" i="1"/>
  <c r="V213" i="1"/>
  <c r="T213" i="1"/>
  <c r="W213" i="1"/>
  <c r="G213" i="5"/>
  <c r="U213" i="1"/>
  <c r="BK175" i="1"/>
  <c r="AN175" i="1"/>
  <c r="V175" i="1"/>
  <c r="G175" i="5"/>
  <c r="U175" i="1"/>
  <c r="W175" i="1"/>
  <c r="T175" i="1"/>
  <c r="BG175" i="1"/>
  <c r="BP175" i="1" s="1" a="1"/>
  <c r="BP175" i="1" s="1"/>
  <c r="BF175" i="1"/>
  <c r="CD175" i="1"/>
  <c r="AH313" i="1"/>
  <c r="O313" i="5"/>
  <c r="AF313" i="1"/>
  <c r="AE313" i="1"/>
  <c r="AG313" i="1"/>
  <c r="BG228" i="1"/>
  <c r="BP228" i="1" s="1" a="1"/>
  <c r="BP228" i="1" s="1"/>
  <c r="BU228" i="1"/>
  <c r="BF228" i="1"/>
  <c r="CD228" i="1"/>
  <c r="S228" i="5"/>
  <c r="AM228" i="1"/>
  <c r="AJ228" i="1"/>
  <c r="AK228" i="1"/>
  <c r="AL228" i="1"/>
  <c r="BK228" i="1"/>
  <c r="AN228" i="1"/>
  <c r="V228" i="1"/>
  <c r="G228" i="5"/>
  <c r="U228" i="1"/>
  <c r="W228" i="1"/>
  <c r="T228" i="1"/>
  <c r="BW224" i="1"/>
  <c r="CD224" i="1"/>
  <c r="BF224" i="1"/>
  <c r="BG224" i="1"/>
  <c r="BP224" i="1" s="1" a="1"/>
  <c r="BP224" i="1" s="1"/>
  <c r="BU224" i="1"/>
  <c r="W224" i="1"/>
  <c r="U224" i="1"/>
  <c r="T224" i="1"/>
  <c r="G224" i="5"/>
  <c r="V224" i="1"/>
  <c r="BK224" i="1"/>
  <c r="AN224" i="1"/>
  <c r="Z226" i="1"/>
  <c r="K226" i="5"/>
  <c r="AA226" i="1"/>
  <c r="AB226" i="1"/>
  <c r="Y226" i="1"/>
  <c r="K242" i="5"/>
  <c r="Y242" i="1"/>
  <c r="Z242" i="1"/>
  <c r="AA242" i="1"/>
  <c r="AB242" i="1"/>
  <c r="K254" i="5"/>
  <c r="Z254" i="1"/>
  <c r="AA254" i="1"/>
  <c r="AB254" i="1"/>
  <c r="Y254" i="1"/>
  <c r="K290" i="5"/>
  <c r="Y290" i="1"/>
  <c r="Z290" i="1"/>
  <c r="AA290" i="1"/>
  <c r="AB290" i="1"/>
  <c r="AA302" i="1"/>
  <c r="Y302" i="1"/>
  <c r="Z302" i="1"/>
  <c r="AB302" i="1"/>
  <c r="Y340" i="1"/>
  <c r="K340" i="5"/>
  <c r="AB340" i="1"/>
  <c r="Z340" i="1"/>
  <c r="AA340" i="1"/>
  <c r="K231" i="5"/>
  <c r="AA231" i="1"/>
  <c r="Y231" i="1"/>
  <c r="Z231" i="1"/>
  <c r="AB231" i="1"/>
  <c r="K243" i="5"/>
  <c r="Z243" i="1"/>
  <c r="Y243" i="1"/>
  <c r="AB243" i="1"/>
  <c r="AA243" i="1"/>
  <c r="K255" i="5"/>
  <c r="Y255" i="1"/>
  <c r="Z255" i="1"/>
  <c r="AA255" i="1"/>
  <c r="AB255" i="1"/>
  <c r="K267" i="5"/>
  <c r="AB267" i="1"/>
  <c r="Y267" i="1"/>
  <c r="Z267" i="1"/>
  <c r="AA267" i="1"/>
  <c r="K279" i="5"/>
  <c r="AB279" i="1"/>
  <c r="Y279" i="1"/>
  <c r="Z279" i="1"/>
  <c r="AA279" i="1"/>
  <c r="K303" i="5"/>
  <c r="Z303" i="1"/>
  <c r="AA303" i="1"/>
  <c r="AB303" i="1"/>
  <c r="Y303" i="1"/>
  <c r="K316" i="5"/>
  <c r="Z316" i="1"/>
  <c r="Y316" i="1"/>
  <c r="AA316" i="1"/>
  <c r="AB316" i="1"/>
  <c r="AA330" i="1"/>
  <c r="Z330" i="1"/>
  <c r="K330" i="5"/>
  <c r="Y330" i="1"/>
  <c r="AB330" i="1"/>
  <c r="K341" i="5"/>
  <c r="Z341" i="1"/>
  <c r="AA341" i="1"/>
  <c r="AB341" i="1"/>
  <c r="Y341" i="1"/>
  <c r="AG226" i="1"/>
  <c r="AE226" i="1"/>
  <c r="AF226" i="1"/>
  <c r="O226" i="5"/>
  <c r="AH226" i="1"/>
  <c r="AF237" i="1"/>
  <c r="O237" i="5"/>
  <c r="AH237" i="1"/>
  <c r="AG237" i="1"/>
  <c r="AE237" i="1"/>
  <c r="BU212" i="1"/>
  <c r="BG212" i="1"/>
  <c r="BP212" i="1" s="1" a="1"/>
  <c r="BP212" i="1" s="1"/>
  <c r="CD212" i="1"/>
  <c r="BF212" i="1"/>
  <c r="BK212" i="1"/>
  <c r="AN212" i="1"/>
  <c r="T212" i="1"/>
  <c r="G212" i="5"/>
  <c r="W212" i="1"/>
  <c r="V212" i="1"/>
  <c r="U212" i="1"/>
  <c r="K219" i="5"/>
  <c r="Z219" i="1"/>
  <c r="AB219" i="1"/>
  <c r="Y219" i="1"/>
  <c r="AA219" i="1"/>
  <c r="Z254" i="5"/>
  <c r="AA254" i="5"/>
  <c r="Z224" i="5"/>
  <c r="AA224" i="5"/>
  <c r="Z230" i="5"/>
  <c r="AA230" i="5"/>
  <c r="Z214" i="5"/>
  <c r="AA214" i="5"/>
  <c r="Z210" i="5"/>
  <c r="AA210" i="5"/>
  <c r="AA239" i="5"/>
  <c r="Z239" i="5"/>
  <c r="Z325" i="5"/>
  <c r="AA325" i="5"/>
  <c r="AA216" i="5"/>
  <c r="Z216" i="5"/>
  <c r="Z300" i="5"/>
  <c r="AA300" i="5"/>
  <c r="Z227" i="5"/>
  <c r="AA227" i="5"/>
  <c r="Z217" i="5"/>
  <c r="AA217" i="5"/>
  <c r="Z242" i="5"/>
  <c r="AA242" i="5"/>
  <c r="Z309" i="5"/>
  <c r="AA309" i="5"/>
  <c r="Z220" i="5"/>
  <c r="AA220" i="5"/>
  <c r="Z247" i="5"/>
  <c r="AA247" i="5"/>
  <c r="Z176" i="5"/>
  <c r="AA176" i="5"/>
  <c r="Z218" i="5"/>
  <c r="AA218" i="5"/>
  <c r="Z281" i="5"/>
  <c r="N281" i="1" s="1"/>
  <c r="AA281" i="5"/>
  <c r="O281" i="1" s="1"/>
  <c r="Z177" i="5"/>
  <c r="AA177" i="5"/>
  <c r="Z215" i="5"/>
  <c r="AA215" i="5"/>
  <c r="Z174" i="5"/>
  <c r="AA174" i="5"/>
  <c r="Z292" i="5"/>
  <c r="AA292" i="5"/>
  <c r="Z343" i="5"/>
  <c r="AA343" i="5"/>
  <c r="Z211" i="5"/>
  <c r="AA211" i="5"/>
  <c r="Z225" i="5"/>
  <c r="AA225" i="5"/>
  <c r="Z178" i="5"/>
  <c r="AA178" i="5"/>
  <c r="Z175" i="5"/>
  <c r="AA175" i="5"/>
  <c r="Z328" i="5"/>
  <c r="AA328" i="5"/>
  <c r="Z213" i="5"/>
  <c r="AA213" i="5"/>
  <c r="Z261" i="5"/>
  <c r="AA261" i="5"/>
  <c r="AA212" i="5"/>
  <c r="Z212" i="5"/>
  <c r="BS226" i="3"/>
  <c r="D228" i="5" s="1"/>
  <c r="BO196" i="3"/>
  <c r="BC218" i="3"/>
  <c r="BK226" i="3"/>
  <c r="F228" i="5" s="1"/>
  <c r="BI308" i="3"/>
  <c r="BI218" i="3"/>
  <c r="BM309" i="3"/>
  <c r="AZ309" i="3"/>
  <c r="BS218" i="3"/>
  <c r="D225" i="5" s="1"/>
  <c r="BO177" i="3"/>
  <c r="BI196" i="3"/>
  <c r="AZ196" i="3"/>
  <c r="BQ308" i="3"/>
  <c r="BI309" i="3"/>
  <c r="BK218" i="3"/>
  <c r="F225" i="5" s="1"/>
  <c r="BL226" i="3"/>
  <c r="BQ309" i="3"/>
  <c r="BJ205" i="3"/>
  <c r="BK170" i="3"/>
  <c r="BK174" i="3"/>
  <c r="F174" i="5" s="1"/>
  <c r="BK175" i="3"/>
  <c r="F175" i="5" s="1"/>
  <c r="BS172" i="3"/>
  <c r="BS178" i="3"/>
  <c r="D178" i="5" s="1"/>
  <c r="BK173" i="3"/>
  <c r="BK177" i="3"/>
  <c r="F177" i="5" s="1"/>
  <c r="BK181" i="3"/>
  <c r="F181" i="5" s="1"/>
  <c r="BK187" i="3"/>
  <c r="BK179" i="3"/>
  <c r="F179" i="5" s="1"/>
  <c r="BS184" i="3"/>
  <c r="BK180" i="3"/>
  <c r="F180" i="5" s="1"/>
  <c r="BS188" i="3"/>
  <c r="BS193" i="3"/>
  <c r="BS192" i="3"/>
  <c r="BS191" i="3"/>
  <c r="BK190" i="3"/>
  <c r="BS270" i="3"/>
  <c r="D217" i="5" s="1"/>
  <c r="BK269" i="3"/>
  <c r="F216" i="5" s="1"/>
  <c r="BS196" i="3"/>
  <c r="D212" i="5" s="1"/>
  <c r="BS311" i="3"/>
  <c r="D220" i="5" s="1"/>
  <c r="BS204" i="3"/>
  <c r="D215" i="5" s="1"/>
  <c r="BS203" i="3"/>
  <c r="D214" i="5" s="1"/>
  <c r="BS202" i="3"/>
  <c r="D213" i="5" s="1"/>
  <c r="BN205" i="3"/>
  <c r="BT177" i="3"/>
  <c r="BV200" i="3"/>
  <c r="BU224" i="3"/>
  <c r="BH219" i="3"/>
  <c r="BL219" i="3" s="1"/>
  <c r="AU219" i="3"/>
  <c r="AX219" i="3"/>
  <c r="AZ194" i="3"/>
  <c r="BC194" i="3"/>
  <c r="BC196" i="3"/>
  <c r="BN248" i="3"/>
  <c r="BT194" i="3"/>
  <c r="BT270" i="3"/>
  <c r="BN256" i="3"/>
  <c r="BB218" i="3"/>
  <c r="BO218" i="3"/>
  <c r="BL218" i="3"/>
  <c r="AZ219" i="3"/>
  <c r="BQ219" i="3"/>
  <c r="BU259" i="3"/>
  <c r="BR194" i="3"/>
  <c r="BN200" i="3"/>
  <c r="V194" i="3"/>
  <c r="BT196" i="3"/>
  <c r="BB194" i="3"/>
  <c r="AU194" i="3"/>
  <c r="BH279" i="3"/>
  <c r="BT279" i="3" s="1"/>
  <c r="BH278" i="3"/>
  <c r="S223" i="5" s="1"/>
  <c r="BO309" i="3"/>
  <c r="BO310" i="3"/>
  <c r="BU310" i="3"/>
  <c r="BI310" i="3"/>
  <c r="BQ310" i="3"/>
  <c r="BC310" i="3"/>
  <c r="BM310" i="3"/>
  <c r="AZ310" i="3"/>
  <c r="BO270" i="3"/>
  <c r="BM259" i="3"/>
  <c r="V196" i="3"/>
  <c r="BJ196" i="3"/>
  <c r="BV196" i="3" s="1"/>
  <c r="BN201" i="3"/>
  <c r="BO194" i="3"/>
  <c r="BV195" i="3"/>
  <c r="BM322" i="3"/>
  <c r="BK270" i="3"/>
  <c r="F217" i="5" s="1"/>
  <c r="BB196" i="3"/>
  <c r="BK194" i="3"/>
  <c r="F210" i="5" s="1"/>
  <c r="BS194" i="3"/>
  <c r="D210" i="5" s="1"/>
  <c r="BO269" i="3"/>
  <c r="BO187" i="3"/>
  <c r="BS269" i="3"/>
  <c r="D216" i="5" s="1"/>
  <c r="BV197" i="3"/>
  <c r="BN197" i="3"/>
  <c r="BU197" i="3"/>
  <c r="BU200" i="3"/>
  <c r="BM311" i="3"/>
  <c r="BU311" i="3"/>
  <c r="BU308" i="3"/>
  <c r="BM308" i="3"/>
  <c r="BU204" i="3"/>
  <c r="BM204" i="3"/>
  <c r="BU270" i="3"/>
  <c r="BM270" i="3"/>
  <c r="BU206" i="3"/>
  <c r="BM206" i="3"/>
  <c r="BU195" i="3"/>
  <c r="BM195" i="3"/>
  <c r="BU202" i="3"/>
  <c r="BM202" i="3"/>
  <c r="BU196" i="3"/>
  <c r="BM196" i="3"/>
  <c r="BU203" i="3"/>
  <c r="BM203" i="3"/>
  <c r="BU269" i="3"/>
  <c r="BM269" i="3"/>
  <c r="BM231" i="3"/>
  <c r="BU231" i="3"/>
  <c r="BM289" i="3"/>
  <c r="BU289" i="3"/>
  <c r="BU248" i="3"/>
  <c r="BM248" i="3"/>
  <c r="BU319" i="3"/>
  <c r="BU264" i="3"/>
  <c r="BM264" i="3"/>
  <c r="BU325" i="3"/>
  <c r="BM325" i="3"/>
  <c r="BU257" i="3"/>
  <c r="BM257" i="3"/>
  <c r="BS189" i="3"/>
  <c r="BK189" i="3"/>
  <c r="BS190" i="3"/>
  <c r="BK191" i="3"/>
  <c r="BS186" i="3"/>
  <c r="BK186" i="3"/>
  <c r="BU190" i="3"/>
  <c r="BK192" i="3"/>
  <c r="BT192" i="3"/>
  <c r="BT173" i="3"/>
  <c r="BO178" i="3"/>
  <c r="BK193" i="3"/>
  <c r="BO191" i="3"/>
  <c r="BT187" i="3"/>
  <c r="BT188" i="3"/>
  <c r="BT193" i="3"/>
  <c r="BT190" i="3"/>
  <c r="BO180" i="3"/>
  <c r="BK188" i="3"/>
  <c r="BO186" i="3"/>
  <c r="BO188" i="3"/>
  <c r="BS176" i="3"/>
  <c r="D176" i="5" s="1"/>
  <c r="BS180" i="3"/>
  <c r="D180" i="5" s="1"/>
  <c r="BO172" i="3"/>
  <c r="BO175" i="3"/>
  <c r="BT175" i="3"/>
  <c r="BO174" i="3"/>
  <c r="BK176" i="3"/>
  <c r="F176" i="5" s="1"/>
  <c r="BO182" i="3"/>
  <c r="BS173" i="3"/>
  <c r="BO176" i="3"/>
  <c r="BS179" i="3"/>
  <c r="D179" i="5" s="1"/>
  <c r="BB193" i="3"/>
  <c r="AU193" i="3"/>
  <c r="BU193" i="3"/>
  <c r="AU192" i="3"/>
  <c r="BU192" i="3"/>
  <c r="BJ193" i="3"/>
  <c r="V193" i="3"/>
  <c r="BO193" i="3"/>
  <c r="BJ192" i="3"/>
  <c r="V192" i="3"/>
  <c r="BO192" i="3"/>
  <c r="AU190" i="3"/>
  <c r="BO190" i="3"/>
  <c r="BL190" i="3"/>
  <c r="AQ185" i="3"/>
  <c r="BS185" i="3"/>
  <c r="BK185" i="3"/>
  <c r="BO189" i="3"/>
  <c r="BT189" i="3"/>
  <c r="BT176" i="3"/>
  <c r="BT170" i="3"/>
  <c r="BK172" i="3"/>
  <c r="BO184" i="3"/>
  <c r="BT179" i="3"/>
  <c r="BO173" i="3"/>
  <c r="BK184" i="3"/>
  <c r="BI174" i="3"/>
  <c r="BU174" i="3" s="1"/>
  <c r="BR169" i="3"/>
  <c r="BS187" i="3"/>
  <c r="BS177" i="3"/>
  <c r="D177" i="5" s="1"/>
  <c r="BK178" i="3"/>
  <c r="F178" i="5" s="1"/>
  <c r="BS181" i="3"/>
  <c r="D181" i="5" s="1"/>
  <c r="BL184" i="3"/>
  <c r="BS183" i="3"/>
  <c r="BK183" i="3"/>
  <c r="BS182" i="3"/>
  <c r="D182" i="5" s="1"/>
  <c r="BK182" i="3"/>
  <c r="F182" i="5" s="1"/>
  <c r="BH169" i="3"/>
  <c r="BT169" i="3" s="1"/>
  <c r="BI169" i="3"/>
  <c r="BS169" i="3"/>
  <c r="BK169" i="3"/>
  <c r="BS174" i="3"/>
  <c r="D174" i="5" s="1"/>
  <c r="BB169" i="3"/>
  <c r="BS175" i="3"/>
  <c r="D175" i="5" s="1"/>
  <c r="BO185" i="3"/>
  <c r="BO183" i="3"/>
  <c r="BO179" i="3"/>
  <c r="BL170" i="3"/>
  <c r="BS170" i="3"/>
  <c r="BO170" i="3"/>
  <c r="BE101" i="3"/>
  <c r="BE102" i="3"/>
  <c r="BC167" i="3"/>
  <c r="BD167" i="3"/>
  <c r="BI167" i="3"/>
  <c r="BM167" i="3"/>
  <c r="BQ167" i="3"/>
  <c r="BU167" i="3"/>
  <c r="AY167" i="3"/>
  <c r="AZ167" i="3"/>
  <c r="BA167" i="3"/>
  <c r="AR167" i="3"/>
  <c r="BN195" i="3" l="1"/>
  <c r="AB174" i="1"/>
  <c r="T293" i="5"/>
  <c r="U293" i="5"/>
  <c r="V293" i="5"/>
  <c r="T336" i="5"/>
  <c r="V336" i="5"/>
  <c r="U336" i="5"/>
  <c r="V320" i="5"/>
  <c r="T320" i="5"/>
  <c r="U320" i="5"/>
  <c r="U307" i="5"/>
  <c r="T307" i="5"/>
  <c r="V307" i="5"/>
  <c r="Z174" i="1"/>
  <c r="AA174" i="1"/>
  <c r="F266" i="5"/>
  <c r="Z239" i="1"/>
  <c r="S211" i="5"/>
  <c r="U211" i="5" s="1"/>
  <c r="T298" i="5"/>
  <c r="U298" i="5"/>
  <c r="V298" i="5"/>
  <c r="H293" i="5"/>
  <c r="I293" i="5"/>
  <c r="Y278" i="1"/>
  <c r="AL212" i="1"/>
  <c r="AJ212" i="1"/>
  <c r="I282" i="5"/>
  <c r="H282" i="5"/>
  <c r="T277" i="5"/>
  <c r="U277" i="5"/>
  <c r="V277" i="5"/>
  <c r="K239" i="5"/>
  <c r="AA239" i="1"/>
  <c r="Y239" i="1"/>
  <c r="AA284" i="1"/>
  <c r="Z284" i="1"/>
  <c r="Y284" i="1"/>
  <c r="Z315" i="1"/>
  <c r="Y315" i="1"/>
  <c r="AB315" i="1"/>
  <c r="Y270" i="1"/>
  <c r="AA315" i="1"/>
  <c r="AK211" i="1"/>
  <c r="G177" i="5"/>
  <c r="U176" i="1"/>
  <c r="T176" i="1"/>
  <c r="AL210" i="1"/>
  <c r="V176" i="1"/>
  <c r="S210" i="5"/>
  <c r="V210" i="5" s="1"/>
  <c r="W177" i="1"/>
  <c r="V263" i="5"/>
  <c r="U263" i="5"/>
  <c r="T263" i="5"/>
  <c r="T259" i="5"/>
  <c r="V259" i="5"/>
  <c r="U259" i="5"/>
  <c r="AB278" i="1"/>
  <c r="Z278" i="1"/>
  <c r="K278" i="5"/>
  <c r="N278" i="5" s="1"/>
  <c r="Z245" i="1"/>
  <c r="AB270" i="1"/>
  <c r="K270" i="5"/>
  <c r="N270" i="5" s="1"/>
  <c r="AA270" i="1"/>
  <c r="H295" i="5"/>
  <c r="I295" i="5"/>
  <c r="I273" i="5"/>
  <c r="H273" i="5"/>
  <c r="AJ224" i="1"/>
  <c r="AJ216" i="1"/>
  <c r="AK224" i="1"/>
  <c r="AJ211" i="1"/>
  <c r="AL224" i="1"/>
  <c r="H253" i="5"/>
  <c r="I253" i="5"/>
  <c r="T252" i="5"/>
  <c r="V252" i="5"/>
  <c r="U252" i="5"/>
  <c r="T251" i="5"/>
  <c r="U251" i="5"/>
  <c r="V251" i="5"/>
  <c r="G176" i="5"/>
  <c r="S216" i="5"/>
  <c r="U216" i="5" s="1"/>
  <c r="V177" i="1"/>
  <c r="AM179" i="1"/>
  <c r="AJ210" i="1"/>
  <c r="AM210" i="1"/>
  <c r="AM216" i="1"/>
  <c r="AK216" i="1"/>
  <c r="AA280" i="1"/>
  <c r="U244" i="5"/>
  <c r="T244" i="5"/>
  <c r="V244" i="5"/>
  <c r="Y227" i="1"/>
  <c r="Z227" i="1"/>
  <c r="K227" i="5"/>
  <c r="AA227" i="1"/>
  <c r="AB258" i="1"/>
  <c r="Z293" i="1"/>
  <c r="Y258" i="1"/>
  <c r="AA293" i="1"/>
  <c r="AA258" i="1"/>
  <c r="AB293" i="1"/>
  <c r="Y293" i="1"/>
  <c r="AB282" i="1"/>
  <c r="S179" i="5"/>
  <c r="V179" i="5" s="1"/>
  <c r="AK179" i="1"/>
  <c r="AL179" i="1"/>
  <c r="Z280" i="1"/>
  <c r="AB280" i="1"/>
  <c r="K280" i="5"/>
  <c r="M280" i="5" s="1"/>
  <c r="T238" i="5"/>
  <c r="U238" i="5"/>
  <c r="V238" i="5"/>
  <c r="H238" i="5"/>
  <c r="I238" i="5"/>
  <c r="J238" i="5"/>
  <c r="Z258" i="1"/>
  <c r="S213" i="5"/>
  <c r="V213" i="5" s="1"/>
  <c r="AK212" i="1"/>
  <c r="S212" i="5"/>
  <c r="V212" i="5" s="1"/>
  <c r="AK215" i="1"/>
  <c r="S215" i="5"/>
  <c r="T215" i="5" s="1"/>
  <c r="AM215" i="1"/>
  <c r="AJ215" i="1"/>
  <c r="AM175" i="1"/>
  <c r="S175" i="5"/>
  <c r="V175" i="5" s="1"/>
  <c r="AB245" i="1"/>
  <c r="Y328" i="1"/>
  <c r="AA282" i="1"/>
  <c r="AK175" i="1"/>
  <c r="AJ175" i="1"/>
  <c r="AL213" i="1"/>
  <c r="AK213" i="1"/>
  <c r="AJ213" i="1"/>
  <c r="AM213" i="1"/>
  <c r="Z233" i="1"/>
  <c r="AA328" i="1"/>
  <c r="Z282" i="1"/>
  <c r="AA233" i="1"/>
  <c r="Y282" i="1"/>
  <c r="Y233" i="1"/>
  <c r="K233" i="5"/>
  <c r="L233" i="5" s="1"/>
  <c r="K234" i="5"/>
  <c r="N234" i="5" s="1"/>
  <c r="AA245" i="1"/>
  <c r="Y256" i="1"/>
  <c r="Z234" i="1"/>
  <c r="Y234" i="1"/>
  <c r="Y245" i="1"/>
  <c r="AA317" i="1"/>
  <c r="AB234" i="1"/>
  <c r="AB256" i="1"/>
  <c r="AM211" i="1"/>
  <c r="AL211" i="1"/>
  <c r="T177" i="1"/>
  <c r="BR196" i="3"/>
  <c r="K305" i="5"/>
  <c r="M305" i="5" s="1"/>
  <c r="AK227" i="1"/>
  <c r="AM227" i="1"/>
  <c r="AL227" i="1"/>
  <c r="AJ227" i="1"/>
  <c r="AJ214" i="1"/>
  <c r="AL214" i="1"/>
  <c r="S214" i="5"/>
  <c r="U214" i="5" s="1"/>
  <c r="AM214" i="1"/>
  <c r="Z328" i="1"/>
  <c r="AB328" i="1"/>
  <c r="AA256" i="1"/>
  <c r="AA305" i="1"/>
  <c r="Z305" i="1"/>
  <c r="Y305" i="1"/>
  <c r="AL217" i="1"/>
  <c r="AJ217" i="1"/>
  <c r="AM217" i="1"/>
  <c r="AK217" i="1"/>
  <c r="Y317" i="1"/>
  <c r="K256" i="5"/>
  <c r="N256" i="5" s="1"/>
  <c r="Z317" i="1"/>
  <c r="AB317" i="1"/>
  <c r="S224" i="5"/>
  <c r="T224" i="5" s="1"/>
  <c r="AX196" i="3"/>
  <c r="BN196" i="3"/>
  <c r="S324" i="5"/>
  <c r="U324" i="5" s="1"/>
  <c r="BT219" i="3"/>
  <c r="BI219" i="3"/>
  <c r="BO219" i="3"/>
  <c r="X224" i="1"/>
  <c r="Y224" i="1" s="1"/>
  <c r="K174" i="5"/>
  <c r="L174" i="5" s="1"/>
  <c r="L219" i="5"/>
  <c r="N219" i="5"/>
  <c r="M219" i="5"/>
  <c r="I212" i="5"/>
  <c r="H212" i="5"/>
  <c r="J212" i="5"/>
  <c r="R237" i="5"/>
  <c r="Q237" i="5"/>
  <c r="P237" i="5"/>
  <c r="P226" i="5"/>
  <c r="Q226" i="5"/>
  <c r="R226" i="5"/>
  <c r="N341" i="5"/>
  <c r="L341" i="5"/>
  <c r="M341" i="5"/>
  <c r="N330" i="5"/>
  <c r="M330" i="5"/>
  <c r="L330" i="5"/>
  <c r="M316" i="5"/>
  <c r="N316" i="5"/>
  <c r="L316" i="5"/>
  <c r="M303" i="5"/>
  <c r="L303" i="5"/>
  <c r="N303" i="5"/>
  <c r="M279" i="5"/>
  <c r="L279" i="5"/>
  <c r="N279" i="5"/>
  <c r="N267" i="5"/>
  <c r="M267" i="5"/>
  <c r="L267" i="5"/>
  <c r="M255" i="5"/>
  <c r="N255" i="5"/>
  <c r="L255" i="5"/>
  <c r="M243" i="5"/>
  <c r="L243" i="5"/>
  <c r="N231" i="5"/>
  <c r="L231" i="5"/>
  <c r="M231" i="5"/>
  <c r="N340" i="5"/>
  <c r="L340" i="5"/>
  <c r="M340" i="5"/>
  <c r="N328" i="5"/>
  <c r="L328" i="5"/>
  <c r="M328" i="5"/>
  <c r="L315" i="5"/>
  <c r="N315" i="5"/>
  <c r="M315" i="5"/>
  <c r="M302" i="5"/>
  <c r="L302" i="5"/>
  <c r="N302" i="5"/>
  <c r="M290" i="5"/>
  <c r="L290" i="5"/>
  <c r="N290" i="5"/>
  <c r="M254" i="5"/>
  <c r="L254" i="5"/>
  <c r="N254" i="5"/>
  <c r="M242" i="5"/>
  <c r="L242" i="5"/>
  <c r="N242" i="5"/>
  <c r="L226" i="5"/>
  <c r="M226" i="5"/>
  <c r="N226" i="5"/>
  <c r="H224" i="5"/>
  <c r="I224" i="5"/>
  <c r="J224" i="5"/>
  <c r="H228" i="5"/>
  <c r="J228" i="5"/>
  <c r="I228" i="5"/>
  <c r="U228" i="5"/>
  <c r="T228" i="5"/>
  <c r="V228" i="5"/>
  <c r="R313" i="5"/>
  <c r="P313" i="5"/>
  <c r="Q313" i="5"/>
  <c r="I175" i="5"/>
  <c r="J175" i="5"/>
  <c r="H175" i="5"/>
  <c r="J213" i="5"/>
  <c r="H213" i="5"/>
  <c r="I213" i="5"/>
  <c r="P342" i="5"/>
  <c r="R342" i="5"/>
  <c r="Q342" i="5"/>
  <c r="P340" i="5"/>
  <c r="R340" i="5"/>
  <c r="Q340" i="5"/>
  <c r="R337" i="5"/>
  <c r="P337" i="5"/>
  <c r="Q337" i="5"/>
  <c r="P336" i="5"/>
  <c r="Q336" i="5"/>
  <c r="R336" i="5"/>
  <c r="P335" i="5"/>
  <c r="Q335" i="5"/>
  <c r="R335" i="5"/>
  <c r="P334" i="5"/>
  <c r="Q334" i="5"/>
  <c r="R334" i="5"/>
  <c r="N339" i="5"/>
  <c r="M339" i="5"/>
  <c r="L339" i="5"/>
  <c r="N327" i="5"/>
  <c r="L327" i="5"/>
  <c r="M327" i="5"/>
  <c r="N314" i="5"/>
  <c r="M314" i="5"/>
  <c r="L314" i="5"/>
  <c r="M301" i="5"/>
  <c r="L301" i="5"/>
  <c r="N301" i="5"/>
  <c r="N289" i="5"/>
  <c r="M289" i="5"/>
  <c r="L289" i="5"/>
  <c r="M265" i="5"/>
  <c r="L265" i="5"/>
  <c r="L241" i="5"/>
  <c r="M241" i="5"/>
  <c r="L222" i="5"/>
  <c r="N222" i="5"/>
  <c r="M222" i="5"/>
  <c r="J223" i="5"/>
  <c r="H223" i="5"/>
  <c r="I223" i="5"/>
  <c r="T223" i="5"/>
  <c r="U226" i="5"/>
  <c r="T226" i="5"/>
  <c r="V226" i="5"/>
  <c r="H226" i="5"/>
  <c r="J226" i="5"/>
  <c r="I226" i="5"/>
  <c r="H229" i="5"/>
  <c r="I229" i="5"/>
  <c r="J229" i="5"/>
  <c r="V229" i="5"/>
  <c r="T229" i="5"/>
  <c r="U229" i="5"/>
  <c r="V174" i="5"/>
  <c r="T174" i="5"/>
  <c r="U174" i="5"/>
  <c r="I174" i="5"/>
  <c r="H174" i="5"/>
  <c r="J174" i="5"/>
  <c r="J210" i="5"/>
  <c r="I210" i="5"/>
  <c r="H210" i="5"/>
  <c r="P345" i="5"/>
  <c r="Q345" i="5"/>
  <c r="R345" i="5"/>
  <c r="Q338" i="5"/>
  <c r="R338" i="5"/>
  <c r="P338" i="5"/>
  <c r="R311" i="5"/>
  <c r="P311" i="5"/>
  <c r="Q311" i="5"/>
  <c r="U176" i="5"/>
  <c r="T176" i="5"/>
  <c r="V176" i="5"/>
  <c r="J214" i="5"/>
  <c r="H214" i="5"/>
  <c r="I214" i="5"/>
  <c r="Q341" i="5"/>
  <c r="R341" i="5"/>
  <c r="P341" i="5"/>
  <c r="P333" i="5"/>
  <c r="Q333" i="5"/>
  <c r="R333" i="5"/>
  <c r="P328" i="5"/>
  <c r="Q328" i="5"/>
  <c r="R328" i="5"/>
  <c r="P310" i="5"/>
  <c r="Q310" i="5"/>
  <c r="R310" i="5"/>
  <c r="L338" i="5"/>
  <c r="N338" i="5"/>
  <c r="M338" i="5"/>
  <c r="N326" i="5"/>
  <c r="L326" i="5"/>
  <c r="M326" i="5"/>
  <c r="N313" i="5"/>
  <c r="M313" i="5"/>
  <c r="L313" i="5"/>
  <c r="M299" i="5"/>
  <c r="N299" i="5"/>
  <c r="L299" i="5"/>
  <c r="M288" i="5"/>
  <c r="L288" i="5"/>
  <c r="N288" i="5"/>
  <c r="M276" i="5"/>
  <c r="N276" i="5"/>
  <c r="L276" i="5"/>
  <c r="M264" i="5"/>
  <c r="N264" i="5"/>
  <c r="L264" i="5"/>
  <c r="L240" i="5"/>
  <c r="M240" i="5"/>
  <c r="U177" i="5"/>
  <c r="T177" i="5"/>
  <c r="V177" i="5"/>
  <c r="I215" i="5"/>
  <c r="J215" i="5"/>
  <c r="H215" i="5"/>
  <c r="P332" i="5"/>
  <c r="R332" i="5"/>
  <c r="Q332" i="5"/>
  <c r="Q331" i="5"/>
  <c r="P331" i="5"/>
  <c r="R331" i="5"/>
  <c r="R330" i="5"/>
  <c r="P330" i="5"/>
  <c r="Q330" i="5"/>
  <c r="Q327" i="5"/>
  <c r="R327" i="5"/>
  <c r="P327" i="5"/>
  <c r="R285" i="5"/>
  <c r="P285" i="5"/>
  <c r="Q285" i="5"/>
  <c r="P284" i="5"/>
  <c r="R284" i="5"/>
  <c r="Q284" i="5"/>
  <c r="P278" i="5"/>
  <c r="R278" i="5"/>
  <c r="Q278" i="5"/>
  <c r="Q243" i="5"/>
  <c r="P243" i="5"/>
  <c r="R243" i="5"/>
  <c r="N337" i="5"/>
  <c r="M337" i="5"/>
  <c r="L337" i="5"/>
  <c r="M325" i="5"/>
  <c r="L325" i="5"/>
  <c r="N325" i="5"/>
  <c r="M312" i="5"/>
  <c r="L312" i="5"/>
  <c r="N312" i="5"/>
  <c r="M298" i="5"/>
  <c r="L298" i="5"/>
  <c r="N298" i="5"/>
  <c r="L287" i="5"/>
  <c r="M287" i="5"/>
  <c r="N287" i="5"/>
  <c r="M275" i="5"/>
  <c r="L275" i="5"/>
  <c r="N275" i="5"/>
  <c r="AA218" i="1"/>
  <c r="AB218" i="1"/>
  <c r="Y218" i="1"/>
  <c r="K218" i="5"/>
  <c r="Z218" i="1"/>
  <c r="H324" i="5"/>
  <c r="I324" i="5"/>
  <c r="J324" i="5"/>
  <c r="J222" i="5"/>
  <c r="H222" i="5"/>
  <c r="I222" i="5"/>
  <c r="V222" i="5"/>
  <c r="T222" i="5"/>
  <c r="U222" i="5"/>
  <c r="H227" i="5"/>
  <c r="J227" i="5"/>
  <c r="I227" i="5"/>
  <c r="T227" i="5"/>
  <c r="V227" i="5"/>
  <c r="U227" i="5"/>
  <c r="Q319" i="5"/>
  <c r="P319" i="5"/>
  <c r="R319" i="5"/>
  <c r="P307" i="5"/>
  <c r="R307" i="5"/>
  <c r="Q307" i="5"/>
  <c r="P305" i="5"/>
  <c r="Q305" i="5"/>
  <c r="R305" i="5"/>
  <c r="P304" i="5"/>
  <c r="Q304" i="5"/>
  <c r="R304" i="5"/>
  <c r="P302" i="5"/>
  <c r="Q302" i="5"/>
  <c r="R302" i="5"/>
  <c r="P279" i="5"/>
  <c r="R279" i="5"/>
  <c r="Q279" i="5"/>
  <c r="L336" i="5"/>
  <c r="M336" i="5"/>
  <c r="N336" i="5"/>
  <c r="N323" i="5"/>
  <c r="M323" i="5"/>
  <c r="L323" i="5"/>
  <c r="L311" i="5"/>
  <c r="N311" i="5"/>
  <c r="M311" i="5"/>
  <c r="M297" i="5"/>
  <c r="N297" i="5"/>
  <c r="L297" i="5"/>
  <c r="M286" i="5"/>
  <c r="N286" i="5"/>
  <c r="L286" i="5"/>
  <c r="L274" i="5"/>
  <c r="M274" i="5"/>
  <c r="N274" i="5"/>
  <c r="N262" i="5"/>
  <c r="L262" i="5"/>
  <c r="M262" i="5"/>
  <c r="N250" i="5"/>
  <c r="L250" i="5"/>
  <c r="M250" i="5"/>
  <c r="M238" i="5"/>
  <c r="L238" i="5"/>
  <c r="N238" i="5"/>
  <c r="U225" i="5"/>
  <c r="V225" i="5"/>
  <c r="T225" i="5"/>
  <c r="I225" i="5"/>
  <c r="H225" i="5"/>
  <c r="J225" i="5"/>
  <c r="H211" i="5"/>
  <c r="J211" i="5"/>
  <c r="I211" i="5"/>
  <c r="P339" i="5"/>
  <c r="Q339" i="5"/>
  <c r="R339" i="5"/>
  <c r="H178" i="5"/>
  <c r="I178" i="5"/>
  <c r="J178" i="5"/>
  <c r="T178" i="5"/>
  <c r="U178" i="5"/>
  <c r="V178" i="5"/>
  <c r="Q326" i="5"/>
  <c r="R326" i="5"/>
  <c r="P326" i="5"/>
  <c r="P325" i="5"/>
  <c r="R325" i="5"/>
  <c r="Q325" i="5"/>
  <c r="J179" i="5"/>
  <c r="H179" i="5"/>
  <c r="I179" i="5"/>
  <c r="H216" i="5"/>
  <c r="I216" i="5"/>
  <c r="J216" i="5"/>
  <c r="P301" i="5"/>
  <c r="R301" i="5"/>
  <c r="Q301" i="5"/>
  <c r="R254" i="5"/>
  <c r="Q254" i="5"/>
  <c r="P254" i="5"/>
  <c r="Q250" i="5"/>
  <c r="P250" i="5"/>
  <c r="R250" i="5"/>
  <c r="M335" i="5"/>
  <c r="L335" i="5"/>
  <c r="N335" i="5"/>
  <c r="M322" i="5"/>
  <c r="N322" i="5"/>
  <c r="L322" i="5"/>
  <c r="M310" i="5"/>
  <c r="L310" i="5"/>
  <c r="N310" i="5"/>
  <c r="M296" i="5"/>
  <c r="L296" i="5"/>
  <c r="N296" i="5"/>
  <c r="M285" i="5"/>
  <c r="L285" i="5"/>
  <c r="N285" i="5"/>
  <c r="N261" i="5"/>
  <c r="L261" i="5"/>
  <c r="M261" i="5"/>
  <c r="N249" i="5"/>
  <c r="M249" i="5"/>
  <c r="L249" i="5"/>
  <c r="L237" i="5"/>
  <c r="M237" i="5"/>
  <c r="I309" i="5"/>
  <c r="J309" i="5"/>
  <c r="H309" i="5"/>
  <c r="V309" i="5"/>
  <c r="T309" i="5"/>
  <c r="U309" i="5"/>
  <c r="P255" i="5"/>
  <c r="Q255" i="5"/>
  <c r="R255" i="5"/>
  <c r="P249" i="5"/>
  <c r="Q249" i="5"/>
  <c r="R249" i="5"/>
  <c r="L334" i="5"/>
  <c r="M334" i="5"/>
  <c r="N334" i="5"/>
  <c r="L321" i="5"/>
  <c r="N321" i="5"/>
  <c r="M321" i="5"/>
  <c r="M308" i="5"/>
  <c r="N308" i="5"/>
  <c r="L308" i="5"/>
  <c r="M284" i="5"/>
  <c r="L284" i="5"/>
  <c r="N284" i="5"/>
  <c r="M272" i="5"/>
  <c r="L272" i="5"/>
  <c r="N272" i="5"/>
  <c r="L260" i="5"/>
  <c r="N260" i="5"/>
  <c r="M260" i="5"/>
  <c r="N248" i="5"/>
  <c r="L248" i="5"/>
  <c r="M248" i="5"/>
  <c r="M236" i="5"/>
  <c r="L236" i="5"/>
  <c r="N236" i="5"/>
  <c r="U181" i="5"/>
  <c r="V181" i="5"/>
  <c r="T181" i="5"/>
  <c r="I181" i="5"/>
  <c r="H181" i="5"/>
  <c r="J181" i="5"/>
  <c r="P321" i="5"/>
  <c r="R321" i="5"/>
  <c r="Q321" i="5"/>
  <c r="Q265" i="5"/>
  <c r="R265" i="5"/>
  <c r="P265" i="5"/>
  <c r="H218" i="5"/>
  <c r="I218" i="5"/>
  <c r="J218" i="5"/>
  <c r="U218" i="5"/>
  <c r="V218" i="5"/>
  <c r="T218" i="5"/>
  <c r="N345" i="5"/>
  <c r="M345" i="5"/>
  <c r="L345" i="5"/>
  <c r="N333" i="5"/>
  <c r="M333" i="5"/>
  <c r="L333" i="5"/>
  <c r="M320" i="5"/>
  <c r="L320" i="5"/>
  <c r="N320" i="5"/>
  <c r="M307" i="5"/>
  <c r="L307" i="5"/>
  <c r="N307" i="5"/>
  <c r="M283" i="5"/>
  <c r="N283" i="5"/>
  <c r="L283" i="5"/>
  <c r="N271" i="5"/>
  <c r="M271" i="5"/>
  <c r="L271" i="5"/>
  <c r="M259" i="5"/>
  <c r="L259" i="5"/>
  <c r="N247" i="5"/>
  <c r="L247" i="5"/>
  <c r="M247" i="5"/>
  <c r="M235" i="5"/>
  <c r="N235" i="5"/>
  <c r="L235" i="5"/>
  <c r="P318" i="5"/>
  <c r="Q318" i="5"/>
  <c r="R318" i="5"/>
  <c r="P314" i="5"/>
  <c r="R314" i="5"/>
  <c r="Q314" i="5"/>
  <c r="H180" i="5"/>
  <c r="I180" i="5"/>
  <c r="J180" i="5"/>
  <c r="V180" i="5"/>
  <c r="T180" i="5"/>
  <c r="U180" i="5"/>
  <c r="I217" i="5"/>
  <c r="H217" i="5"/>
  <c r="J217" i="5"/>
  <c r="T217" i="5"/>
  <c r="V217" i="5"/>
  <c r="U217" i="5"/>
  <c r="V182" i="5"/>
  <c r="U182" i="5"/>
  <c r="T182" i="5"/>
  <c r="H182" i="5"/>
  <c r="I182" i="5"/>
  <c r="J182" i="5"/>
  <c r="P320" i="5"/>
  <c r="R320" i="5"/>
  <c r="Q320" i="5"/>
  <c r="I219" i="5"/>
  <c r="H219" i="5"/>
  <c r="J219" i="5"/>
  <c r="T219" i="5"/>
  <c r="U219" i="5"/>
  <c r="V219" i="5"/>
  <c r="M344" i="5"/>
  <c r="N344" i="5"/>
  <c r="L344" i="5"/>
  <c r="N332" i="5"/>
  <c r="L332" i="5"/>
  <c r="M332" i="5"/>
  <c r="L319" i="5"/>
  <c r="M319" i="5"/>
  <c r="N319" i="5"/>
  <c r="M306" i="5"/>
  <c r="L306" i="5"/>
  <c r="N306" i="5"/>
  <c r="L293" i="5"/>
  <c r="N293" i="5"/>
  <c r="M293" i="5"/>
  <c r="M282" i="5"/>
  <c r="L282" i="5"/>
  <c r="N282" i="5"/>
  <c r="M258" i="5"/>
  <c r="L258" i="5"/>
  <c r="N258" i="5"/>
  <c r="L246" i="5"/>
  <c r="M246" i="5"/>
  <c r="N246" i="5"/>
  <c r="P261" i="5"/>
  <c r="Q261" i="5"/>
  <c r="R261" i="5"/>
  <c r="H220" i="5"/>
  <c r="J220" i="5"/>
  <c r="I220" i="5"/>
  <c r="V220" i="5"/>
  <c r="T220" i="5"/>
  <c r="U220" i="5"/>
  <c r="N343" i="5"/>
  <c r="L343" i="5"/>
  <c r="M343" i="5"/>
  <c r="N318" i="5"/>
  <c r="L318" i="5"/>
  <c r="M318" i="5"/>
  <c r="M292" i="5"/>
  <c r="N292" i="5"/>
  <c r="L292" i="5"/>
  <c r="N281" i="5"/>
  <c r="M281" i="5"/>
  <c r="L281" i="5"/>
  <c r="M269" i="5"/>
  <c r="N269" i="5"/>
  <c r="L269" i="5"/>
  <c r="M257" i="5"/>
  <c r="L257" i="5"/>
  <c r="N257" i="5"/>
  <c r="M245" i="5"/>
  <c r="N245" i="5"/>
  <c r="L245" i="5"/>
  <c r="J221" i="5"/>
  <c r="I221" i="5"/>
  <c r="H221" i="5"/>
  <c r="U221" i="5"/>
  <c r="V221" i="5"/>
  <c r="T221" i="5"/>
  <c r="H266" i="5"/>
  <c r="J266" i="5"/>
  <c r="I266" i="5"/>
  <c r="T266" i="5"/>
  <c r="U266" i="5"/>
  <c r="V266" i="5"/>
  <c r="R238" i="5"/>
  <c r="P238" i="5"/>
  <c r="Q238" i="5"/>
  <c r="L342" i="5"/>
  <c r="M342" i="5"/>
  <c r="N342" i="5"/>
  <c r="L331" i="5"/>
  <c r="M331" i="5"/>
  <c r="N331" i="5"/>
  <c r="L317" i="5"/>
  <c r="N317" i="5"/>
  <c r="M317" i="5"/>
  <c r="M304" i="5"/>
  <c r="L304" i="5"/>
  <c r="L291" i="5"/>
  <c r="N291" i="5"/>
  <c r="M291" i="5"/>
  <c r="L268" i="5"/>
  <c r="M268" i="5"/>
  <c r="M244" i="5"/>
  <c r="L244" i="5"/>
  <c r="N244" i="5"/>
  <c r="L232" i="5"/>
  <c r="N232" i="5"/>
  <c r="M232" i="5"/>
  <c r="I300" i="5"/>
  <c r="J300" i="5"/>
  <c r="H300" i="5"/>
  <c r="T300" i="5"/>
  <c r="U300" i="5"/>
  <c r="V300" i="5"/>
  <c r="AF211" i="1"/>
  <c r="O211" i="5"/>
  <c r="AH211" i="1"/>
  <c r="AG211" i="1"/>
  <c r="AE211" i="1"/>
  <c r="Z211" i="1"/>
  <c r="Y211" i="1"/>
  <c r="AA211" i="1"/>
  <c r="AB211" i="1"/>
  <c r="K211" i="5"/>
  <c r="K213" i="5"/>
  <c r="Z213" i="1"/>
  <c r="Y213" i="1"/>
  <c r="AB213" i="1"/>
  <c r="AA213" i="1"/>
  <c r="K214" i="5"/>
  <c r="Z214" i="1"/>
  <c r="AA214" i="1"/>
  <c r="Y214" i="1"/>
  <c r="AB214" i="1"/>
  <c r="K215" i="5"/>
  <c r="AB215" i="1"/>
  <c r="AA215" i="1"/>
  <c r="Z215" i="1"/>
  <c r="Y215" i="1"/>
  <c r="K216" i="5"/>
  <c r="Y216" i="1"/>
  <c r="AB216" i="1"/>
  <c r="AA216" i="1"/>
  <c r="Z216" i="1"/>
  <c r="K217" i="5"/>
  <c r="Z217" i="1"/>
  <c r="AB217" i="1"/>
  <c r="Y217" i="1"/>
  <c r="AA217" i="1"/>
  <c r="AA229" i="1"/>
  <c r="Y229" i="1"/>
  <c r="K229" i="5"/>
  <c r="Z229" i="1"/>
  <c r="AB229" i="1"/>
  <c r="K220" i="5"/>
  <c r="AA220" i="1"/>
  <c r="Z220" i="1"/>
  <c r="Y220" i="1"/>
  <c r="AB220" i="1"/>
  <c r="P218" i="5"/>
  <c r="Q218" i="5"/>
  <c r="R218" i="5"/>
  <c r="K225" i="5"/>
  <c r="Z225" i="1"/>
  <c r="AA225" i="1"/>
  <c r="AB225" i="1"/>
  <c r="Y225" i="1"/>
  <c r="K266" i="5"/>
  <c r="Y266" i="1"/>
  <c r="AA266" i="1"/>
  <c r="Z266" i="1"/>
  <c r="AB266" i="1"/>
  <c r="AA221" i="1"/>
  <c r="Z221" i="1"/>
  <c r="K221" i="5"/>
  <c r="Y221" i="1"/>
  <c r="AB221" i="1"/>
  <c r="K309" i="5"/>
  <c r="Z309" i="1"/>
  <c r="AB309" i="1"/>
  <c r="Y309" i="1"/>
  <c r="AA309" i="1"/>
  <c r="M300" i="5"/>
  <c r="N300" i="5"/>
  <c r="L300" i="5"/>
  <c r="AG210" i="1"/>
  <c r="AF210" i="1"/>
  <c r="AH210" i="1"/>
  <c r="O210" i="5"/>
  <c r="AE210" i="1"/>
  <c r="AA212" i="1"/>
  <c r="K212" i="5"/>
  <c r="AB212" i="1"/>
  <c r="Z212" i="1"/>
  <c r="Y212" i="1"/>
  <c r="AA210" i="1"/>
  <c r="K210" i="5"/>
  <c r="Y210" i="1"/>
  <c r="AB210" i="1"/>
  <c r="Z210" i="1"/>
  <c r="O212" i="5"/>
  <c r="AE212" i="1"/>
  <c r="AF212" i="1"/>
  <c r="AG212" i="1"/>
  <c r="AH212" i="1"/>
  <c r="BV205" i="3"/>
  <c r="BR205" i="3"/>
  <c r="AX194" i="3"/>
  <c r="BN194" i="3"/>
  <c r="BO279" i="3"/>
  <c r="BO278" i="3"/>
  <c r="V223" i="5" s="1"/>
  <c r="BT278" i="3"/>
  <c r="U223" i="5" s="1"/>
  <c r="BM174" i="3"/>
  <c r="AX193" i="3"/>
  <c r="BN193" i="3"/>
  <c r="BV193" i="3"/>
  <c r="BR193" i="3"/>
  <c r="AX192" i="3"/>
  <c r="BN192" i="3"/>
  <c r="BV192" i="3"/>
  <c r="BR192" i="3"/>
  <c r="BO169" i="3"/>
  <c r="BM169" i="3"/>
  <c r="BU169" i="3"/>
  <c r="BF167" i="3"/>
  <c r="BG167" i="3"/>
  <c r="BB167" i="3"/>
  <c r="AP167" i="3"/>
  <c r="AQ167" i="3" s="1"/>
  <c r="BP167" i="3" a="1"/>
  <c r="BP167" i="3" s="1"/>
  <c r="AS167" i="3"/>
  <c r="AX167" i="3"/>
  <c r="C123" i="3"/>
  <c r="C132" i="3"/>
  <c r="V164" i="3"/>
  <c r="U164" i="3"/>
  <c r="U175" i="5" l="1"/>
  <c r="M227" i="5"/>
  <c r="T211" i="5"/>
  <c r="V211" i="5"/>
  <c r="N305" i="5"/>
  <c r="H177" i="5"/>
  <c r="L278" i="5"/>
  <c r="M278" i="5"/>
  <c r="I177" i="5"/>
  <c r="T216" i="5"/>
  <c r="U213" i="5"/>
  <c r="V216" i="5"/>
  <c r="M234" i="5"/>
  <c r="T213" i="5"/>
  <c r="L270" i="5"/>
  <c r="M270" i="5"/>
  <c r="T210" i="5"/>
  <c r="H176" i="5"/>
  <c r="U210" i="5"/>
  <c r="I176" i="5"/>
  <c r="M239" i="5"/>
  <c r="L239" i="5"/>
  <c r="L280" i="5"/>
  <c r="N280" i="5"/>
  <c r="L227" i="5"/>
  <c r="U212" i="5"/>
  <c r="T212" i="5"/>
  <c r="L234" i="5"/>
  <c r="U215" i="5"/>
  <c r="V215" i="5"/>
  <c r="T214" i="5"/>
  <c r="V214" i="5"/>
  <c r="L305" i="5"/>
  <c r="T179" i="5"/>
  <c r="U179" i="5"/>
  <c r="T175" i="5"/>
  <c r="N233" i="5"/>
  <c r="M233" i="5"/>
  <c r="L256" i="5"/>
  <c r="M256" i="5"/>
  <c r="N174" i="5"/>
  <c r="V224" i="5"/>
  <c r="U224" i="5"/>
  <c r="BU219" i="3"/>
  <c r="K224" i="5"/>
  <c r="Z224" i="1"/>
  <c r="AA224" i="1"/>
  <c r="AB224" i="1"/>
  <c r="M174" i="5"/>
  <c r="V324" i="5"/>
  <c r="T324" i="5"/>
  <c r="BH167" i="3"/>
  <c r="BT167" i="3" s="1"/>
  <c r="P212" i="5"/>
  <c r="Q212" i="5"/>
  <c r="R212" i="5"/>
  <c r="M210" i="5"/>
  <c r="L210" i="5"/>
  <c r="N210" i="5"/>
  <c r="L212" i="5"/>
  <c r="M212" i="5"/>
  <c r="N212" i="5"/>
  <c r="P210" i="5"/>
  <c r="Q210" i="5"/>
  <c r="R210" i="5"/>
  <c r="M309" i="5"/>
  <c r="N309" i="5"/>
  <c r="L309" i="5"/>
  <c r="N221" i="5"/>
  <c r="M221" i="5"/>
  <c r="L221" i="5"/>
  <c r="M266" i="5"/>
  <c r="L266" i="5"/>
  <c r="N266" i="5"/>
  <c r="M225" i="5"/>
  <c r="L225" i="5"/>
  <c r="N225" i="5"/>
  <c r="M220" i="5"/>
  <c r="L220" i="5"/>
  <c r="N220" i="5"/>
  <c r="L229" i="5"/>
  <c r="N229" i="5"/>
  <c r="M229" i="5"/>
  <c r="L217" i="5"/>
  <c r="N217" i="5"/>
  <c r="M217" i="5"/>
  <c r="L216" i="5"/>
  <c r="M216" i="5"/>
  <c r="N216" i="5"/>
  <c r="L215" i="5"/>
  <c r="N215" i="5"/>
  <c r="M215" i="5"/>
  <c r="L214" i="5"/>
  <c r="M214" i="5"/>
  <c r="N214" i="5"/>
  <c r="L213" i="5"/>
  <c r="N213" i="5"/>
  <c r="M213" i="5"/>
  <c r="N211" i="5"/>
  <c r="M211" i="5"/>
  <c r="L211" i="5"/>
  <c r="P211" i="5"/>
  <c r="Q211" i="5"/>
  <c r="R211" i="5"/>
  <c r="N218" i="5"/>
  <c r="L218" i="5"/>
  <c r="M218" i="5"/>
  <c r="BK167" i="3"/>
  <c r="BS167" i="3"/>
  <c r="V165" i="3"/>
  <c r="G166" i="3"/>
  <c r="BU166" i="3"/>
  <c r="BQ166" i="3"/>
  <c r="BM166" i="3"/>
  <c r="BI166" i="3"/>
  <c r="BC166" i="3"/>
  <c r="AZ166" i="3"/>
  <c r="AY166" i="3"/>
  <c r="C166" i="3"/>
  <c r="C36" i="9"/>
  <c r="D36" i="9"/>
  <c r="E36" i="9"/>
  <c r="G165" i="3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J165" i="3"/>
  <c r="F165" i="3"/>
  <c r="E35" i="9"/>
  <c r="D35" i="9"/>
  <c r="C35" i="9"/>
  <c r="F164" i="3"/>
  <c r="BU164" i="3"/>
  <c r="BQ164" i="3"/>
  <c r="BM164" i="3"/>
  <c r="BI164" i="3"/>
  <c r="BD164" i="3"/>
  <c r="BC164" i="3"/>
  <c r="AZ164" i="3"/>
  <c r="AR164" i="3"/>
  <c r="AX164" i="3"/>
  <c r="AY164" i="3"/>
  <c r="J164" i="3"/>
  <c r="AP164" i="3"/>
  <c r="L25" i="3"/>
  <c r="G25" i="3"/>
  <c r="G163" i="3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S163" i="3"/>
  <c r="AR163" i="3"/>
  <c r="AP163" i="3"/>
  <c r="AO163" i="3"/>
  <c r="C34" i="9"/>
  <c r="D34" i="9"/>
  <c r="E34" i="9"/>
  <c r="G162" i="3"/>
  <c r="BU162" i="3"/>
  <c r="BQ162" i="3"/>
  <c r="BM162" i="3"/>
  <c r="BI162" i="3"/>
  <c r="BD162" i="3"/>
  <c r="BC162" i="3"/>
  <c r="BA162" i="3"/>
  <c r="AZ162" i="3"/>
  <c r="AY162" i="3"/>
  <c r="AR162" i="3"/>
  <c r="AO162" i="3"/>
  <c r="L162" i="3"/>
  <c r="J162" i="3"/>
  <c r="F162" i="3"/>
  <c r="BO167" i="3" l="1"/>
  <c r="BD166" i="3"/>
  <c r="BG163" i="3"/>
  <c r="BG164" i="3"/>
  <c r="BA166" i="3"/>
  <c r="M224" i="5"/>
  <c r="L224" i="5"/>
  <c r="BH163" i="3"/>
  <c r="BT163" i="3" s="1"/>
  <c r="AR166" i="3"/>
  <c r="BG166" i="3" s="1"/>
  <c r="AQ163" i="3"/>
  <c r="BG165" i="3"/>
  <c r="BP166" i="3" a="1"/>
  <c r="BP166" i="3" s="1"/>
  <c r="BT166" i="3" s="1"/>
  <c r="AP165" i="3"/>
  <c r="AQ165" i="3" s="1"/>
  <c r="BF166" i="3"/>
  <c r="AP166" i="3"/>
  <c r="AO166" i="3"/>
  <c r="AS166" i="3"/>
  <c r="BH166" i="3" s="1"/>
  <c r="AX162" i="3"/>
  <c r="AX165" i="3"/>
  <c r="AP162" i="3"/>
  <c r="AQ162" i="3" s="1"/>
  <c r="BG162" i="3"/>
  <c r="AX166" i="3"/>
  <c r="AS165" i="3"/>
  <c r="BH165" i="3" s="1"/>
  <c r="BP165" i="3" a="1"/>
  <c r="BP165" i="3" s="1"/>
  <c r="BT165" i="3" s="1"/>
  <c r="BF165" i="3"/>
  <c r="AS164" i="3"/>
  <c r="BP164" i="3" a="1"/>
  <c r="BP164" i="3" s="1"/>
  <c r="BF164" i="3"/>
  <c r="AO164" i="3"/>
  <c r="BA164" i="3"/>
  <c r="AS162" i="3"/>
  <c r="BP162" i="3" a="1"/>
  <c r="BP162" i="3" s="1"/>
  <c r="BF162" i="3"/>
  <c r="C161" i="3"/>
  <c r="BU161" i="3"/>
  <c r="BQ161" i="3"/>
  <c r="BM161" i="3"/>
  <c r="BI161" i="3"/>
  <c r="BC161" i="3"/>
  <c r="AZ161" i="3"/>
  <c r="AY161" i="3"/>
  <c r="V37" i="3"/>
  <c r="BS164" i="3" l="1"/>
  <c r="BS163" i="3"/>
  <c r="BK163" i="3"/>
  <c r="BO163" i="3"/>
  <c r="BK164" i="3"/>
  <c r="AQ166" i="3"/>
  <c r="BH162" i="3"/>
  <c r="BT162" i="3" s="1"/>
  <c r="AR161" i="3"/>
  <c r="BG161" i="3" s="1"/>
  <c r="BA161" i="3"/>
  <c r="BK166" i="3"/>
  <c r="BS166" i="3"/>
  <c r="BS165" i="3"/>
  <c r="BK165" i="3"/>
  <c r="BK162" i="3"/>
  <c r="BO166" i="3"/>
  <c r="BS162" i="3"/>
  <c r="AX161" i="3"/>
  <c r="BD161" i="3"/>
  <c r="BP161" i="3" a="1"/>
  <c r="BP161" i="3" s="1"/>
  <c r="AS161" i="3"/>
  <c r="BO165" i="3"/>
  <c r="BH164" i="3"/>
  <c r="BT164" i="3" s="1"/>
  <c r="AQ164" i="3"/>
  <c r="BF161" i="3"/>
  <c r="L161" i="3"/>
  <c r="AO161" i="3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BO162" i="3" l="1"/>
  <c r="BK161" i="3"/>
  <c r="BO164" i="3"/>
  <c r="BH161" i="3"/>
  <c r="BO161" i="3" s="1"/>
  <c r="BS161" i="3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R56" i="3"/>
  <c r="AS56" i="3"/>
  <c r="BH56" i="3" s="1"/>
  <c r="BO56" i="3" s="1"/>
  <c r="AR57" i="3"/>
  <c r="AS57" i="3"/>
  <c r="BH57" i="3" s="1"/>
  <c r="AR58" i="3"/>
  <c r="AS58" i="3"/>
  <c r="BH58" i="3" s="1"/>
  <c r="BO58" i="3" s="1"/>
  <c r="AR59" i="3"/>
  <c r="AS59" i="3"/>
  <c r="BH59" i="3" s="1"/>
  <c r="AR60" i="3"/>
  <c r="AS60" i="3"/>
  <c r="BH60" i="3" s="1"/>
  <c r="AR61" i="3"/>
  <c r="AR62" i="3"/>
  <c r="AS62" i="3"/>
  <c r="AR64" i="3"/>
  <c r="AR65" i="3"/>
  <c r="AR66" i="3"/>
  <c r="AR67" i="3"/>
  <c r="AR68" i="3"/>
  <c r="AR69" i="3"/>
  <c r="AR72" i="3"/>
  <c r="AR73" i="3"/>
  <c r="AR76" i="3"/>
  <c r="AS76" i="3"/>
  <c r="BH76" i="3" s="1"/>
  <c r="AR77" i="3"/>
  <c r="AS77" i="3"/>
  <c r="BH77" i="3" s="1"/>
  <c r="AR80" i="3"/>
  <c r="AR81" i="3"/>
  <c r="AS81" i="3"/>
  <c r="BH81" i="3" s="1"/>
  <c r="AR82" i="3"/>
  <c r="AR83" i="3"/>
  <c r="AR84" i="3"/>
  <c r="AR85" i="3"/>
  <c r="AR87" i="3"/>
  <c r="AR88" i="3"/>
  <c r="AR89" i="3"/>
  <c r="AS89" i="3"/>
  <c r="AR93" i="3"/>
  <c r="AS93" i="3"/>
  <c r="BH93" i="3" s="1"/>
  <c r="AR94" i="3"/>
  <c r="AS94" i="3"/>
  <c r="BH94" i="3" s="1"/>
  <c r="AR95" i="3"/>
  <c r="AR96" i="3"/>
  <c r="AR97" i="3"/>
  <c r="AR98" i="3"/>
  <c r="AS98" i="3"/>
  <c r="BH98" i="3" s="1"/>
  <c r="AR99" i="3"/>
  <c r="AS99" i="3"/>
  <c r="BH99" i="3" s="1"/>
  <c r="AR100" i="3"/>
  <c r="AS100" i="3"/>
  <c r="BH100" i="3" s="1"/>
  <c r="AR101" i="3"/>
  <c r="AS101" i="3"/>
  <c r="AR102" i="3"/>
  <c r="AS102" i="3"/>
  <c r="AR103" i="3"/>
  <c r="AR104" i="3"/>
  <c r="AR105" i="3"/>
  <c r="AR106" i="3"/>
  <c r="AR107" i="3"/>
  <c r="AR108" i="3"/>
  <c r="AR109" i="3"/>
  <c r="AS109" i="3"/>
  <c r="BH109" i="3" s="1"/>
  <c r="BO109" i="3" s="1"/>
  <c r="AR114" i="3"/>
  <c r="AS114" i="3"/>
  <c r="AR116" i="3"/>
  <c r="AS116" i="3"/>
  <c r="AR117" i="3"/>
  <c r="AS117" i="3"/>
  <c r="AR118" i="3"/>
  <c r="AS118" i="3"/>
  <c r="AR119" i="3"/>
  <c r="AS119" i="3"/>
  <c r="BH119" i="3" s="1"/>
  <c r="AR121" i="3"/>
  <c r="AR122" i="3"/>
  <c r="AS122" i="3"/>
  <c r="BH122" i="3" s="1"/>
  <c r="AR123" i="3"/>
  <c r="AS123" i="3"/>
  <c r="AR125" i="3"/>
  <c r="AR126" i="3"/>
  <c r="AR127" i="3"/>
  <c r="AR128" i="3"/>
  <c r="AS128" i="3"/>
  <c r="AR129" i="3"/>
  <c r="AR130" i="3"/>
  <c r="AS130" i="3"/>
  <c r="BH130" i="3" s="1"/>
  <c r="AR131" i="3"/>
  <c r="AS131" i="3"/>
  <c r="BH131" i="3" s="1"/>
  <c r="AR133" i="3"/>
  <c r="AS133" i="3"/>
  <c r="AR134" i="3"/>
  <c r="AS134" i="3"/>
  <c r="AR138" i="3"/>
  <c r="AS138" i="3"/>
  <c r="AR140" i="3"/>
  <c r="AS140" i="3"/>
  <c r="BH140" i="3" s="1"/>
  <c r="AR150" i="3"/>
  <c r="AS150" i="3"/>
  <c r="AR158" i="3"/>
  <c r="AS158" i="3"/>
  <c r="AR160" i="3"/>
  <c r="BI2" i="3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BG123" i="3" l="1"/>
  <c r="BG158" i="3"/>
  <c r="BG150" i="3"/>
  <c r="BG140" i="3"/>
  <c r="BG138" i="3"/>
  <c r="BG134" i="3"/>
  <c r="BG133" i="3"/>
  <c r="BG131" i="3"/>
  <c r="BG130" i="3"/>
  <c r="BG128" i="3"/>
  <c r="BG122" i="3"/>
  <c r="BG119" i="3"/>
  <c r="BG118" i="3"/>
  <c r="BG117" i="3"/>
  <c r="BG116" i="3"/>
  <c r="BG114" i="3"/>
  <c r="BG109" i="3"/>
  <c r="BG102" i="3"/>
  <c r="BG101" i="3"/>
  <c r="BG100" i="3"/>
  <c r="BG99" i="3"/>
  <c r="BG98" i="3"/>
  <c r="BG93" i="3"/>
  <c r="BG81" i="3"/>
  <c r="BG77" i="3"/>
  <c r="BG76" i="3"/>
  <c r="BG60" i="3"/>
  <c r="BG57" i="3"/>
  <c r="BG56" i="3"/>
  <c r="BG55" i="3"/>
  <c r="BG59" i="3"/>
  <c r="BG58" i="3"/>
  <c r="BH158" i="3"/>
  <c r="BO158" i="3" s="1"/>
  <c r="BH116" i="3"/>
  <c r="BO116" i="3" s="1"/>
  <c r="BH134" i="3"/>
  <c r="BO134" i="3" s="1"/>
  <c r="BH128" i="3"/>
  <c r="BO128" i="3" s="1"/>
  <c r="BH150" i="3"/>
  <c r="BO150" i="3" s="1"/>
  <c r="BH114" i="3"/>
  <c r="BO114" i="3" s="1"/>
  <c r="BH133" i="3"/>
  <c r="BO133" i="3" s="1"/>
  <c r="BH102" i="3"/>
  <c r="BT102" i="3" s="1"/>
  <c r="BH118" i="3"/>
  <c r="BO118" i="3" s="1"/>
  <c r="BH101" i="3"/>
  <c r="BT101" i="3" s="1"/>
  <c r="BH123" i="3"/>
  <c r="BO123" i="3" s="1"/>
  <c r="BH138" i="3"/>
  <c r="BT138" i="3" s="1"/>
  <c r="BH117" i="3"/>
  <c r="BT117" i="3" s="1"/>
  <c r="BB102" i="3"/>
  <c r="BJ79" i="3"/>
  <c r="BR79" i="3" s="1"/>
  <c r="BG94" i="3"/>
  <c r="BG89" i="3"/>
  <c r="BG62" i="3"/>
  <c r="BH89" i="3"/>
  <c r="BT89" i="3" s="1"/>
  <c r="BH62" i="3"/>
  <c r="BO62" i="3" s="1"/>
  <c r="BT161" i="3"/>
  <c r="AS65" i="3"/>
  <c r="AS73" i="3"/>
  <c r="BO93" i="3"/>
  <c r="BO98" i="3"/>
  <c r="BO122" i="3"/>
  <c r="BK102" i="3"/>
  <c r="BO99" i="3"/>
  <c r="BO140" i="3"/>
  <c r="BG65" i="3"/>
  <c r="BO55" i="3"/>
  <c r="BG73" i="3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J137" i="3"/>
  <c r="AU116" i="3"/>
  <c r="BJ116" i="3"/>
  <c r="BB116" i="3"/>
  <c r="AU110" i="3"/>
  <c r="BJ110" i="3"/>
  <c r="AU102" i="3"/>
  <c r="BJ102" i="3"/>
  <c r="AU101" i="3"/>
  <c r="BB101" i="3"/>
  <c r="BJ101" i="3"/>
  <c r="BV79" i="3" l="1"/>
  <c r="BK118" i="3"/>
  <c r="BK123" i="3"/>
  <c r="BL101" i="3"/>
  <c r="BL102" i="3"/>
  <c r="BK114" i="3"/>
  <c r="BK140" i="3"/>
  <c r="BK93" i="3"/>
  <c r="BK58" i="3"/>
  <c r="BK117" i="3"/>
  <c r="BK100" i="3"/>
  <c r="BK158" i="3"/>
  <c r="BO102" i="3"/>
  <c r="BT116" i="3"/>
  <c r="BK98" i="3"/>
  <c r="BK128" i="3"/>
  <c r="BK56" i="3"/>
  <c r="BK109" i="3"/>
  <c r="BK122" i="3"/>
  <c r="BK76" i="3"/>
  <c r="BO117" i="3"/>
  <c r="BK81" i="3"/>
  <c r="BK138" i="3"/>
  <c r="BK131" i="3"/>
  <c r="BK57" i="3"/>
  <c r="BK55" i="3"/>
  <c r="BK101" i="3"/>
  <c r="BK133" i="3"/>
  <c r="BT128" i="3"/>
  <c r="BK59" i="3"/>
  <c r="BT134" i="3"/>
  <c r="BK134" i="3"/>
  <c r="BT133" i="3"/>
  <c r="BO138" i="3"/>
  <c r="BK116" i="3"/>
  <c r="BK60" i="3"/>
  <c r="BK77" i="3"/>
  <c r="BK150" i="3"/>
  <c r="BO101" i="3"/>
  <c r="BK130" i="3"/>
  <c r="BK119" i="3"/>
  <c r="BK99" i="3"/>
  <c r="BT62" i="3"/>
  <c r="BH73" i="3"/>
  <c r="BT73" i="3" s="1"/>
  <c r="BH65" i="3"/>
  <c r="BO65" i="3" s="1"/>
  <c r="BK73" i="3"/>
  <c r="BK89" i="3"/>
  <c r="BK94" i="3"/>
  <c r="BK62" i="3"/>
  <c r="BO89" i="3"/>
  <c r="BK65" i="3"/>
  <c r="BR101" i="3"/>
  <c r="BV101" i="3"/>
  <c r="BV102" i="3"/>
  <c r="BR102" i="3"/>
  <c r="BV110" i="3"/>
  <c r="BR110" i="3"/>
  <c r="BR116" i="3"/>
  <c r="BV116" i="3"/>
  <c r="BV137" i="3"/>
  <c r="BR137" i="3"/>
  <c r="BO73" i="3" l="1"/>
  <c r="BT65" i="3"/>
  <c r="W29" i="3"/>
  <c r="V29" i="3"/>
  <c r="BM2" i="3"/>
  <c r="AX135" i="3" l="1"/>
  <c r="V137" i="3"/>
  <c r="BN137" i="3" s="1"/>
  <c r="V79" i="3"/>
  <c r="BN79" i="3" s="1"/>
  <c r="V116" i="3"/>
  <c r="BN116" i="3" s="1"/>
  <c r="V110" i="3"/>
  <c r="BN110" i="3" s="1"/>
  <c r="V102" i="3"/>
  <c r="BN102" i="3" s="1"/>
  <c r="V101" i="3"/>
  <c r="BN101" i="3" s="1"/>
  <c r="V40" i="3"/>
  <c r="V130" i="3"/>
  <c r="AZ80" i="3"/>
  <c r="AO80" i="3"/>
  <c r="F80" i="3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0" i="17"/>
  <c r="K39" i="17"/>
  <c r="AZ2" i="3"/>
  <c r="BQ127" i="3" l="1"/>
  <c r="BE105" i="3"/>
  <c r="BE104" i="3"/>
  <c r="BE106" i="3"/>
  <c r="BE127" i="3"/>
  <c r="BE107" i="3"/>
  <c r="BE108" i="3"/>
  <c r="BE103" i="3"/>
  <c r="AS106" i="3"/>
  <c r="BH106" i="3" s="1"/>
  <c r="BG106" i="3"/>
  <c r="AS103" i="3"/>
  <c r="BH103" i="3" s="1"/>
  <c r="BB103" i="3"/>
  <c r="BG103" i="3"/>
  <c r="AS107" i="3"/>
  <c r="BH107" i="3" s="1"/>
  <c r="BG107" i="3"/>
  <c r="AS108" i="3"/>
  <c r="BH108" i="3" s="1"/>
  <c r="BB108" i="3"/>
  <c r="BG108" i="3"/>
  <c r="AX130" i="3"/>
  <c r="BB105" i="3"/>
  <c r="AS105" i="3"/>
  <c r="BG105" i="3"/>
  <c r="AS104" i="3"/>
  <c r="BG104" i="3"/>
  <c r="AS127" i="3"/>
  <c r="BG127" i="3"/>
  <c r="AS80" i="3"/>
  <c r="BG80" i="3"/>
  <c r="AU80" i="3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X137" i="3"/>
  <c r="AX102" i="3"/>
  <c r="AX104" i="3"/>
  <c r="AX107" i="3"/>
  <c r="AX106" i="3"/>
  <c r="AX103" i="3"/>
  <c r="AX108" i="3"/>
  <c r="AX127" i="3"/>
  <c r="AX105" i="3"/>
  <c r="AX110" i="3"/>
  <c r="AX116" i="3"/>
  <c r="AX101" i="3"/>
  <c r="AX79" i="3"/>
  <c r="AP80" i="3"/>
  <c r="AQ80" i="3" s="1"/>
  <c r="I9" i="12"/>
  <c r="BH127" i="3" l="1"/>
  <c r="BI127" i="3" s="1"/>
  <c r="BH104" i="3"/>
  <c r="BL104" i="3" s="1"/>
  <c r="BH80" i="3"/>
  <c r="BO80" i="3" s="1"/>
  <c r="BJ80" i="3"/>
  <c r="BV80" i="3" s="1"/>
  <c r="BJ51" i="3"/>
  <c r="BR51" i="3" s="1"/>
  <c r="BH105" i="3"/>
  <c r="BT105" i="3" s="1"/>
  <c r="AU127" i="3"/>
  <c r="BS80" i="3"/>
  <c r="BK80" i="3"/>
  <c r="BK106" i="3"/>
  <c r="BK108" i="3"/>
  <c r="BI80" i="3"/>
  <c r="BO103" i="3"/>
  <c r="BL103" i="3"/>
  <c r="BK127" i="3"/>
  <c r="BK105" i="3"/>
  <c r="BK103" i="3"/>
  <c r="BL107" i="3"/>
  <c r="BO107" i="3"/>
  <c r="BB80" i="3"/>
  <c r="BK104" i="3"/>
  <c r="BO108" i="3"/>
  <c r="BL108" i="3"/>
  <c r="BK107" i="3"/>
  <c r="BO106" i="3"/>
  <c r="BL106" i="3"/>
  <c r="V51" i="3"/>
  <c r="BN51" i="3" s="1"/>
  <c r="V80" i="3"/>
  <c r="BN80" i="3" s="1"/>
  <c r="U2" i="3"/>
  <c r="AY2" i="3" s="1"/>
  <c r="BT127" i="3" l="1"/>
  <c r="BT104" i="3"/>
  <c r="BO104" i="3"/>
  <c r="BO127" i="3"/>
  <c r="BL127" i="3"/>
  <c r="BT80" i="3"/>
  <c r="BU127" i="3"/>
  <c r="BV51" i="3"/>
  <c r="BR80" i="3"/>
  <c r="BO105" i="3"/>
  <c r="BL105" i="3"/>
  <c r="BU80" i="3"/>
  <c r="BM80" i="3"/>
  <c r="AX51" i="3"/>
  <c r="AX80" i="3"/>
  <c r="G1" i="5"/>
  <c r="BU2" i="3"/>
  <c r="AS160" i="3" l="1"/>
  <c r="BG160" i="3"/>
  <c r="BP160" i="3" a="1"/>
  <c r="BP160" i="3" s="1"/>
  <c r="BF160" i="3"/>
  <c r="AX160" i="3"/>
  <c r="BH160" i="3" l="1"/>
  <c r="BT160" i="3" s="1"/>
  <c r="BK160" i="3"/>
  <c r="J1" i="5"/>
  <c r="BO160" i="3" l="1"/>
  <c r="C2" i="5"/>
  <c r="BJ43" i="3" l="1"/>
  <c r="BV43" i="3" s="1"/>
  <c r="AS126" i="3"/>
  <c r="BH126" i="3" s="1"/>
  <c r="BG126" i="3"/>
  <c r="AS33" i="3"/>
  <c r="BH33" i="3" s="1"/>
  <c r="BG33" i="3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34" i="17"/>
  <c r="AP179" i="3" s="1"/>
  <c r="AQ179" i="3" s="1"/>
  <c r="K33" i="17"/>
  <c r="K13" i="17"/>
  <c r="AP286" i="3" s="1"/>
  <c r="AQ286" i="3" s="1"/>
  <c r="AN118" i="3"/>
  <c r="K32" i="17"/>
  <c r="K19" i="17"/>
  <c r="Z264" i="5" l="1"/>
  <c r="AA264" i="5"/>
  <c r="BR43" i="3"/>
  <c r="Z179" i="5"/>
  <c r="AA179" i="5"/>
  <c r="AS45" i="3"/>
  <c r="BG45" i="3"/>
  <c r="AS18" i="3"/>
  <c r="BG18" i="3"/>
  <c r="AS40" i="3"/>
  <c r="BH40" i="3" s="1"/>
  <c r="BG40" i="3"/>
  <c r="AS88" i="3"/>
  <c r="BH88" i="3" s="1"/>
  <c r="BI88" i="3" s="1"/>
  <c r="BG88" i="3"/>
  <c r="AS64" i="3"/>
  <c r="BG64" i="3"/>
  <c r="AS66" i="3"/>
  <c r="BG66" i="3"/>
  <c r="AS83" i="3"/>
  <c r="BG83" i="3"/>
  <c r="AS35" i="3"/>
  <c r="BH35" i="3" s="1"/>
  <c r="BG35" i="3"/>
  <c r="BO33" i="3"/>
  <c r="AS17" i="3"/>
  <c r="BG17" i="3"/>
  <c r="AS38" i="3"/>
  <c r="BH38" i="3" s="1"/>
  <c r="BG38" i="3"/>
  <c r="AS20" i="3"/>
  <c r="BG20" i="3"/>
  <c r="AS53" i="3"/>
  <c r="BG53" i="3"/>
  <c r="AS12" i="3"/>
  <c r="BG12" i="3"/>
  <c r="AS21" i="3"/>
  <c r="BG21" i="3"/>
  <c r="AS29" i="3"/>
  <c r="BH29" i="3" s="1"/>
  <c r="BG29" i="3"/>
  <c r="BQ29" i="3"/>
  <c r="AS68" i="3"/>
  <c r="BH68" i="3" s="1"/>
  <c r="BG68" i="3"/>
  <c r="AS95" i="3"/>
  <c r="BH95" i="3" s="1"/>
  <c r="BG95" i="3"/>
  <c r="AS61" i="3"/>
  <c r="BH61" i="3" s="1"/>
  <c r="BG61" i="3"/>
  <c r="AS10" i="3"/>
  <c r="BH10" i="3" s="1"/>
  <c r="BG10" i="3"/>
  <c r="AS49" i="3"/>
  <c r="BG49" i="3"/>
  <c r="AS129" i="3"/>
  <c r="BH129" i="3" s="1"/>
  <c r="BG129" i="3"/>
  <c r="AS87" i="3"/>
  <c r="BH87" i="3" s="1"/>
  <c r="BG87" i="3"/>
  <c r="AS22" i="3"/>
  <c r="BG22" i="3"/>
  <c r="AS50" i="3"/>
  <c r="BG50" i="3"/>
  <c r="AS67" i="3"/>
  <c r="BG67" i="3"/>
  <c r="AS121" i="3"/>
  <c r="BH121" i="3" s="1"/>
  <c r="BG121" i="3"/>
  <c r="AS41" i="3"/>
  <c r="BH41" i="3" s="1"/>
  <c r="BG41" i="3"/>
  <c r="AS125" i="3"/>
  <c r="BG125" i="3"/>
  <c r="AS23" i="3"/>
  <c r="BH23" i="3" s="1"/>
  <c r="BG23" i="3"/>
  <c r="AS96" i="3"/>
  <c r="BG96" i="3"/>
  <c r="AS69" i="3"/>
  <c r="BH69" i="3" s="1"/>
  <c r="BG69" i="3"/>
  <c r="AS82" i="3"/>
  <c r="BG82" i="3"/>
  <c r="AS48" i="3"/>
  <c r="BG48" i="3"/>
  <c r="AS24" i="3"/>
  <c r="BH24" i="3" s="1"/>
  <c r="BG24" i="3"/>
  <c r="AS97" i="3"/>
  <c r="BG97" i="3"/>
  <c r="BK33" i="3"/>
  <c r="AS44" i="3"/>
  <c r="BG44" i="3"/>
  <c r="AS37" i="3"/>
  <c r="BH37" i="3" s="1"/>
  <c r="BG37" i="3"/>
  <c r="AS32" i="3"/>
  <c r="BG32" i="3"/>
  <c r="AS47" i="3"/>
  <c r="BG47" i="3"/>
  <c r="AS54" i="3"/>
  <c r="BG54" i="3"/>
  <c r="AS34" i="3"/>
  <c r="BH34" i="3" s="1"/>
  <c r="BG34" i="3"/>
  <c r="AS85" i="3"/>
  <c r="BG85" i="3"/>
  <c r="AS72" i="3"/>
  <c r="BG72" i="3"/>
  <c r="AS27" i="3"/>
  <c r="AU27" i="3"/>
  <c r="BG27" i="3"/>
  <c r="AS42" i="3"/>
  <c r="BG42" i="3"/>
  <c r="AS36" i="3"/>
  <c r="BH36" i="3" s="1"/>
  <c r="BG36" i="3"/>
  <c r="AS84" i="3"/>
  <c r="BG84" i="3"/>
  <c r="BO126" i="3"/>
  <c r="BK126" i="3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P44" i="3" a="1"/>
  <c r="BP44" i="3" s="1"/>
  <c r="BQ45" i="3"/>
  <c r="BF45" i="3"/>
  <c r="BP45" i="3" a="1"/>
  <c r="BP45" i="3" s="1"/>
  <c r="BQ49" i="3"/>
  <c r="BF49" i="3"/>
  <c r="BP49" i="3" a="1"/>
  <c r="BP49" i="3" s="1"/>
  <c r="BQ53" i="3"/>
  <c r="BF53" i="3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BI50" i="3" l="1"/>
  <c r="BM50" i="3" s="1"/>
  <c r="BH22" i="3"/>
  <c r="BO22" i="3" s="1"/>
  <c r="BH42" i="3"/>
  <c r="BT42" i="3" s="1"/>
  <c r="BH32" i="3"/>
  <c r="BO32" i="3" s="1"/>
  <c r="BH53" i="3"/>
  <c r="BI53" i="3" s="1"/>
  <c r="BH64" i="3"/>
  <c r="BT64" i="3" s="1"/>
  <c r="BH45" i="3"/>
  <c r="BI45" i="3" s="1"/>
  <c r="BU45" i="3" s="1"/>
  <c r="BH20" i="3"/>
  <c r="BH27" i="3"/>
  <c r="BT27" i="3" s="1"/>
  <c r="BH48" i="3"/>
  <c r="BT48" i="3" s="1"/>
  <c r="BH54" i="3"/>
  <c r="BH83" i="3"/>
  <c r="BO83" i="3" s="1"/>
  <c r="BH44" i="3"/>
  <c r="BI44" i="3" s="1"/>
  <c r="BU44" i="3" s="1"/>
  <c r="BH21" i="3"/>
  <c r="BT21" i="3" s="1"/>
  <c r="BH82" i="3"/>
  <c r="BT82" i="3" s="1"/>
  <c r="BH125" i="3"/>
  <c r="BT125" i="3" s="1"/>
  <c r="BH50" i="3"/>
  <c r="BT50" i="3" s="1"/>
  <c r="BH47" i="3"/>
  <c r="BT47" i="3" s="1"/>
  <c r="BH49" i="3"/>
  <c r="BI49" i="3" s="1"/>
  <c r="BH12" i="3"/>
  <c r="BT12" i="3" s="1"/>
  <c r="BH17" i="3"/>
  <c r="BO17" i="3" s="1"/>
  <c r="BH66" i="3"/>
  <c r="BT66" i="3" s="1"/>
  <c r="BH18" i="3"/>
  <c r="BO18" i="3" s="1"/>
  <c r="BJ42" i="3"/>
  <c r="BV42" i="3" s="1"/>
  <c r="BJ27" i="3"/>
  <c r="BR27" i="3" s="1"/>
  <c r="BJ26" i="3"/>
  <c r="BV26" i="3" s="1"/>
  <c r="BJ54" i="3"/>
  <c r="BV54" i="3" s="1"/>
  <c r="BJ44" i="3"/>
  <c r="BV44" i="3" s="1"/>
  <c r="BJ50" i="3"/>
  <c r="BV50" i="3" s="1"/>
  <c r="BJ112" i="3"/>
  <c r="BR112" i="3" s="1"/>
  <c r="BJ49" i="3"/>
  <c r="BV49" i="3" s="1"/>
  <c r="BJ52" i="3"/>
  <c r="BV52" i="3" s="1"/>
  <c r="BJ53" i="3"/>
  <c r="BR53" i="3" s="1"/>
  <c r="BJ46" i="3"/>
  <c r="BR46" i="3" s="1"/>
  <c r="BJ45" i="3"/>
  <c r="BR45" i="3" s="1"/>
  <c r="BI27" i="3"/>
  <c r="BH84" i="3"/>
  <c r="BH72" i="3"/>
  <c r="BT72" i="3" s="1"/>
  <c r="BH85" i="3"/>
  <c r="BT85" i="3" s="1"/>
  <c r="BJ97" i="3"/>
  <c r="BR97" i="3" s="1"/>
  <c r="BH97" i="3"/>
  <c r="BT97" i="3" s="1"/>
  <c r="BH96" i="3"/>
  <c r="BJ96" i="3"/>
  <c r="BV96" i="3" s="1"/>
  <c r="BJ88" i="3"/>
  <c r="BR88" i="3" s="1"/>
  <c r="BH67" i="3"/>
  <c r="BO67" i="3" s="1"/>
  <c r="BT22" i="3"/>
  <c r="BB45" i="3"/>
  <c r="BT32" i="3"/>
  <c r="BB50" i="3"/>
  <c r="BB97" i="3"/>
  <c r="BB96" i="3"/>
  <c r="BB88" i="3"/>
  <c r="BB53" i="3"/>
  <c r="AU49" i="3"/>
  <c r="BB42" i="3"/>
  <c r="AU54" i="3"/>
  <c r="AU42" i="3"/>
  <c r="BK37" i="3"/>
  <c r="BK97" i="3"/>
  <c r="BO41" i="3"/>
  <c r="BK121" i="3"/>
  <c r="BO121" i="3"/>
  <c r="BK22" i="3"/>
  <c r="BK21" i="3"/>
  <c r="BB44" i="3"/>
  <c r="BO87" i="3"/>
  <c r="BK38" i="3"/>
  <c r="BK83" i="3"/>
  <c r="BK47" i="3"/>
  <c r="BO37" i="3"/>
  <c r="BK87" i="3"/>
  <c r="BK129" i="3"/>
  <c r="BO10" i="3"/>
  <c r="BO68" i="3"/>
  <c r="BO29" i="3"/>
  <c r="BK88" i="3"/>
  <c r="BO88" i="3"/>
  <c r="BK40" i="3"/>
  <c r="BO40" i="3"/>
  <c r="BO34" i="3"/>
  <c r="AU96" i="3"/>
  <c r="BO125" i="3"/>
  <c r="BK12" i="3"/>
  <c r="BK17" i="3"/>
  <c r="AU88" i="3"/>
  <c r="BK36" i="3"/>
  <c r="BO36" i="3"/>
  <c r="BK42" i="3"/>
  <c r="BO69" i="3"/>
  <c r="BO23" i="3"/>
  <c r="BK10" i="3"/>
  <c r="BO61" i="3"/>
  <c r="BO64" i="3"/>
  <c r="BU88" i="3"/>
  <c r="BK27" i="3"/>
  <c r="BK85" i="3"/>
  <c r="BK24" i="3"/>
  <c r="BK96" i="3"/>
  <c r="BK125" i="3"/>
  <c r="BO95" i="3"/>
  <c r="BK68" i="3"/>
  <c r="BK53" i="3"/>
  <c r="BO20" i="3"/>
  <c r="BK35" i="3"/>
  <c r="BB27" i="3"/>
  <c r="BK34" i="3"/>
  <c r="BB54" i="3"/>
  <c r="BK69" i="3"/>
  <c r="AU50" i="3"/>
  <c r="BK95" i="3"/>
  <c r="AU53" i="3"/>
  <c r="BO35" i="3"/>
  <c r="BK54" i="3"/>
  <c r="BO24" i="3"/>
  <c r="BK82" i="3"/>
  <c r="BK64" i="3"/>
  <c r="BK45" i="3"/>
  <c r="BK32" i="3"/>
  <c r="AU97" i="3"/>
  <c r="BK48" i="3"/>
  <c r="BK23" i="3"/>
  <c r="BK29" i="3"/>
  <c r="BK20" i="3"/>
  <c r="AU45" i="3"/>
  <c r="BK49" i="3"/>
  <c r="BO12" i="3"/>
  <c r="BK66" i="3"/>
  <c r="BK44" i="3"/>
  <c r="BK41" i="3"/>
  <c r="BK67" i="3"/>
  <c r="BO129" i="3"/>
  <c r="BB49" i="3"/>
  <c r="BK61" i="3"/>
  <c r="BO21" i="3"/>
  <c r="BK84" i="3"/>
  <c r="BK72" i="3"/>
  <c r="AU44" i="3"/>
  <c r="BK50" i="3"/>
  <c r="BK18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52" i="3"/>
  <c r="BN52" i="3" s="1"/>
  <c r="V53" i="3"/>
  <c r="BN53" i="3" s="1"/>
  <c r="V54" i="3"/>
  <c r="BN54" i="3" s="1"/>
  <c r="V88" i="3"/>
  <c r="BN88" i="3" s="1"/>
  <c r="V49" i="3"/>
  <c r="BN49" i="3" s="1"/>
  <c r="V45" i="3"/>
  <c r="BN45" i="3" s="1"/>
  <c r="V44" i="3"/>
  <c r="BN44" i="3" s="1"/>
  <c r="V42" i="3"/>
  <c r="BN42" i="3" s="1"/>
  <c r="K63" i="17"/>
  <c r="W137" i="3"/>
  <c r="W112" i="3"/>
  <c r="W97" i="3"/>
  <c r="W96" i="3"/>
  <c r="W54" i="3"/>
  <c r="W51" i="3"/>
  <c r="W42" i="3"/>
  <c r="V129" i="3"/>
  <c r="V125" i="3"/>
  <c r="V113" i="3"/>
  <c r="V111" i="3"/>
  <c r="V91" i="3"/>
  <c r="AX91" i="3" s="1"/>
  <c r="V73" i="3"/>
  <c r="V69" i="3"/>
  <c r="V68" i="3"/>
  <c r="AX68" i="3" s="1"/>
  <c r="V66" i="3"/>
  <c r="V65" i="3"/>
  <c r="V39" i="3"/>
  <c r="V36" i="3"/>
  <c r="AX36" i="3" s="1"/>
  <c r="V35" i="3"/>
  <c r="AX35" i="3" s="1"/>
  <c r="V33" i="3"/>
  <c r="V25" i="3"/>
  <c r="V22" i="3"/>
  <c r="AX22" i="3" s="1"/>
  <c r="V21" i="3"/>
  <c r="V13" i="3"/>
  <c r="V12" i="3"/>
  <c r="AX12" i="3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AO4" i="3"/>
  <c r="AO5" i="3"/>
  <c r="AO8" i="3"/>
  <c r="AO10" i="3"/>
  <c r="BS10" i="3" s="1"/>
  <c r="AP10" i="3"/>
  <c r="AO12" i="3"/>
  <c r="BS12" i="3" s="1"/>
  <c r="AP12" i="3"/>
  <c r="AO17" i="3"/>
  <c r="BS17" i="3" s="1"/>
  <c r="AO20" i="3"/>
  <c r="BS20" i="3" s="1"/>
  <c r="AO21" i="3"/>
  <c r="BS21" i="3" s="1"/>
  <c r="AP21" i="3"/>
  <c r="AO22" i="3"/>
  <c r="BS22" i="3" s="1"/>
  <c r="AP22" i="3"/>
  <c r="AO23" i="3"/>
  <c r="BS23" i="3" s="1"/>
  <c r="AP23" i="3"/>
  <c r="AO24" i="3"/>
  <c r="BS24" i="3" s="1"/>
  <c r="AP24" i="3"/>
  <c r="AO27" i="3"/>
  <c r="BS27" i="3" s="1"/>
  <c r="AP27" i="3"/>
  <c r="AO29" i="3"/>
  <c r="BS29" i="3" s="1"/>
  <c r="AP29" i="3"/>
  <c r="AO32" i="3"/>
  <c r="BS32" i="3" s="1"/>
  <c r="AP32" i="3"/>
  <c r="AO33" i="3"/>
  <c r="BS33" i="3" s="1"/>
  <c r="AP33" i="3"/>
  <c r="AO34" i="3"/>
  <c r="BS34" i="3" s="1"/>
  <c r="AP34" i="3"/>
  <c r="AO35" i="3"/>
  <c r="BS35" i="3" s="1"/>
  <c r="AP35" i="3"/>
  <c r="AO36" i="3"/>
  <c r="BS36" i="3" s="1"/>
  <c r="AP36" i="3"/>
  <c r="AO37" i="3"/>
  <c r="BS37" i="3" s="1"/>
  <c r="AP37" i="3"/>
  <c r="AO38" i="3"/>
  <c r="BS38" i="3" s="1"/>
  <c r="AP38" i="3"/>
  <c r="AO40" i="3"/>
  <c r="BS40" i="3" s="1"/>
  <c r="AP40" i="3"/>
  <c r="AO41" i="3"/>
  <c r="BS41" i="3" s="1"/>
  <c r="AP41" i="3"/>
  <c r="AO42" i="3"/>
  <c r="BS42" i="3" s="1"/>
  <c r="AP42" i="3"/>
  <c r="AO44" i="3"/>
  <c r="BS44" i="3" s="1"/>
  <c r="AP44" i="3"/>
  <c r="AO45" i="3"/>
  <c r="BS45" i="3" s="1"/>
  <c r="AP45" i="3"/>
  <c r="AO47" i="3"/>
  <c r="BS47" i="3" s="1"/>
  <c r="AP47" i="3"/>
  <c r="AO48" i="3"/>
  <c r="BS48" i="3" s="1"/>
  <c r="AP48" i="3"/>
  <c r="AO49" i="3"/>
  <c r="BS49" i="3" s="1"/>
  <c r="AP49" i="3"/>
  <c r="AO50" i="3"/>
  <c r="BQ50" i="3" s="1"/>
  <c r="AP50" i="3"/>
  <c r="AO53" i="3"/>
  <c r="BS53" i="3" s="1"/>
  <c r="AP53" i="3"/>
  <c r="AO54" i="3"/>
  <c r="BS54" i="3" s="1"/>
  <c r="AP54" i="3"/>
  <c r="AO55" i="3"/>
  <c r="BS55" i="3" s="1"/>
  <c r="AO56" i="3"/>
  <c r="BS56" i="3" s="1"/>
  <c r="AO57" i="3"/>
  <c r="BS57" i="3" s="1"/>
  <c r="AO58" i="3"/>
  <c r="BS58" i="3" s="1"/>
  <c r="AO59" i="3"/>
  <c r="BS59" i="3" s="1"/>
  <c r="AO60" i="3"/>
  <c r="BS60" i="3" s="1"/>
  <c r="AO61" i="3"/>
  <c r="BS61" i="3" s="1"/>
  <c r="AP61" i="3"/>
  <c r="AO62" i="3"/>
  <c r="BS62" i="3" s="1"/>
  <c r="AO64" i="3"/>
  <c r="BS64" i="3" s="1"/>
  <c r="AP64" i="3"/>
  <c r="AO65" i="3"/>
  <c r="BS65" i="3" s="1"/>
  <c r="AP65" i="3"/>
  <c r="AO66" i="3"/>
  <c r="BS66" i="3" s="1"/>
  <c r="AP66" i="3"/>
  <c r="AO67" i="3"/>
  <c r="BS67" i="3" s="1"/>
  <c r="AP67" i="3"/>
  <c r="AO68" i="3"/>
  <c r="BS68" i="3" s="1"/>
  <c r="AP68" i="3"/>
  <c r="AO69" i="3"/>
  <c r="BS69" i="3" s="1"/>
  <c r="AP69" i="3"/>
  <c r="AO72" i="3"/>
  <c r="BS72" i="3" s="1"/>
  <c r="AP72" i="3"/>
  <c r="AO73" i="3"/>
  <c r="BS73" i="3" s="1"/>
  <c r="AP73" i="3"/>
  <c r="AO76" i="3"/>
  <c r="BS76" i="3" s="1"/>
  <c r="AP76" i="3"/>
  <c r="AO77" i="3"/>
  <c r="BS77" i="3" s="1"/>
  <c r="AP77" i="3"/>
  <c r="AO81" i="3"/>
  <c r="BS81" i="3" s="1"/>
  <c r="AP81" i="3"/>
  <c r="AO82" i="3"/>
  <c r="BS82" i="3" s="1"/>
  <c r="AO83" i="3"/>
  <c r="BS83" i="3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AP93" i="3"/>
  <c r="AO94" i="3"/>
  <c r="BS94" i="3" s="1"/>
  <c r="AP94" i="3"/>
  <c r="AO95" i="3"/>
  <c r="BS95" i="3" s="1"/>
  <c r="AP95" i="3"/>
  <c r="AO96" i="3"/>
  <c r="BS96" i="3" s="1"/>
  <c r="AP96" i="3"/>
  <c r="AO97" i="3"/>
  <c r="BS97" i="3" s="1"/>
  <c r="AP97" i="3"/>
  <c r="AO98" i="3"/>
  <c r="BS98" i="3" s="1"/>
  <c r="AP98" i="3"/>
  <c r="AO99" i="3"/>
  <c r="BS99" i="3" s="1"/>
  <c r="AO100" i="3"/>
  <c r="BS100" i="3" s="1"/>
  <c r="AO101" i="3"/>
  <c r="BS101" i="3" s="1"/>
  <c r="AP101" i="3"/>
  <c r="AO102" i="3"/>
  <c r="BS102" i="3" s="1"/>
  <c r="AP102" i="3"/>
  <c r="AO103" i="3"/>
  <c r="BS103" i="3" s="1"/>
  <c r="AP103" i="3"/>
  <c r="AO104" i="3"/>
  <c r="BS104" i="3" s="1"/>
  <c r="AP104" i="3"/>
  <c r="AO105" i="3"/>
  <c r="BS105" i="3" s="1"/>
  <c r="AP105" i="3"/>
  <c r="AO106" i="3"/>
  <c r="BS106" i="3" s="1"/>
  <c r="AP106" i="3"/>
  <c r="AO107" i="3"/>
  <c r="BS107" i="3" s="1"/>
  <c r="AP107" i="3"/>
  <c r="AO108" i="3"/>
  <c r="BS108" i="3" s="1"/>
  <c r="AP108" i="3"/>
  <c r="AO109" i="3"/>
  <c r="BS109" i="3" s="1"/>
  <c r="AO114" i="3"/>
  <c r="BS114" i="3" s="1"/>
  <c r="AO116" i="3"/>
  <c r="BS116" i="3" s="1"/>
  <c r="AP116" i="3"/>
  <c r="AO117" i="3"/>
  <c r="BS117" i="3" s="1"/>
  <c r="AP117" i="3"/>
  <c r="AO118" i="3"/>
  <c r="BS118" i="3" s="1"/>
  <c r="AP118" i="3"/>
  <c r="AO119" i="3"/>
  <c r="BS119" i="3" s="1"/>
  <c r="AO121" i="3"/>
  <c r="BS121" i="3" s="1"/>
  <c r="AO122" i="3"/>
  <c r="BS122" i="3" s="1"/>
  <c r="AP122" i="3"/>
  <c r="AO123" i="3"/>
  <c r="BS123" i="3" s="1"/>
  <c r="AO125" i="3"/>
  <c r="BS125" i="3" s="1"/>
  <c r="AP125" i="3"/>
  <c r="AO126" i="3"/>
  <c r="BS126" i="3" s="1"/>
  <c r="AP126" i="3"/>
  <c r="AO127" i="3"/>
  <c r="BS127" i="3" s="1"/>
  <c r="AP127" i="3"/>
  <c r="AO128" i="3"/>
  <c r="BS128" i="3" s="1"/>
  <c r="AO129" i="3"/>
  <c r="BS129" i="3" s="1"/>
  <c r="AP129" i="3"/>
  <c r="AO130" i="3"/>
  <c r="BS130" i="3" s="1"/>
  <c r="AP130" i="3"/>
  <c r="AO131" i="3"/>
  <c r="BS131" i="3" s="1"/>
  <c r="AP131" i="3"/>
  <c r="AO133" i="3"/>
  <c r="BS133" i="3" s="1"/>
  <c r="AP133" i="3"/>
  <c r="AO134" i="3"/>
  <c r="BS134" i="3" s="1"/>
  <c r="AP134" i="3"/>
  <c r="AO138" i="3"/>
  <c r="BS138" i="3" s="1"/>
  <c r="AO140" i="3"/>
  <c r="BS140" i="3" s="1"/>
  <c r="AO150" i="3"/>
  <c r="BS150" i="3" s="1"/>
  <c r="AO158" i="3"/>
  <c r="BS158" i="3" s="1"/>
  <c r="AO160" i="3"/>
  <c r="BS160" i="3" s="1"/>
  <c r="AP160" i="3"/>
  <c r="AO18" i="3"/>
  <c r="BS18" i="3" s="1"/>
  <c r="K35" i="17"/>
  <c r="AP313" i="3" s="1"/>
  <c r="AQ313" i="3" s="1"/>
  <c r="K14" i="17"/>
  <c r="AP288" i="3" s="1"/>
  <c r="AQ288" i="3" s="1"/>
  <c r="K18" i="17"/>
  <c r="K62" i="17"/>
  <c r="AP187" i="3" s="1"/>
  <c r="AQ187" i="3" s="1"/>
  <c r="I20" i="17"/>
  <c r="H20" i="17"/>
  <c r="I61" i="17"/>
  <c r="J61" i="17"/>
  <c r="I16" i="17"/>
  <c r="H16" i="17"/>
  <c r="H56" i="17"/>
  <c r="I56" i="17"/>
  <c r="I30" i="17"/>
  <c r="H30" i="17"/>
  <c r="I57" i="17"/>
  <c r="AA313" i="5" s="1"/>
  <c r="O313" i="1" s="1"/>
  <c r="AV253" i="3" s="1"/>
  <c r="I15" i="17"/>
  <c r="G119" i="3"/>
  <c r="F44" i="3"/>
  <c r="F41" i="3"/>
  <c r="L134" i="3"/>
  <c r="L133" i="3"/>
  <c r="L131" i="3"/>
  <c r="L130" i="3"/>
  <c r="L128" i="3"/>
  <c r="F160" i="3"/>
  <c r="L160" i="3"/>
  <c r="L158" i="3"/>
  <c r="L150" i="3"/>
  <c r="C159" i="3"/>
  <c r="C157" i="3"/>
  <c r="C156" i="3"/>
  <c r="C155" i="3"/>
  <c r="C154" i="3"/>
  <c r="C153" i="3"/>
  <c r="C152" i="3"/>
  <c r="C151" i="3"/>
  <c r="G152" i="3"/>
  <c r="G153" i="3"/>
  <c r="G154" i="3"/>
  <c r="G155" i="3"/>
  <c r="G156" i="3"/>
  <c r="G157" i="3"/>
  <c r="G158" i="3"/>
  <c r="G159" i="3"/>
  <c r="G151" i="3"/>
  <c r="G150" i="3"/>
  <c r="L140" i="3"/>
  <c r="C149" i="3"/>
  <c r="C148" i="3"/>
  <c r="C147" i="3"/>
  <c r="C146" i="3"/>
  <c r="C145" i="3"/>
  <c r="C144" i="3"/>
  <c r="C143" i="3"/>
  <c r="C142" i="3"/>
  <c r="C141" i="3"/>
  <c r="C139" i="3"/>
  <c r="G141" i="3"/>
  <c r="G142" i="3"/>
  <c r="G143" i="3"/>
  <c r="G144" i="3"/>
  <c r="G145" i="3"/>
  <c r="G146" i="3"/>
  <c r="G147" i="3"/>
  <c r="G148" i="3"/>
  <c r="G149" i="3"/>
  <c r="G140" i="3"/>
  <c r="G139" i="3"/>
  <c r="C137" i="3"/>
  <c r="C136" i="3"/>
  <c r="C135" i="3"/>
  <c r="L118" i="3"/>
  <c r="L117" i="3"/>
  <c r="C124" i="3"/>
  <c r="C120" i="3"/>
  <c r="C115" i="3"/>
  <c r="C113" i="3"/>
  <c r="C112" i="3"/>
  <c r="C111" i="3"/>
  <c r="C110" i="3"/>
  <c r="F95" i="3"/>
  <c r="L100" i="3"/>
  <c r="L99" i="3"/>
  <c r="L97" i="3"/>
  <c r="L95" i="3"/>
  <c r="L94" i="3"/>
  <c r="L93" i="3"/>
  <c r="L82" i="3"/>
  <c r="L83" i="3"/>
  <c r="L84" i="3"/>
  <c r="L85" i="3"/>
  <c r="L81" i="3"/>
  <c r="C92" i="3"/>
  <c r="C91" i="3"/>
  <c r="L61" i="3"/>
  <c r="C79" i="3"/>
  <c r="C78" i="3"/>
  <c r="C75" i="3"/>
  <c r="C74" i="3"/>
  <c r="C70" i="3"/>
  <c r="C63" i="3"/>
  <c r="F61" i="3"/>
  <c r="L59" i="3"/>
  <c r="L60" i="3"/>
  <c r="L58" i="3"/>
  <c r="L55" i="3"/>
  <c r="G57" i="3"/>
  <c r="F48" i="3"/>
  <c r="F47" i="3"/>
  <c r="C52" i="3"/>
  <c r="C51" i="3"/>
  <c r="G58" i="3"/>
  <c r="G59" i="3"/>
  <c r="G60" i="3"/>
  <c r="G62" i="3"/>
  <c r="F63" i="3"/>
  <c r="G63" i="3"/>
  <c r="J63" i="3"/>
  <c r="L63" i="3"/>
  <c r="F64" i="3"/>
  <c r="G64" i="3"/>
  <c r="J64" i="3"/>
  <c r="L64" i="3"/>
  <c r="F65" i="3"/>
  <c r="G65" i="3"/>
  <c r="J65" i="3"/>
  <c r="L65" i="3"/>
  <c r="F66" i="3"/>
  <c r="G66" i="3"/>
  <c r="J66" i="3"/>
  <c r="L66" i="3"/>
  <c r="L44" i="3"/>
  <c r="L37" i="3"/>
  <c r="L41" i="3"/>
  <c r="L40" i="3"/>
  <c r="C43" i="3"/>
  <c r="C39" i="3"/>
  <c r="C31" i="3"/>
  <c r="C30" i="3"/>
  <c r="C28" i="3"/>
  <c r="C26" i="3"/>
  <c r="G23" i="3"/>
  <c r="G16" i="3"/>
  <c r="G15" i="3"/>
  <c r="L20" i="3"/>
  <c r="C16" i="3"/>
  <c r="C15" i="3"/>
  <c r="C14" i="3"/>
  <c r="C13" i="3"/>
  <c r="C11" i="3"/>
  <c r="C9" i="3"/>
  <c r="C6" i="3"/>
  <c r="C3" i="3"/>
  <c r="C2" i="3"/>
  <c r="E29" i="16"/>
  <c r="E28" i="16"/>
  <c r="E27" i="16"/>
  <c r="E25" i="16"/>
  <c r="E24" i="16"/>
  <c r="E23" i="16"/>
  <c r="E21" i="16"/>
  <c r="E22" i="16"/>
  <c r="E13" i="16"/>
  <c r="E11" i="16"/>
  <c r="G113" i="3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BO44" i="3" l="1"/>
  <c r="BO27" i="3"/>
  <c r="BT44" i="3"/>
  <c r="BU50" i="3"/>
  <c r="BR42" i="3"/>
  <c r="BR44" i="3"/>
  <c r="BO42" i="3"/>
  <c r="BO47" i="3"/>
  <c r="Z321" i="5"/>
  <c r="AA321" i="5"/>
  <c r="BO66" i="3"/>
  <c r="BV112" i="3"/>
  <c r="BV45" i="3"/>
  <c r="BR52" i="3"/>
  <c r="BR49" i="3"/>
  <c r="BO45" i="3"/>
  <c r="BO48" i="3"/>
  <c r="BV46" i="3"/>
  <c r="BU49" i="3"/>
  <c r="BO82" i="3"/>
  <c r="BT83" i="3"/>
  <c r="BO49" i="3"/>
  <c r="AP282" i="3"/>
  <c r="AQ282" i="3" s="1"/>
  <c r="AP280" i="3"/>
  <c r="AQ280" i="3" s="1"/>
  <c r="AP287" i="3"/>
  <c r="AQ287" i="3" s="1"/>
  <c r="AP284" i="3"/>
  <c r="AQ284" i="3" s="1"/>
  <c r="BV27" i="3"/>
  <c r="Z251" i="5"/>
  <c r="N251" i="1" s="1"/>
  <c r="AA251" i="5"/>
  <c r="O251" i="1" s="1"/>
  <c r="BO50" i="3"/>
  <c r="BT54" i="3"/>
  <c r="BT45" i="3"/>
  <c r="BO54" i="3"/>
  <c r="BR54" i="3"/>
  <c r="BO53" i="3"/>
  <c r="BR26" i="3"/>
  <c r="AP281" i="3"/>
  <c r="AQ281" i="3" s="1"/>
  <c r="AP283" i="3"/>
  <c r="AQ283" i="3" s="1"/>
  <c r="BU53" i="3"/>
  <c r="BU27" i="3"/>
  <c r="BR50" i="3"/>
  <c r="BV53" i="3"/>
  <c r="BM27" i="3"/>
  <c r="BV88" i="3"/>
  <c r="BT49" i="3"/>
  <c r="Z329" i="5"/>
  <c r="AA329" i="5"/>
  <c r="AA182" i="5"/>
  <c r="Z182" i="5"/>
  <c r="BT53" i="3"/>
  <c r="AP189" i="3"/>
  <c r="AQ189" i="3" s="1"/>
  <c r="AP279" i="3"/>
  <c r="AQ279" i="3" s="1"/>
  <c r="AP278" i="3"/>
  <c r="AQ278" i="3" s="1"/>
  <c r="AP186" i="3"/>
  <c r="AQ186" i="3" s="1"/>
  <c r="AP289" i="3"/>
  <c r="AQ289" i="3" s="1"/>
  <c r="BR96" i="3"/>
  <c r="BT67" i="3"/>
  <c r="BO97" i="3"/>
  <c r="BV97" i="3"/>
  <c r="BO72" i="3"/>
  <c r="BO85" i="3"/>
  <c r="BO84" i="3"/>
  <c r="BO96" i="3"/>
  <c r="AP60" i="3"/>
  <c r="AQ60" i="3" s="1"/>
  <c r="AP181" i="3"/>
  <c r="AQ181" i="3" s="1"/>
  <c r="AP180" i="3"/>
  <c r="AQ180" i="3" s="1"/>
  <c r="AP82" i="3"/>
  <c r="AQ82" i="3" s="1"/>
  <c r="AP173" i="3"/>
  <c r="AQ173" i="3" s="1"/>
  <c r="BT96" i="3"/>
  <c r="AP18" i="3"/>
  <c r="AQ18" i="3" s="1"/>
  <c r="AP161" i="3"/>
  <c r="AQ161" i="3" s="1"/>
  <c r="AR11" i="3"/>
  <c r="BG11" i="3" s="1"/>
  <c r="BA11" i="3"/>
  <c r="AR75" i="3"/>
  <c r="BG75" i="3" s="1"/>
  <c r="BA75" i="3"/>
  <c r="AS75" i="3"/>
  <c r="AR115" i="3"/>
  <c r="BG115" i="3" s="1"/>
  <c r="AS115" i="3"/>
  <c r="BA115" i="3"/>
  <c r="AS146" i="3"/>
  <c r="BH146" i="3" s="1"/>
  <c r="AR146" i="3"/>
  <c r="BG146" i="3" s="1"/>
  <c r="BA146" i="3"/>
  <c r="AY74" i="3"/>
  <c r="BP74" i="3" a="1"/>
  <c r="BP74" i="3" s="1"/>
  <c r="BP154" i="3" a="1"/>
  <c r="BP154" i="3" s="1"/>
  <c r="AY154" i="3"/>
  <c r="AX13" i="3"/>
  <c r="AX73" i="3"/>
  <c r="AS3" i="3"/>
  <c r="AR13" i="3"/>
  <c r="BG13" i="3" s="1"/>
  <c r="BA13" i="3"/>
  <c r="BP13" i="3" a="1"/>
  <c r="BP13" i="3" s="1"/>
  <c r="AS13" i="3"/>
  <c r="AR78" i="3"/>
  <c r="BG78" i="3" s="1"/>
  <c r="BA78" i="3"/>
  <c r="AS78" i="3"/>
  <c r="BH78" i="3" s="1"/>
  <c r="AS120" i="3"/>
  <c r="AR120" i="3"/>
  <c r="BG120" i="3" s="1"/>
  <c r="BA120" i="3"/>
  <c r="AS147" i="3"/>
  <c r="BH147" i="3" s="1"/>
  <c r="AR147" i="3"/>
  <c r="BG147" i="3" s="1"/>
  <c r="BA147" i="3"/>
  <c r="AR151" i="3"/>
  <c r="BG151" i="3" s="1"/>
  <c r="AS151" i="3"/>
  <c r="BA151" i="3"/>
  <c r="AY75" i="3"/>
  <c r="BP75" i="3" a="1"/>
  <c r="BP75" i="3" s="1"/>
  <c r="BP155" i="3" a="1"/>
  <c r="BP155" i="3" s="1"/>
  <c r="AY155" i="3"/>
  <c r="AX21" i="3"/>
  <c r="AS4" i="3"/>
  <c r="BG4" i="3"/>
  <c r="AR132" i="3"/>
  <c r="BA132" i="3"/>
  <c r="AS132" i="3"/>
  <c r="AR26" i="3"/>
  <c r="BG26" i="3" s="1"/>
  <c r="BA26" i="3"/>
  <c r="BQ26" i="3"/>
  <c r="BP26" i="3" a="1"/>
  <c r="BP26" i="3" s="1"/>
  <c r="AS26" i="3"/>
  <c r="AR90" i="3"/>
  <c r="BA90" i="3"/>
  <c r="BP90" i="3" a="1"/>
  <c r="BP90" i="3" s="1"/>
  <c r="AS90" i="3"/>
  <c r="AR135" i="3"/>
  <c r="BG135" i="3" s="1"/>
  <c r="BA135" i="3"/>
  <c r="AS135" i="3"/>
  <c r="BP135" i="3" a="1"/>
  <c r="BP135" i="3" s="1"/>
  <c r="AS155" i="3"/>
  <c r="AR155" i="3"/>
  <c r="BG155" i="3" s="1"/>
  <c r="BA155" i="3"/>
  <c r="BP120" i="3" a="1"/>
  <c r="BP120" i="3" s="1"/>
  <c r="AY120" i="3"/>
  <c r="BP159" i="3" a="1"/>
  <c r="BP159" i="3" s="1"/>
  <c r="AY159" i="3"/>
  <c r="AX129" i="3"/>
  <c r="AS7" i="3"/>
  <c r="AR19" i="3"/>
  <c r="BA19" i="3"/>
  <c r="AS19" i="3"/>
  <c r="AR28" i="3"/>
  <c r="BG28" i="3" s="1"/>
  <c r="BA28" i="3"/>
  <c r="AS28" i="3"/>
  <c r="AR91" i="3"/>
  <c r="BG91" i="3" s="1"/>
  <c r="AS91" i="3"/>
  <c r="BH91" i="3" s="1"/>
  <c r="BA91" i="3"/>
  <c r="AS136" i="3"/>
  <c r="BH136" i="3" s="1"/>
  <c r="AR136" i="3"/>
  <c r="BG136" i="3" s="1"/>
  <c r="BA136" i="3"/>
  <c r="AS139" i="3"/>
  <c r="BH139" i="3" s="1"/>
  <c r="AR139" i="3"/>
  <c r="BG139" i="3" s="1"/>
  <c r="BA139" i="3"/>
  <c r="AS156" i="3"/>
  <c r="AR156" i="3"/>
  <c r="BG156" i="3" s="1"/>
  <c r="BA156" i="3"/>
  <c r="BP123" i="3" a="1"/>
  <c r="BP123" i="3" s="1"/>
  <c r="BT123" i="3" s="1"/>
  <c r="AY123" i="3"/>
  <c r="AX6" i="3"/>
  <c r="AS8" i="3"/>
  <c r="BG8" i="3"/>
  <c r="BF2" i="3"/>
  <c r="BA2" i="3"/>
  <c r="BD2" i="3"/>
  <c r="AR30" i="3"/>
  <c r="BG30" i="3" s="1"/>
  <c r="BA30" i="3"/>
  <c r="AS30" i="3"/>
  <c r="BH30" i="3" s="1"/>
  <c r="AR92" i="3"/>
  <c r="BG92" i="3" s="1"/>
  <c r="AS92" i="3"/>
  <c r="BH92" i="3" s="1"/>
  <c r="BA92" i="3"/>
  <c r="AR137" i="3"/>
  <c r="BG137" i="3" s="1"/>
  <c r="AS137" i="3"/>
  <c r="BA137" i="3"/>
  <c r="AS141" i="3"/>
  <c r="BH141" i="3" s="1"/>
  <c r="AR141" i="3"/>
  <c r="BG141" i="3" s="1"/>
  <c r="BA141" i="3"/>
  <c r="AR157" i="3"/>
  <c r="BG157" i="3" s="1"/>
  <c r="AS157" i="3"/>
  <c r="BA157" i="3"/>
  <c r="AY17" i="3"/>
  <c r="BP17" i="3" a="1"/>
  <c r="BP17" i="3" s="1"/>
  <c r="BT17" i="3" s="1"/>
  <c r="AY132" i="3"/>
  <c r="BP132" i="3" a="1"/>
  <c r="BP132" i="3" s="1"/>
  <c r="AX39" i="3"/>
  <c r="BI97" i="3"/>
  <c r="AS11" i="3"/>
  <c r="AR3" i="3"/>
  <c r="BG3" i="3" s="1"/>
  <c r="BA3" i="3"/>
  <c r="AR31" i="3"/>
  <c r="BG31" i="3" s="1"/>
  <c r="BA31" i="3"/>
  <c r="AS31" i="3"/>
  <c r="BP31" i="3" a="1"/>
  <c r="BP31" i="3" s="1"/>
  <c r="AR51" i="3"/>
  <c r="BG51" i="3" s="1"/>
  <c r="BA51" i="3"/>
  <c r="BP51" i="3" a="1"/>
  <c r="BP51" i="3" s="1"/>
  <c r="AS51" i="3"/>
  <c r="AR63" i="3"/>
  <c r="BG63" i="3" s="1"/>
  <c r="BA63" i="3"/>
  <c r="BP63" i="3" a="1"/>
  <c r="BP63" i="3" s="1"/>
  <c r="AS63" i="3"/>
  <c r="AS110" i="3"/>
  <c r="AR110" i="3"/>
  <c r="BG110" i="3" s="1"/>
  <c r="BA110" i="3"/>
  <c r="AR142" i="3"/>
  <c r="BG142" i="3" s="1"/>
  <c r="AS142" i="3"/>
  <c r="BH142" i="3" s="1"/>
  <c r="BA142" i="3"/>
  <c r="AR159" i="3"/>
  <c r="BG159" i="3" s="1"/>
  <c r="AS159" i="3"/>
  <c r="BA159" i="3"/>
  <c r="AY18" i="3"/>
  <c r="BP18" i="3" a="1"/>
  <c r="BP18" i="3" s="1"/>
  <c r="BT18" i="3" s="1"/>
  <c r="BP150" i="3" a="1"/>
  <c r="BP150" i="3" s="1"/>
  <c r="BT150" i="3" s="1"/>
  <c r="AY150" i="3"/>
  <c r="AX65" i="3"/>
  <c r="AR6" i="3"/>
  <c r="BG6" i="3" s="1"/>
  <c r="BA6" i="3"/>
  <c r="AS6" i="3"/>
  <c r="AR39" i="3"/>
  <c r="BG39" i="3" s="1"/>
  <c r="BA39" i="3"/>
  <c r="AS39" i="3"/>
  <c r="BH39" i="3" s="1"/>
  <c r="AR52" i="3"/>
  <c r="BG52" i="3" s="1"/>
  <c r="BA52" i="3"/>
  <c r="BP52" i="3" a="1"/>
  <c r="BP52" i="3" s="1"/>
  <c r="AS52" i="3"/>
  <c r="AR70" i="3"/>
  <c r="BG70" i="3" s="1"/>
  <c r="BA70" i="3"/>
  <c r="AS70" i="3"/>
  <c r="BH70" i="3" s="1"/>
  <c r="AR111" i="3"/>
  <c r="BG111" i="3" s="1"/>
  <c r="BA111" i="3"/>
  <c r="AS111" i="3"/>
  <c r="BP111" i="3" a="1"/>
  <c r="BP111" i="3" s="1"/>
  <c r="AS143" i="3"/>
  <c r="BH143" i="3" s="1"/>
  <c r="AR143" i="3"/>
  <c r="BG143" i="3" s="1"/>
  <c r="BA143" i="3"/>
  <c r="AY19" i="3"/>
  <c r="BP19" i="3" a="1"/>
  <c r="BP19" i="3" s="1"/>
  <c r="BP151" i="3" a="1"/>
  <c r="BP151" i="3" s="1"/>
  <c r="AY151" i="3"/>
  <c r="AX9" i="3"/>
  <c r="AX66" i="3"/>
  <c r="AR7" i="3"/>
  <c r="BA7" i="3"/>
  <c r="AR43" i="3"/>
  <c r="BG43" i="3" s="1"/>
  <c r="BA43" i="3"/>
  <c r="AS43" i="3"/>
  <c r="BQ43" i="3"/>
  <c r="BP43" i="3" a="1"/>
  <c r="BP43" i="3" s="1"/>
  <c r="AR71" i="3"/>
  <c r="BA71" i="3"/>
  <c r="AS71" i="3"/>
  <c r="BH71" i="3" s="1"/>
  <c r="AR112" i="3"/>
  <c r="BG112" i="3" s="1"/>
  <c r="BA112" i="3"/>
  <c r="AS112" i="3"/>
  <c r="BP112" i="3" a="1"/>
  <c r="BP112" i="3" s="1"/>
  <c r="AS144" i="3"/>
  <c r="BH144" i="3" s="1"/>
  <c r="AR144" i="3"/>
  <c r="BG144" i="3" s="1"/>
  <c r="BA144" i="3"/>
  <c r="AY20" i="3"/>
  <c r="BP20" i="3" a="1"/>
  <c r="BP20" i="3" s="1"/>
  <c r="BT20" i="3" s="1"/>
  <c r="BP152" i="3" a="1"/>
  <c r="BP152" i="3" s="1"/>
  <c r="AY152" i="3"/>
  <c r="AR9" i="3"/>
  <c r="BG9" i="3" s="1"/>
  <c r="BA9" i="3"/>
  <c r="AS9" i="3"/>
  <c r="BH9" i="3" s="1"/>
  <c r="AR46" i="3"/>
  <c r="BA46" i="3"/>
  <c r="AS46" i="3"/>
  <c r="BQ46" i="3"/>
  <c r="BP46" i="3" a="1"/>
  <c r="BP46" i="3" s="1"/>
  <c r="AR74" i="3"/>
  <c r="BG74" i="3" s="1"/>
  <c r="BA74" i="3"/>
  <c r="AS74" i="3"/>
  <c r="AR113" i="3"/>
  <c r="BG113" i="3" s="1"/>
  <c r="AS113" i="3"/>
  <c r="BH113" i="3" s="1"/>
  <c r="BA113" i="3"/>
  <c r="AR145" i="3"/>
  <c r="BG145" i="3" s="1"/>
  <c r="AS145" i="3"/>
  <c r="BH145" i="3" s="1"/>
  <c r="BA145" i="3"/>
  <c r="AY28" i="3"/>
  <c r="BP28" i="3" a="1"/>
  <c r="BP28" i="3" s="1"/>
  <c r="BP153" i="3" a="1"/>
  <c r="BP153" i="3" s="1"/>
  <c r="AY153" i="3"/>
  <c r="AX69" i="3"/>
  <c r="BI54" i="3"/>
  <c r="AR14" i="3"/>
  <c r="BG14" i="3" s="1"/>
  <c r="BA14" i="3"/>
  <c r="AS14" i="3"/>
  <c r="BH14" i="3" s="1"/>
  <c r="AS79" i="3"/>
  <c r="AR79" i="3"/>
  <c r="BG79" i="3" s="1"/>
  <c r="BA79" i="3"/>
  <c r="AR124" i="3"/>
  <c r="BG124" i="3" s="1"/>
  <c r="BA124" i="3"/>
  <c r="AS124" i="3"/>
  <c r="BP124" i="3" a="1"/>
  <c r="BP124" i="3" s="1"/>
  <c r="AS148" i="3"/>
  <c r="BH148" i="3" s="1"/>
  <c r="AR148" i="3"/>
  <c r="BG148" i="3" s="1"/>
  <c r="BA148" i="3"/>
  <c r="AS152" i="3"/>
  <c r="AR152" i="3"/>
  <c r="BG152" i="3" s="1"/>
  <c r="BA152" i="3"/>
  <c r="AY84" i="3"/>
  <c r="BP84" i="3" a="1"/>
  <c r="BP84" i="3" s="1"/>
  <c r="BT84" i="3" s="1"/>
  <c r="BP156" i="3" a="1"/>
  <c r="BP156" i="3" s="1"/>
  <c r="AY156" i="3"/>
  <c r="AR15" i="3"/>
  <c r="BG15" i="3" s="1"/>
  <c r="BA15" i="3"/>
  <c r="AS15" i="3"/>
  <c r="BH15" i="3" s="1"/>
  <c r="AS149" i="3"/>
  <c r="BH149" i="3" s="1"/>
  <c r="AR149" i="3"/>
  <c r="BG149" i="3" s="1"/>
  <c r="BA149" i="3"/>
  <c r="AS153" i="3"/>
  <c r="AR153" i="3"/>
  <c r="BG153" i="3" s="1"/>
  <c r="BA153" i="3"/>
  <c r="AY6" i="3"/>
  <c r="BP6" i="3" a="1"/>
  <c r="BP6" i="3" s="1"/>
  <c r="BP114" i="3" a="1"/>
  <c r="BP114" i="3" s="1"/>
  <c r="BT114" i="3" s="1"/>
  <c r="AY114" i="3"/>
  <c r="BP157" i="3" a="1"/>
  <c r="BP157" i="3" s="1"/>
  <c r="AY157" i="3"/>
  <c r="AX25" i="3"/>
  <c r="BI42" i="3"/>
  <c r="BS50" i="3"/>
  <c r="AR16" i="3"/>
  <c r="BG16" i="3" s="1"/>
  <c r="BA16" i="3"/>
  <c r="AS16" i="3"/>
  <c r="BH16" i="3" s="1"/>
  <c r="AR25" i="3"/>
  <c r="BA25" i="3"/>
  <c r="AS25" i="3"/>
  <c r="BH25" i="3" s="1"/>
  <c r="AR86" i="3"/>
  <c r="BA86" i="3"/>
  <c r="AS86" i="3"/>
  <c r="BH86" i="3" s="1"/>
  <c r="AR154" i="3"/>
  <c r="BG154" i="3" s="1"/>
  <c r="AS154" i="3"/>
  <c r="BA154" i="3"/>
  <c r="BP118" i="3" a="1"/>
  <c r="BP118" i="3" s="1"/>
  <c r="BT118" i="3" s="1"/>
  <c r="AY118" i="3"/>
  <c r="BP158" i="3" a="1"/>
  <c r="BP158" i="3" s="1"/>
  <c r="BT158" i="3" s="1"/>
  <c r="AY158" i="3"/>
  <c r="AX33" i="3"/>
  <c r="AX125" i="3"/>
  <c r="AS5" i="3"/>
  <c r="BG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Q51" i="3"/>
  <c r="BQ54" i="3"/>
  <c r="BQ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54" i="3"/>
  <c r="AX27" i="3"/>
  <c r="AX52" i="3"/>
  <c r="AX44" i="3"/>
  <c r="AX50" i="3"/>
  <c r="AX46" i="3"/>
  <c r="AX49" i="3"/>
  <c r="AX97" i="3"/>
  <c r="AX111" i="3"/>
  <c r="AX7" i="3"/>
  <c r="AX5" i="3"/>
  <c r="AX8" i="3"/>
  <c r="AX11" i="3"/>
  <c r="AX112" i="3"/>
  <c r="AX113" i="3"/>
  <c r="AX45" i="3"/>
  <c r="AX53" i="3"/>
  <c r="AX88" i="3"/>
  <c r="AX42" i="3"/>
  <c r="AX96" i="3"/>
  <c r="AX26" i="3"/>
  <c r="AZ25" i="3"/>
  <c r="AZ29" i="3"/>
  <c r="AZ42" i="3"/>
  <c r="AZ51" i="3"/>
  <c r="AZ54" i="3"/>
  <c r="AZ96" i="3"/>
  <c r="AZ97" i="3"/>
  <c r="AZ112" i="3"/>
  <c r="AZ137" i="3"/>
  <c r="AR2" i="3"/>
  <c r="BG2" i="3" s="1"/>
  <c r="AP5" i="3"/>
  <c r="AQ5" i="3" s="1"/>
  <c r="V30" i="3"/>
  <c r="AO9" i="3"/>
  <c r="AO3" i="3"/>
  <c r="AO7" i="3"/>
  <c r="AP4" i="3"/>
  <c r="AQ4" i="3" s="1"/>
  <c r="AP8" i="3"/>
  <c r="AQ8" i="3" s="1"/>
  <c r="L153" i="3"/>
  <c r="L139" i="3"/>
  <c r="L141" i="3"/>
  <c r="L144" i="3"/>
  <c r="L145" i="3"/>
  <c r="L152" i="3"/>
  <c r="L147" i="3"/>
  <c r="AO14" i="3"/>
  <c r="L149" i="3"/>
  <c r="L75" i="3"/>
  <c r="L115" i="3"/>
  <c r="L31" i="3"/>
  <c r="L148" i="3"/>
  <c r="L154" i="3"/>
  <c r="L39" i="3"/>
  <c r="L156" i="3"/>
  <c r="L19" i="3"/>
  <c r="L159" i="3"/>
  <c r="L142" i="3"/>
  <c r="L143" i="3"/>
  <c r="L151" i="3"/>
  <c r="L146" i="3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L157" i="3"/>
  <c r="L155" i="3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L14" i="3"/>
  <c r="L15" i="3"/>
  <c r="L16" i="3"/>
  <c r="L132" i="3"/>
  <c r="Z275" i="5" l="1"/>
  <c r="AA275" i="5"/>
  <c r="Z280" i="5"/>
  <c r="AA280" i="5"/>
  <c r="Z312" i="5"/>
  <c r="AA312" i="5"/>
  <c r="Z248" i="5"/>
  <c r="AA248" i="5"/>
  <c r="Z274" i="5"/>
  <c r="AA274" i="5"/>
  <c r="BG132" i="3"/>
  <c r="BS132" i="3" s="1"/>
  <c r="BG86" i="3"/>
  <c r="BG46" i="3"/>
  <c r="BG7" i="3"/>
  <c r="BG19" i="3"/>
  <c r="BG90" i="3"/>
  <c r="BK90" i="3" s="1"/>
  <c r="BH5" i="3"/>
  <c r="BO5" i="3" s="1"/>
  <c r="BH11" i="3"/>
  <c r="BT11" i="3" s="1"/>
  <c r="BH4" i="3"/>
  <c r="BT4" i="3" s="1"/>
  <c r="BH7" i="3"/>
  <c r="BT7" i="3" s="1"/>
  <c r="BH3" i="3"/>
  <c r="BT3" i="3" s="1"/>
  <c r="BH8" i="3"/>
  <c r="BO8" i="3" s="1"/>
  <c r="Z222" i="5"/>
  <c r="AA222" i="5"/>
  <c r="Z223" i="5"/>
  <c r="AA223" i="5"/>
  <c r="AA324" i="5"/>
  <c r="Z324" i="5"/>
  <c r="Z180" i="5"/>
  <c r="AA180" i="5"/>
  <c r="Z181" i="5"/>
  <c r="AA181" i="5"/>
  <c r="BG71" i="3"/>
  <c r="BS71" i="3" s="1"/>
  <c r="BM97" i="3"/>
  <c r="BU54" i="3"/>
  <c r="BO113" i="3"/>
  <c r="BU97" i="3"/>
  <c r="BK52" i="3"/>
  <c r="BC52" i="3"/>
  <c r="BO25" i="3"/>
  <c r="BS16" i="3"/>
  <c r="BK16" i="3"/>
  <c r="BU42" i="3"/>
  <c r="BK148" i="3"/>
  <c r="BS148" i="3"/>
  <c r="BS145" i="3"/>
  <c r="BK145" i="3"/>
  <c r="BH74" i="3"/>
  <c r="BH46" i="3"/>
  <c r="BT46" i="3" s="1"/>
  <c r="AU46" i="3"/>
  <c r="BS52" i="3"/>
  <c r="BI52" i="3"/>
  <c r="BO92" i="3"/>
  <c r="BK8" i="3"/>
  <c r="BS8" i="3"/>
  <c r="BS28" i="3"/>
  <c r="BK28" i="3"/>
  <c r="BK147" i="3"/>
  <c r="BS147" i="3"/>
  <c r="BK146" i="3"/>
  <c r="BS146" i="3"/>
  <c r="BS124" i="3"/>
  <c r="BK124" i="3"/>
  <c r="BO145" i="3"/>
  <c r="BO147" i="3"/>
  <c r="BO78" i="3"/>
  <c r="BO146" i="3"/>
  <c r="BO144" i="3"/>
  <c r="BS9" i="3"/>
  <c r="BK9" i="3"/>
  <c r="BH112" i="3"/>
  <c r="BT112" i="3" s="1"/>
  <c r="AU112" i="3"/>
  <c r="BH111" i="3"/>
  <c r="BT111" i="3" s="1"/>
  <c r="BK92" i="3"/>
  <c r="BS92" i="3"/>
  <c r="BO86" i="3"/>
  <c r="BK15" i="3"/>
  <c r="BS15" i="3"/>
  <c r="BK152" i="3"/>
  <c r="BS152" i="3"/>
  <c r="BH151" i="3"/>
  <c r="BT151" i="3" s="1"/>
  <c r="BH154" i="3"/>
  <c r="BO148" i="3"/>
  <c r="BH152" i="3"/>
  <c r="BO14" i="3"/>
  <c r="BO39" i="3"/>
  <c r="BH6" i="3"/>
  <c r="BT6" i="3" s="1"/>
  <c r="BH137" i="3"/>
  <c r="BT137" i="3" s="1"/>
  <c r="AU137" i="3"/>
  <c r="BS91" i="3"/>
  <c r="BK91" i="3"/>
  <c r="BK151" i="3"/>
  <c r="BS151" i="3"/>
  <c r="BG25" i="3"/>
  <c r="AU25" i="3"/>
  <c r="BB112" i="3"/>
  <c r="BB46" i="3"/>
  <c r="BK149" i="3"/>
  <c r="BS149" i="3"/>
  <c r="BK46" i="3"/>
  <c r="BK143" i="3"/>
  <c r="BS143" i="3"/>
  <c r="BK63" i="3"/>
  <c r="BS63" i="3"/>
  <c r="BK51" i="3"/>
  <c r="BS51" i="3"/>
  <c r="BS137" i="3"/>
  <c r="BK137" i="3"/>
  <c r="BH75" i="3"/>
  <c r="BT75" i="3" s="1"/>
  <c r="BH43" i="3"/>
  <c r="BT43" i="3" s="1"/>
  <c r="AU43" i="3"/>
  <c r="BK70" i="3"/>
  <c r="BS70" i="3"/>
  <c r="BK31" i="3"/>
  <c r="BS31" i="3"/>
  <c r="BO91" i="3"/>
  <c r="AX30" i="3"/>
  <c r="BO149" i="3"/>
  <c r="BO9" i="3"/>
  <c r="BK43" i="3"/>
  <c r="BS43" i="3"/>
  <c r="BO143" i="3"/>
  <c r="BK111" i="3"/>
  <c r="BS111" i="3"/>
  <c r="BK110" i="3"/>
  <c r="BS110" i="3"/>
  <c r="BS3" i="3"/>
  <c r="BK3" i="3"/>
  <c r="BS141" i="3"/>
  <c r="BK141" i="3"/>
  <c r="BO30" i="3"/>
  <c r="BK136" i="3"/>
  <c r="BS136" i="3"/>
  <c r="BH135" i="3"/>
  <c r="BT135" i="3" s="1"/>
  <c r="BS26" i="3"/>
  <c r="BK26" i="3"/>
  <c r="BS5" i="3"/>
  <c r="BK5" i="3"/>
  <c r="BO16" i="3"/>
  <c r="BS153" i="3"/>
  <c r="BK153" i="3"/>
  <c r="BK14" i="3"/>
  <c r="BS14" i="3"/>
  <c r="BS74" i="3"/>
  <c r="BK74" i="3"/>
  <c r="BH52" i="3"/>
  <c r="BT52" i="3" s="1"/>
  <c r="AU52" i="3"/>
  <c r="BK6" i="3"/>
  <c r="BS6" i="3"/>
  <c r="BH110" i="3"/>
  <c r="BT110" i="3" s="1"/>
  <c r="BO141" i="3"/>
  <c r="BO136" i="3"/>
  <c r="BH19" i="3"/>
  <c r="BT19" i="3" s="1"/>
  <c r="BS13" i="3"/>
  <c r="BK13" i="3"/>
  <c r="BH153" i="3"/>
  <c r="BT153" i="3" s="1"/>
  <c r="BK112" i="3"/>
  <c r="BS112" i="3"/>
  <c r="BB52" i="3"/>
  <c r="BO142" i="3"/>
  <c r="BH157" i="3"/>
  <c r="BH28" i="3"/>
  <c r="BK155" i="3"/>
  <c r="BS155" i="3"/>
  <c r="BB26" i="3"/>
  <c r="BK142" i="3"/>
  <c r="BS142" i="3"/>
  <c r="BH63" i="3"/>
  <c r="BS157" i="3"/>
  <c r="BK157" i="3"/>
  <c r="BS139" i="3"/>
  <c r="BK139" i="3"/>
  <c r="BH155" i="3"/>
  <c r="BT155" i="3" s="1"/>
  <c r="BS135" i="3"/>
  <c r="BK135" i="3"/>
  <c r="BH132" i="3"/>
  <c r="BT132" i="3" s="1"/>
  <c r="BS78" i="3"/>
  <c r="BK78" i="3"/>
  <c r="BS75" i="3"/>
  <c r="BK75" i="3"/>
  <c r="BO15" i="3"/>
  <c r="BH124" i="3"/>
  <c r="BK79" i="3"/>
  <c r="BS79" i="3"/>
  <c r="BU96" i="3"/>
  <c r="BS154" i="3"/>
  <c r="BK154" i="3"/>
  <c r="BH79" i="3"/>
  <c r="BT79" i="3" s="1"/>
  <c r="AU79" i="3"/>
  <c r="BK113" i="3"/>
  <c r="BS113" i="3"/>
  <c r="BS144" i="3"/>
  <c r="BK144" i="3"/>
  <c r="BO71" i="3"/>
  <c r="BS39" i="3"/>
  <c r="BK39" i="3"/>
  <c r="BH159" i="3"/>
  <c r="BO139" i="3"/>
  <c r="BS19" i="3"/>
  <c r="BH26" i="3"/>
  <c r="BT26" i="3" s="1"/>
  <c r="AU26" i="3"/>
  <c r="BH13" i="3"/>
  <c r="BT13" i="3" s="1"/>
  <c r="BS159" i="3"/>
  <c r="BK159" i="3"/>
  <c r="BH51" i="3"/>
  <c r="BT51" i="3" s="1"/>
  <c r="AU51" i="3"/>
  <c r="BK30" i="3"/>
  <c r="BS30" i="3"/>
  <c r="BS156" i="3"/>
  <c r="BK156" i="3"/>
  <c r="BS120" i="3"/>
  <c r="BK120" i="3"/>
  <c r="BH115" i="3"/>
  <c r="BO70" i="3"/>
  <c r="BH31" i="3"/>
  <c r="BT31" i="3" s="1"/>
  <c r="BH156" i="3"/>
  <c r="BH90" i="3"/>
  <c r="BT90" i="3" s="1"/>
  <c r="BK4" i="3"/>
  <c r="BS4" i="3"/>
  <c r="BH120" i="3"/>
  <c r="BT120" i="3" s="1"/>
  <c r="BK115" i="3"/>
  <c r="BS115" i="3"/>
  <c r="BS11" i="3"/>
  <c r="BK11" i="3"/>
  <c r="BO2" i="3"/>
  <c r="BK2" i="3"/>
  <c r="BS2" i="3"/>
  <c r="AQ9" i="3"/>
  <c r="AQ3" i="3"/>
  <c r="AQ7" i="3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BS90" i="3" l="1"/>
  <c r="BO4" i="3"/>
  <c r="BO3" i="3"/>
  <c r="BK132" i="3"/>
  <c r="BK86" i="3"/>
  <c r="BS86" i="3"/>
  <c r="BO11" i="3"/>
  <c r="BS7" i="3"/>
  <c r="BS46" i="3"/>
  <c r="BK19" i="3"/>
  <c r="BT5" i="3"/>
  <c r="BO7" i="3"/>
  <c r="BK7" i="3"/>
  <c r="BT8" i="3"/>
  <c r="BK71" i="3"/>
  <c r="BT74" i="3"/>
  <c r="BO74" i="3"/>
  <c r="BO75" i="3"/>
  <c r="BI79" i="3"/>
  <c r="BO79" i="3"/>
  <c r="BO111" i="3"/>
  <c r="BO157" i="3"/>
  <c r="BO115" i="3"/>
  <c r="BO63" i="3"/>
  <c r="BO137" i="3"/>
  <c r="BI137" i="3"/>
  <c r="BO154" i="3"/>
  <c r="BO28" i="3"/>
  <c r="BO120" i="3"/>
  <c r="BO124" i="3"/>
  <c r="BO155" i="3"/>
  <c r="BO6" i="3"/>
  <c r="BO151" i="3"/>
  <c r="BO51" i="3"/>
  <c r="BI51" i="3"/>
  <c r="BO156" i="3"/>
  <c r="BO26" i="3"/>
  <c r="BI26" i="3"/>
  <c r="BO159" i="3"/>
  <c r="BT159" i="3"/>
  <c r="BT124" i="3"/>
  <c r="BO152" i="3"/>
  <c r="BO112" i="3"/>
  <c r="BI112" i="3"/>
  <c r="BO31" i="3"/>
  <c r="BT156" i="3"/>
  <c r="BO13" i="3"/>
  <c r="BO110" i="3"/>
  <c r="BT157" i="3"/>
  <c r="BT152" i="3"/>
  <c r="BI46" i="3"/>
  <c r="BO46" i="3"/>
  <c r="BT28" i="3"/>
  <c r="BT63" i="3"/>
  <c r="BT115" i="3"/>
  <c r="BO43" i="3"/>
  <c r="BI43" i="3"/>
  <c r="BO90" i="3"/>
  <c r="BO132" i="3"/>
  <c r="BO19" i="3"/>
  <c r="BT154" i="3"/>
  <c r="BU52" i="3"/>
  <c r="BM52" i="3"/>
  <c r="BO153" i="3"/>
  <c r="BO52" i="3"/>
  <c r="BO135" i="3"/>
  <c r="BS25" i="3"/>
  <c r="BK25" i="3"/>
  <c r="BI25" i="3"/>
  <c r="BT2" i="3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BX171" i="1" l="1"/>
  <c r="BX168" i="1"/>
  <c r="BX48" i="1"/>
  <c r="BX62" i="1"/>
  <c r="BX72" i="1"/>
  <c r="BX80" i="1"/>
  <c r="BX91" i="1"/>
  <c r="BX94" i="1"/>
  <c r="BX105" i="1"/>
  <c r="BX117" i="1"/>
  <c r="BX132" i="1"/>
  <c r="BX161" i="1"/>
  <c r="BX162" i="1"/>
  <c r="BX182" i="1"/>
  <c r="BX202" i="1"/>
  <c r="BX234" i="1"/>
  <c r="BX240" i="1"/>
  <c r="BX246" i="1"/>
  <c r="BX252" i="1"/>
  <c r="BX258" i="1"/>
  <c r="BX264" i="1"/>
  <c r="BX271" i="1"/>
  <c r="BX277" i="1"/>
  <c r="BX304" i="1"/>
  <c r="BX33" i="1"/>
  <c r="BX42" i="1"/>
  <c r="BX56" i="1"/>
  <c r="BX71" i="1"/>
  <c r="BX74" i="1"/>
  <c r="BX89" i="1"/>
  <c r="BX90" i="1"/>
  <c r="BX101" i="1"/>
  <c r="BX109" i="1"/>
  <c r="BX119" i="1"/>
  <c r="BX133" i="1"/>
  <c r="BX173" i="1"/>
  <c r="BX207" i="1"/>
  <c r="BX226" i="1"/>
  <c r="BX284" i="1"/>
  <c r="BX290" i="1"/>
  <c r="BX295" i="1"/>
  <c r="BX312" i="1"/>
  <c r="BX318" i="1"/>
  <c r="BX324" i="1"/>
  <c r="BX326" i="1"/>
  <c r="BX331" i="1"/>
  <c r="BX336" i="1"/>
  <c r="BX342" i="1"/>
  <c r="BX18" i="1"/>
  <c r="BX23" i="1"/>
  <c r="BX34" i="1"/>
  <c r="BX43" i="1"/>
  <c r="BX49" i="1"/>
  <c r="BX81" i="1"/>
  <c r="BX95" i="1"/>
  <c r="BX120" i="1"/>
  <c r="BX134" i="1"/>
  <c r="BX136" i="1"/>
  <c r="BX137" i="1"/>
  <c r="BX163" i="1"/>
  <c r="BX165" i="1"/>
  <c r="BX174" i="1"/>
  <c r="BX199" i="1"/>
  <c r="BX208" i="1"/>
  <c r="BX213" i="1"/>
  <c r="BX217" i="1"/>
  <c r="BX218" i="1"/>
  <c r="BX233" i="1"/>
  <c r="BX239" i="1"/>
  <c r="BX245" i="1"/>
  <c r="BX251" i="1"/>
  <c r="BX257" i="1"/>
  <c r="BX263" i="1"/>
  <c r="BX270" i="1"/>
  <c r="BX276" i="1"/>
  <c r="BX303" i="1"/>
  <c r="BX334" i="1"/>
  <c r="BX11" i="1"/>
  <c r="BX44" i="1"/>
  <c r="BX50" i="1"/>
  <c r="BX51" i="1"/>
  <c r="BX52" i="1"/>
  <c r="BX57" i="1"/>
  <c r="BX70" i="1"/>
  <c r="BX75" i="1"/>
  <c r="BX96" i="1"/>
  <c r="BX97" i="1"/>
  <c r="BX110" i="1"/>
  <c r="BX113" i="1"/>
  <c r="BX135" i="1"/>
  <c r="BX164" i="1"/>
  <c r="BX166" i="1"/>
  <c r="BX176" i="1"/>
  <c r="BX178" i="1"/>
  <c r="BX227" i="1"/>
  <c r="BX283" i="1"/>
  <c r="BX289" i="1"/>
  <c r="BX294" i="1"/>
  <c r="BX309" i="1"/>
  <c r="BX311" i="1"/>
  <c r="BX317" i="1"/>
  <c r="BX323" i="1"/>
  <c r="BX325" i="1"/>
  <c r="BX330" i="1"/>
  <c r="BX335" i="1"/>
  <c r="BX341" i="1"/>
  <c r="BX9" i="1"/>
  <c r="BX10" i="1"/>
  <c r="BX19" i="1"/>
  <c r="BX24" i="1"/>
  <c r="BX35" i="1"/>
  <c r="BX58" i="1"/>
  <c r="BX82" i="1"/>
  <c r="BX102" i="1"/>
  <c r="BX111" i="1"/>
  <c r="BX112" i="1"/>
  <c r="BX175" i="1"/>
  <c r="BX209" i="1"/>
  <c r="BX219" i="1"/>
  <c r="BX228" i="1"/>
  <c r="BX232" i="1"/>
  <c r="BX238" i="1"/>
  <c r="BX244" i="1"/>
  <c r="BX250" i="1"/>
  <c r="BX256" i="1"/>
  <c r="BX262" i="1"/>
  <c r="BX269" i="1"/>
  <c r="BX275" i="1"/>
  <c r="BX300" i="1"/>
  <c r="BX302" i="1"/>
  <c r="BX308" i="1"/>
  <c r="BX340" i="1"/>
  <c r="BX3" i="1"/>
  <c r="BX7" i="1"/>
  <c r="BX8" i="1"/>
  <c r="BX12" i="1"/>
  <c r="BX25" i="1"/>
  <c r="BX26" i="1"/>
  <c r="BX36" i="1"/>
  <c r="BX45" i="1"/>
  <c r="BX53" i="1"/>
  <c r="BX59" i="1"/>
  <c r="BX69" i="1"/>
  <c r="BX76" i="1"/>
  <c r="BX106" i="1"/>
  <c r="BX121" i="1"/>
  <c r="BX122" i="1"/>
  <c r="BX138" i="1"/>
  <c r="BX139" i="1"/>
  <c r="BX167" i="1"/>
  <c r="BX177" i="1"/>
  <c r="BX179" i="1"/>
  <c r="BX203" i="1"/>
  <c r="BX214" i="1"/>
  <c r="BX278" i="1"/>
  <c r="BX282" i="1"/>
  <c r="BX288" i="1"/>
  <c r="BX293" i="1"/>
  <c r="BX299" i="1"/>
  <c r="BX310" i="1"/>
  <c r="BX316" i="1"/>
  <c r="BX322" i="1"/>
  <c r="BX329" i="1"/>
  <c r="BX6" i="1"/>
  <c r="BX20" i="1"/>
  <c r="BX37" i="1"/>
  <c r="BX46" i="1"/>
  <c r="BX68" i="1"/>
  <c r="BX83" i="1"/>
  <c r="BX103" i="1"/>
  <c r="BX114" i="1"/>
  <c r="BX140" i="1"/>
  <c r="BX141" i="1"/>
  <c r="BX142" i="1"/>
  <c r="BX143" i="1"/>
  <c r="BX144" i="1"/>
  <c r="BX145" i="1"/>
  <c r="BX146" i="1"/>
  <c r="BX147" i="1"/>
  <c r="BX148" i="1"/>
  <c r="BX149" i="1"/>
  <c r="BX169" i="1"/>
  <c r="BX204" i="1"/>
  <c r="BX220" i="1"/>
  <c r="BX221" i="1"/>
  <c r="BX222" i="1"/>
  <c r="BX231" i="1"/>
  <c r="BX237" i="1"/>
  <c r="BX243" i="1"/>
  <c r="BX249" i="1"/>
  <c r="BX255" i="1"/>
  <c r="BX261" i="1"/>
  <c r="BX266" i="1"/>
  <c r="BX268" i="1"/>
  <c r="BX274" i="1"/>
  <c r="BX301" i="1"/>
  <c r="BX307" i="1"/>
  <c r="BX321" i="1"/>
  <c r="BX333" i="1"/>
  <c r="BX339" i="1"/>
  <c r="BX305" i="1"/>
  <c r="BX5" i="1"/>
  <c r="BX13" i="1"/>
  <c r="BX27" i="1"/>
  <c r="BX54" i="1"/>
  <c r="BX60" i="1"/>
  <c r="BX66" i="1"/>
  <c r="BX67" i="1"/>
  <c r="BX98" i="1"/>
  <c r="BX115" i="1"/>
  <c r="BX123" i="1"/>
  <c r="BX124" i="1"/>
  <c r="BX125" i="1"/>
  <c r="BX150" i="1"/>
  <c r="BX151" i="1"/>
  <c r="BX152" i="1"/>
  <c r="BX153" i="1"/>
  <c r="BX154" i="1"/>
  <c r="BX155" i="1"/>
  <c r="BX156" i="1"/>
  <c r="BX157" i="1"/>
  <c r="BX200" i="1"/>
  <c r="BX210" i="1"/>
  <c r="BX229" i="1"/>
  <c r="BX281" i="1"/>
  <c r="BX287" i="1"/>
  <c r="BX292" i="1"/>
  <c r="BX298" i="1"/>
  <c r="BX315" i="1"/>
  <c r="BX345" i="1"/>
  <c r="BX338" i="1"/>
  <c r="BX4" i="1"/>
  <c r="BX14" i="1"/>
  <c r="BX15" i="1"/>
  <c r="BX16" i="1"/>
  <c r="BX38" i="1"/>
  <c r="BX65" i="1"/>
  <c r="BX84" i="1"/>
  <c r="BX99" i="1"/>
  <c r="BX104" i="1"/>
  <c r="BX126" i="1"/>
  <c r="BX158" i="1"/>
  <c r="BX159" i="1"/>
  <c r="BX170" i="1"/>
  <c r="BX180" i="1"/>
  <c r="BX215" i="1"/>
  <c r="BX230" i="1"/>
  <c r="BX236" i="1"/>
  <c r="BX242" i="1"/>
  <c r="BX248" i="1"/>
  <c r="BX254" i="1"/>
  <c r="BX260" i="1"/>
  <c r="BX267" i="1"/>
  <c r="BX273" i="1"/>
  <c r="BX306" i="1"/>
  <c r="BX344" i="1"/>
  <c r="BX265" i="1"/>
  <c r="BX272" i="1"/>
  <c r="BX21" i="1"/>
  <c r="BX28" i="1"/>
  <c r="BX29" i="1"/>
  <c r="BX39" i="1"/>
  <c r="BX40" i="1"/>
  <c r="BX47" i="1"/>
  <c r="BX61" i="1"/>
  <c r="BX64" i="1"/>
  <c r="BX77" i="1"/>
  <c r="BX85" i="1"/>
  <c r="BX86" i="1"/>
  <c r="BX92" i="1"/>
  <c r="BX100" i="1"/>
  <c r="BX107" i="1"/>
  <c r="BX127" i="1"/>
  <c r="BX130" i="1"/>
  <c r="BX201" i="1"/>
  <c r="BX211" i="1"/>
  <c r="BX223" i="1"/>
  <c r="BX224" i="1"/>
  <c r="BX280" i="1"/>
  <c r="BX286" i="1"/>
  <c r="BX291" i="1"/>
  <c r="BX297" i="1"/>
  <c r="BX314" i="1"/>
  <c r="BX320" i="1"/>
  <c r="BX328" i="1"/>
  <c r="BX332" i="1"/>
  <c r="BX30" i="1"/>
  <c r="BX55" i="1"/>
  <c r="BX63" i="1"/>
  <c r="BX93" i="1"/>
  <c r="BX116" i="1"/>
  <c r="BX129" i="1"/>
  <c r="BX160" i="1"/>
  <c r="BX172" i="1"/>
  <c r="BX181" i="1"/>
  <c r="BX205" i="1"/>
  <c r="BX235" i="1"/>
  <c r="BX241" i="1"/>
  <c r="BX247" i="1"/>
  <c r="BX253" i="1"/>
  <c r="BX259" i="1"/>
  <c r="BX17" i="1"/>
  <c r="BX22" i="1"/>
  <c r="BX31" i="1"/>
  <c r="BX32" i="1"/>
  <c r="BX41" i="1"/>
  <c r="BX73" i="1"/>
  <c r="BX78" i="1"/>
  <c r="BX79" i="1"/>
  <c r="BX87" i="1"/>
  <c r="BX88" i="1"/>
  <c r="BX108" i="1"/>
  <c r="BX118" i="1"/>
  <c r="BX128" i="1"/>
  <c r="BX131" i="1"/>
  <c r="BX206" i="1"/>
  <c r="BX212" i="1"/>
  <c r="BX216" i="1"/>
  <c r="BX225" i="1"/>
  <c r="BX279" i="1"/>
  <c r="BX285" i="1"/>
  <c r="BX296" i="1"/>
  <c r="BX313" i="1"/>
  <c r="BX319" i="1"/>
  <c r="BX327" i="1"/>
  <c r="BX337" i="1"/>
  <c r="BX343" i="1"/>
  <c r="BX2" i="1"/>
  <c r="BU51" i="3"/>
  <c r="BU79" i="3"/>
  <c r="BU43" i="3"/>
  <c r="BU46" i="3"/>
  <c r="BU112" i="3"/>
  <c r="BU137" i="3"/>
  <c r="BU25" i="3"/>
  <c r="BM25" i="3"/>
  <c r="BU26" i="3"/>
  <c r="K1" i="5"/>
  <c r="H2" i="9"/>
  <c r="L92" i="3"/>
  <c r="L86" i="3"/>
  <c r="L52" i="3"/>
  <c r="L51" i="3"/>
  <c r="L35" i="3"/>
  <c r="L36" i="3"/>
  <c r="L29" i="3"/>
  <c r="L122" i="3"/>
  <c r="L34" i="3"/>
  <c r="L32" i="3"/>
  <c r="L30" i="3"/>
  <c r="L73" i="3"/>
  <c r="L72" i="3"/>
  <c r="L67" i="3"/>
  <c r="L129" i="3"/>
  <c r="L71" i="3"/>
  <c r="L70" i="3"/>
  <c r="L69" i="3"/>
  <c r="L68" i="3"/>
  <c r="L10" i="3"/>
  <c r="L11" i="3"/>
  <c r="L8" i="3"/>
  <c r="L9" i="3"/>
  <c r="L5" i="3"/>
  <c r="G18" i="3"/>
  <c r="F136" i="3"/>
  <c r="G136" i="3"/>
  <c r="G135" i="3"/>
  <c r="G134" i="3"/>
  <c r="G133" i="3"/>
  <c r="G131" i="3"/>
  <c r="G129" i="3"/>
  <c r="G128" i="3"/>
  <c r="F126" i="3"/>
  <c r="J127" i="3"/>
  <c r="F127" i="3"/>
  <c r="J126" i="3"/>
  <c r="J129" i="3"/>
  <c r="F129" i="3"/>
  <c r="J124" i="3"/>
  <c r="F124" i="3"/>
  <c r="F122" i="3"/>
  <c r="J122" i="3"/>
  <c r="J118" i="3"/>
  <c r="F118" i="3"/>
  <c r="F113" i="3"/>
  <c r="J113" i="3"/>
  <c r="F91" i="3"/>
  <c r="F92" i="3"/>
  <c r="F90" i="3"/>
  <c r="J90" i="3"/>
  <c r="J91" i="3"/>
  <c r="J92" i="3"/>
  <c r="J103" i="3"/>
  <c r="J104" i="3"/>
  <c r="J105" i="3"/>
  <c r="J108" i="3"/>
  <c r="F103" i="3"/>
  <c r="F104" i="3"/>
  <c r="F105" i="3"/>
  <c r="F108" i="3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F7" i="3"/>
  <c r="F8" i="3"/>
  <c r="F9" i="3"/>
  <c r="F10" i="3"/>
  <c r="F11" i="3"/>
  <c r="F5" i="3"/>
  <c r="J5" i="3"/>
  <c r="J6" i="3"/>
  <c r="J7" i="3"/>
  <c r="J8" i="3"/>
  <c r="J9" i="3"/>
  <c r="J10" i="3"/>
  <c r="J11" i="3"/>
  <c r="F32" i="3"/>
  <c r="F33" i="3"/>
  <c r="F34" i="3"/>
  <c r="J32" i="3"/>
  <c r="J33" i="3"/>
  <c r="J34" i="3"/>
  <c r="J67" i="3"/>
  <c r="J68" i="3"/>
  <c r="J69" i="3"/>
  <c r="J70" i="3"/>
  <c r="J71" i="3"/>
  <c r="J72" i="3"/>
  <c r="J73" i="3"/>
  <c r="F67" i="3"/>
  <c r="F68" i="3"/>
  <c r="F69" i="3"/>
  <c r="F70" i="3"/>
  <c r="F71" i="3"/>
  <c r="F72" i="3"/>
  <c r="F73" i="3"/>
  <c r="G88" i="3"/>
  <c r="G87" i="3"/>
  <c r="G86" i="3"/>
  <c r="G137" i="3"/>
  <c r="G85" i="3"/>
  <c r="G84" i="3"/>
  <c r="G83" i="3"/>
  <c r="G82" i="3"/>
  <c r="F79" i="3"/>
  <c r="G78" i="3"/>
  <c r="G76" i="3"/>
  <c r="G73" i="3"/>
  <c r="G72" i="3"/>
  <c r="G71" i="3"/>
  <c r="G70" i="3"/>
  <c r="G69" i="3"/>
  <c r="G68" i="3"/>
  <c r="G67" i="3"/>
  <c r="H14" i="9"/>
  <c r="F27" i="3"/>
  <c r="G56" i="3"/>
  <c r="G53" i="3"/>
  <c r="G54" i="3"/>
  <c r="G51" i="3"/>
  <c r="G52" i="3"/>
  <c r="G50" i="3"/>
  <c r="G49" i="3"/>
  <c r="G46" i="3"/>
  <c r="G45" i="3"/>
  <c r="G43" i="3"/>
  <c r="G42" i="3"/>
  <c r="H130" i="3"/>
  <c r="G130" i="3"/>
  <c r="G40" i="3"/>
  <c r="H40" i="3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G26" i="3"/>
  <c r="G24" i="3"/>
  <c r="G22" i="3"/>
  <c r="G21" i="3"/>
  <c r="G20" i="3"/>
  <c r="G19" i="3"/>
  <c r="G17" i="3"/>
  <c r="G14" i="3"/>
  <c r="G13" i="3"/>
  <c r="F125" i="3"/>
  <c r="G125" i="3"/>
  <c r="H125" i="3"/>
  <c r="G12" i="3"/>
  <c r="F12" i="3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L327" i="3" l="1"/>
  <c r="I281" i="1" s="1"/>
  <c r="L326" i="3"/>
  <c r="I253" i="1" s="1"/>
  <c r="L324" i="3"/>
  <c r="I323" i="1" s="1"/>
  <c r="L323" i="3"/>
  <c r="I303" i="1" s="1"/>
  <c r="L322" i="3"/>
  <c r="I295" i="1" s="1"/>
  <c r="L325" i="3"/>
  <c r="I273" i="1" s="1"/>
  <c r="M225" i="1"/>
  <c r="L225" i="1"/>
  <c r="M216" i="1"/>
  <c r="L216" i="1"/>
  <c r="M212" i="1"/>
  <c r="L212" i="1"/>
  <c r="M181" i="1"/>
  <c r="L181" i="1"/>
  <c r="M224" i="1"/>
  <c r="L224" i="1"/>
  <c r="M223" i="1"/>
  <c r="L223" i="1"/>
  <c r="M211" i="1"/>
  <c r="L211" i="1"/>
  <c r="M215" i="1"/>
  <c r="L215" i="1"/>
  <c r="M180" i="1"/>
  <c r="L180" i="1"/>
  <c r="M229" i="1"/>
  <c r="L229" i="1"/>
  <c r="M210" i="1"/>
  <c r="L210" i="1"/>
  <c r="M266" i="1"/>
  <c r="L266" i="1"/>
  <c r="M222" i="1"/>
  <c r="L222" i="1"/>
  <c r="M221" i="1"/>
  <c r="L221" i="1"/>
  <c r="M220" i="1"/>
  <c r="L220" i="1"/>
  <c r="M214" i="1"/>
  <c r="L214" i="1"/>
  <c r="M179" i="1"/>
  <c r="L179" i="1"/>
  <c r="M177" i="1"/>
  <c r="L177" i="1"/>
  <c r="M300" i="1"/>
  <c r="L300" i="1"/>
  <c r="M228" i="1"/>
  <c r="L228" i="1"/>
  <c r="M219" i="1"/>
  <c r="L219" i="1"/>
  <c r="M175" i="1"/>
  <c r="L175" i="1"/>
  <c r="M309" i="1"/>
  <c r="L309" i="1"/>
  <c r="M227" i="1"/>
  <c r="L227" i="1"/>
  <c r="M178" i="1"/>
  <c r="L178" i="1"/>
  <c r="M176" i="1"/>
  <c r="L176" i="1"/>
  <c r="M218" i="1"/>
  <c r="L218" i="1"/>
  <c r="M217" i="1"/>
  <c r="L217" i="1"/>
  <c r="M213" i="1"/>
  <c r="L213" i="1"/>
  <c r="M174" i="1"/>
  <c r="L174" i="1"/>
  <c r="M324" i="1"/>
  <c r="L324" i="1"/>
  <c r="M182" i="1"/>
  <c r="L182" i="1"/>
  <c r="M226" i="1"/>
  <c r="L226" i="1"/>
  <c r="M343" i="1"/>
  <c r="L343" i="1"/>
  <c r="M337" i="1"/>
  <c r="L337" i="1"/>
  <c r="M327" i="1"/>
  <c r="L327" i="1"/>
  <c r="M319" i="1"/>
  <c r="L319" i="1"/>
  <c r="M313" i="1"/>
  <c r="L313" i="1"/>
  <c r="L296" i="1"/>
  <c r="M296" i="1"/>
  <c r="M285" i="1"/>
  <c r="L285" i="1"/>
  <c r="M279" i="1"/>
  <c r="L279" i="1"/>
  <c r="M259" i="1"/>
  <c r="L259" i="1"/>
  <c r="M253" i="1"/>
  <c r="L253" i="1"/>
  <c r="M247" i="1"/>
  <c r="L247" i="1"/>
  <c r="M241" i="1"/>
  <c r="L241" i="1"/>
  <c r="M235" i="1"/>
  <c r="L235" i="1"/>
  <c r="M332" i="1"/>
  <c r="L332" i="1"/>
  <c r="M328" i="1"/>
  <c r="L328" i="1"/>
  <c r="M320" i="1"/>
  <c r="L320" i="1"/>
  <c r="L314" i="1"/>
  <c r="M314" i="1"/>
  <c r="M297" i="1"/>
  <c r="L297" i="1"/>
  <c r="M291" i="1"/>
  <c r="L291" i="1"/>
  <c r="M286" i="1"/>
  <c r="L286" i="1"/>
  <c r="M280" i="1"/>
  <c r="L280" i="1"/>
  <c r="M272" i="1"/>
  <c r="L272" i="1"/>
  <c r="M265" i="1"/>
  <c r="L265" i="1"/>
  <c r="M344" i="1"/>
  <c r="L344" i="1"/>
  <c r="M306" i="1"/>
  <c r="L306" i="1"/>
  <c r="M273" i="1"/>
  <c r="L273" i="1"/>
  <c r="M267" i="1"/>
  <c r="L267" i="1"/>
  <c r="M260" i="1"/>
  <c r="L260" i="1"/>
  <c r="M254" i="1"/>
  <c r="L254" i="1"/>
  <c r="M248" i="1"/>
  <c r="L248" i="1"/>
  <c r="M242" i="1"/>
  <c r="L242" i="1"/>
  <c r="M236" i="1"/>
  <c r="L236" i="1"/>
  <c r="L230" i="1"/>
  <c r="M230" i="1"/>
  <c r="M338" i="1"/>
  <c r="L338" i="1"/>
  <c r="M345" i="1"/>
  <c r="L345" i="1"/>
  <c r="L315" i="1"/>
  <c r="M315" i="1"/>
  <c r="M298" i="1"/>
  <c r="L298" i="1"/>
  <c r="L292" i="1"/>
  <c r="M292" i="1"/>
  <c r="M287" i="1"/>
  <c r="L287" i="1"/>
  <c r="M281" i="1"/>
  <c r="L281" i="1"/>
  <c r="L305" i="1"/>
  <c r="M305" i="1"/>
  <c r="M339" i="1"/>
  <c r="L339" i="1"/>
  <c r="M333" i="1"/>
  <c r="L333" i="1"/>
  <c r="M321" i="1"/>
  <c r="L321" i="1"/>
  <c r="M307" i="1"/>
  <c r="L307" i="1"/>
  <c r="M301" i="1"/>
  <c r="L301" i="1"/>
  <c r="M274" i="1"/>
  <c r="L274" i="1"/>
  <c r="M268" i="1"/>
  <c r="L268" i="1"/>
  <c r="M261" i="1"/>
  <c r="L261" i="1"/>
  <c r="M255" i="1"/>
  <c r="L255" i="1"/>
  <c r="M249" i="1"/>
  <c r="L249" i="1"/>
  <c r="M243" i="1"/>
  <c r="L243" i="1"/>
  <c r="M237" i="1"/>
  <c r="L237" i="1"/>
  <c r="M231" i="1"/>
  <c r="L231" i="1"/>
  <c r="M329" i="1"/>
  <c r="L329" i="1"/>
  <c r="M322" i="1"/>
  <c r="L322" i="1"/>
  <c r="M316" i="1"/>
  <c r="L316" i="1"/>
  <c r="M310" i="1"/>
  <c r="L310" i="1"/>
  <c r="L299" i="1"/>
  <c r="M299" i="1"/>
  <c r="L293" i="1"/>
  <c r="M293" i="1"/>
  <c r="M288" i="1"/>
  <c r="L288" i="1"/>
  <c r="M282" i="1"/>
  <c r="L282" i="1"/>
  <c r="M278" i="1"/>
  <c r="L278" i="1"/>
  <c r="M340" i="1"/>
  <c r="L340" i="1"/>
  <c r="M308" i="1"/>
  <c r="L308" i="1"/>
  <c r="M302" i="1"/>
  <c r="L302" i="1"/>
  <c r="M275" i="1"/>
  <c r="L275" i="1"/>
  <c r="M269" i="1"/>
  <c r="L269" i="1"/>
  <c r="M262" i="1"/>
  <c r="L262" i="1"/>
  <c r="M256" i="1"/>
  <c r="L256" i="1"/>
  <c r="M250" i="1"/>
  <c r="L250" i="1"/>
  <c r="M244" i="1"/>
  <c r="L244" i="1"/>
  <c r="M238" i="1"/>
  <c r="L238" i="1"/>
  <c r="M232" i="1"/>
  <c r="L232" i="1"/>
  <c r="M341" i="1"/>
  <c r="L341" i="1"/>
  <c r="M335" i="1"/>
  <c r="L335" i="1"/>
  <c r="M330" i="1"/>
  <c r="L330" i="1"/>
  <c r="L325" i="1"/>
  <c r="M325" i="1"/>
  <c r="M323" i="1"/>
  <c r="L323" i="1"/>
  <c r="M317" i="1"/>
  <c r="L317" i="1"/>
  <c r="L311" i="1"/>
  <c r="M311" i="1"/>
  <c r="M294" i="1"/>
  <c r="L294" i="1"/>
  <c r="L289" i="1"/>
  <c r="M289" i="1"/>
  <c r="M283" i="1"/>
  <c r="L283" i="1"/>
  <c r="M334" i="1"/>
  <c r="L334" i="1"/>
  <c r="L303" i="1"/>
  <c r="M303" i="1"/>
  <c r="M276" i="1"/>
  <c r="L276" i="1"/>
  <c r="L270" i="1"/>
  <c r="M270" i="1"/>
  <c r="M263" i="1"/>
  <c r="L263" i="1"/>
  <c r="M257" i="1"/>
  <c r="L257" i="1"/>
  <c r="M251" i="1"/>
  <c r="L251" i="1"/>
  <c r="M245" i="1"/>
  <c r="L245" i="1"/>
  <c r="M239" i="1"/>
  <c r="L239" i="1"/>
  <c r="M233" i="1"/>
  <c r="L233" i="1"/>
  <c r="M342" i="1"/>
  <c r="L342" i="1"/>
  <c r="M336" i="1"/>
  <c r="L336" i="1"/>
  <c r="M331" i="1"/>
  <c r="L331" i="1"/>
  <c r="M326" i="1"/>
  <c r="L326" i="1"/>
  <c r="L318" i="1"/>
  <c r="M318" i="1"/>
  <c r="L312" i="1"/>
  <c r="M312" i="1"/>
  <c r="M295" i="1"/>
  <c r="L295" i="1"/>
  <c r="L290" i="1"/>
  <c r="M290" i="1"/>
  <c r="M284" i="1"/>
  <c r="L284" i="1"/>
  <c r="M304" i="1"/>
  <c r="L304" i="1"/>
  <c r="L277" i="1"/>
  <c r="M277" i="1"/>
  <c r="M271" i="1"/>
  <c r="L271" i="1"/>
  <c r="M264" i="1"/>
  <c r="L264" i="1"/>
  <c r="M258" i="1"/>
  <c r="L258" i="1"/>
  <c r="M252" i="1"/>
  <c r="L252" i="1"/>
  <c r="M246" i="1"/>
  <c r="L246" i="1"/>
  <c r="M240" i="1"/>
  <c r="L240" i="1"/>
  <c r="M234" i="1"/>
  <c r="L234" i="1"/>
  <c r="L176" i="3"/>
  <c r="I176" i="1" s="1"/>
  <c r="L7" i="3"/>
  <c r="L6" i="3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R20" i="12" l="1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O29" i="12" l="1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V1" i="5" l="1"/>
  <c r="O1" i="5"/>
  <c r="R1" i="5"/>
  <c r="S1" i="5"/>
  <c r="F1" i="5" l="1"/>
  <c r="D1" i="5"/>
  <c r="B1" i="5"/>
  <c r="A1" i="5"/>
  <c r="BW340" i="1" l="1"/>
  <c r="BW345" i="1"/>
  <c r="BW238" i="1"/>
  <c r="BW290" i="1"/>
  <c r="BW333" i="1"/>
  <c r="BW278" i="1"/>
  <c r="BW279" i="1"/>
  <c r="BW250" i="1" l="1"/>
  <c r="BW277" i="1"/>
  <c r="BW246" i="1"/>
  <c r="S5" i="3" l="1"/>
  <c r="AT5" i="3" s="1"/>
  <c r="S136" i="3"/>
  <c r="AT136" i="3" s="1"/>
  <c r="S101" i="3"/>
  <c r="S70" i="3"/>
  <c r="AT70" i="3" s="1"/>
  <c r="S50" i="3"/>
  <c r="S135" i="3"/>
  <c r="AT135" i="3" s="1"/>
  <c r="S100" i="3"/>
  <c r="AT100" i="3" s="1"/>
  <c r="S34" i="3"/>
  <c r="AT34" i="3" s="1"/>
  <c r="S98" i="3"/>
  <c r="AT98" i="3" s="1"/>
  <c r="S111" i="3"/>
  <c r="AT111" i="3" s="1"/>
  <c r="S10" i="3"/>
  <c r="AT10" i="3" s="1"/>
  <c r="S46" i="3"/>
  <c r="S94" i="3"/>
  <c r="AT94" i="3" s="1"/>
  <c r="S243" i="3"/>
  <c r="AT243" i="3" s="1"/>
  <c r="S320" i="3"/>
  <c r="AT320" i="3" s="1"/>
  <c r="T215" i="3"/>
  <c r="S306" i="3"/>
  <c r="AT306" i="3" s="1"/>
  <c r="T298" i="3"/>
  <c r="T246" i="3"/>
  <c r="T209" i="3"/>
  <c r="T314" i="3"/>
  <c r="T315" i="3"/>
  <c r="T258" i="3"/>
  <c r="S296" i="3"/>
  <c r="S220" i="3"/>
  <c r="AT220" i="3" s="1"/>
  <c r="T307" i="3"/>
  <c r="T227" i="3"/>
  <c r="T277" i="3"/>
  <c r="S276" i="3"/>
  <c r="T275" i="3"/>
  <c r="S239" i="3"/>
  <c r="AT239" i="3" s="1"/>
  <c r="S242" i="3"/>
  <c r="AT242" i="3" s="1"/>
  <c r="T286" i="3"/>
  <c r="T210" i="3"/>
  <c r="T295" i="3"/>
  <c r="S324" i="3"/>
  <c r="AT324" i="3" s="1"/>
  <c r="T199" i="3"/>
  <c r="T304" i="3"/>
  <c r="T312" i="3"/>
  <c r="T211" i="3"/>
  <c r="T327" i="3"/>
  <c r="S215" i="3"/>
  <c r="AT215" i="3" s="1"/>
  <c r="T229" i="3"/>
  <c r="S298" i="3"/>
  <c r="AT298" i="3" s="1"/>
  <c r="S246" i="3"/>
  <c r="S209" i="3"/>
  <c r="T325" i="3"/>
  <c r="S227" i="3"/>
  <c r="AT227" i="3" s="1"/>
  <c r="T292" i="3"/>
  <c r="S277" i="3"/>
  <c r="S275" i="3"/>
  <c r="T233" i="3"/>
  <c r="S300" i="3"/>
  <c r="AT300" i="3" s="1"/>
  <c r="S286" i="3"/>
  <c r="AT286" i="3" s="1"/>
  <c r="S210" i="3"/>
  <c r="AT210" i="3" s="1"/>
  <c r="S295" i="3"/>
  <c r="T245" i="3"/>
  <c r="S251" i="3"/>
  <c r="AT251" i="3" s="1"/>
  <c r="T280" i="3"/>
  <c r="S249" i="3"/>
  <c r="T225" i="3"/>
  <c r="S212" i="3"/>
  <c r="AT212" i="3" s="1"/>
  <c r="S241" i="3"/>
  <c r="AT241" i="3" s="1"/>
  <c r="S282" i="3"/>
  <c r="AT282" i="3" s="1"/>
  <c r="S297" i="3"/>
  <c r="AT297" i="3" s="1"/>
  <c r="S213" i="3"/>
  <c r="AT213" i="3" s="1"/>
  <c r="S322" i="3"/>
  <c r="AT322" i="3" s="1"/>
  <c r="T328" i="3"/>
  <c r="S312" i="3"/>
  <c r="AT312" i="3" s="1"/>
  <c r="S211" i="3"/>
  <c r="AT211" i="3" s="1"/>
  <c r="T217" i="3"/>
  <c r="T296" i="3"/>
  <c r="S327" i="3"/>
  <c r="AT327" i="3" s="1"/>
  <c r="T220" i="3"/>
  <c r="S229" i="3"/>
  <c r="AT229" i="3" s="1"/>
  <c r="T323" i="3"/>
  <c r="S325" i="3"/>
  <c r="AT325" i="3" s="1"/>
  <c r="T276" i="3"/>
  <c r="T239" i="3"/>
  <c r="T242" i="3"/>
  <c r="S217" i="3"/>
  <c r="AT217" i="3" s="1"/>
  <c r="T284" i="3"/>
  <c r="T198" i="3"/>
  <c r="T324" i="3"/>
  <c r="S323" i="3"/>
  <c r="AT323" i="3" s="1"/>
  <c r="S292" i="3"/>
  <c r="T283" i="3"/>
  <c r="S233" i="3"/>
  <c r="AT233" i="3" s="1"/>
  <c r="S247" i="3"/>
  <c r="T249" i="3"/>
  <c r="T290" i="3"/>
  <c r="T212" i="3"/>
  <c r="S283" i="3"/>
  <c r="AT283" i="3" s="1"/>
  <c r="T232" i="3"/>
  <c r="T241" i="3"/>
  <c r="S207" i="3"/>
  <c r="T322" i="3"/>
  <c r="T221" i="3"/>
  <c r="T305" i="3"/>
  <c r="T262" i="3"/>
  <c r="T223" i="3"/>
  <c r="T222" i="3"/>
  <c r="S328" i="3"/>
  <c r="AT328" i="3" s="1"/>
  <c r="T266" i="3"/>
  <c r="T208" i="3"/>
  <c r="T321" i="3"/>
  <c r="S314" i="3"/>
  <c r="S315" i="3"/>
  <c r="S258" i="3"/>
  <c r="AT258" i="3" s="1"/>
  <c r="T265" i="3"/>
  <c r="T301" i="3"/>
  <c r="S284" i="3"/>
  <c r="AT284" i="3" s="1"/>
  <c r="S198" i="3"/>
  <c r="S307" i="3"/>
  <c r="AT307" i="3" s="1"/>
  <c r="T300" i="3"/>
  <c r="S321" i="3"/>
  <c r="AT321" i="3" s="1"/>
  <c r="T247" i="3"/>
  <c r="S265" i="3"/>
  <c r="AT265" i="3" s="1"/>
  <c r="BB265" i="3" s="1"/>
  <c r="T251" i="3"/>
  <c r="S301" i="3"/>
  <c r="AT301" i="3" s="1"/>
  <c r="T293" i="3"/>
  <c r="S293" i="3"/>
  <c r="T243" i="3"/>
  <c r="T320" i="3"/>
  <c r="T306" i="3"/>
  <c r="S266" i="3"/>
  <c r="S316" i="3"/>
  <c r="AT316" i="3" s="1"/>
  <c r="S208" i="3"/>
  <c r="AT208" i="3" s="1"/>
  <c r="S238" i="3"/>
  <c r="AT238" i="3" s="1"/>
  <c r="S281" i="3"/>
  <c r="AT281" i="3" s="1"/>
  <c r="S236" i="3"/>
  <c r="AT236" i="3" s="1"/>
  <c r="T207" i="3"/>
  <c r="S245" i="3"/>
  <c r="AT245" i="3" s="1"/>
  <c r="T216" i="3"/>
  <c r="S280" i="3"/>
  <c r="AT280" i="3" s="1"/>
  <c r="T282" i="3"/>
  <c r="S199" i="3"/>
  <c r="S304" i="3"/>
  <c r="AT304" i="3" s="1"/>
  <c r="T297" i="3"/>
  <c r="T213" i="3"/>
  <c r="T299" i="3"/>
  <c r="S290" i="3"/>
  <c r="S232" i="3"/>
  <c r="AT232" i="3" s="1"/>
  <c r="S216" i="3"/>
  <c r="AT216" i="3" s="1"/>
  <c r="S299" i="3"/>
  <c r="AT299" i="3" s="1"/>
  <c r="S225" i="3"/>
  <c r="AT225" i="3" s="1"/>
  <c r="S221" i="3"/>
  <c r="AT221" i="3" s="1"/>
  <c r="T234" i="3"/>
  <c r="T214" i="3"/>
  <c r="S234" i="3"/>
  <c r="AT234" i="3" s="1"/>
  <c r="T240" i="3"/>
  <c r="S214" i="3"/>
  <c r="AT214" i="3" s="1"/>
  <c r="T316" i="3"/>
  <c r="S305" i="3"/>
  <c r="AT305" i="3" s="1"/>
  <c r="T238" i="3"/>
  <c r="S262" i="3"/>
  <c r="AT262" i="3" s="1"/>
  <c r="S223" i="3"/>
  <c r="AT223" i="3" s="1"/>
  <c r="S222" i="3"/>
  <c r="AT222" i="3" s="1"/>
  <c r="T281" i="3"/>
  <c r="T236" i="3"/>
  <c r="S240" i="3"/>
  <c r="AT240" i="3" s="1"/>
  <c r="S272" i="3"/>
  <c r="AT272" i="3" s="1"/>
  <c r="S171" i="3"/>
  <c r="AT171" i="3" s="1"/>
  <c r="S274" i="3"/>
  <c r="S287" i="3"/>
  <c r="AT287" i="3" s="1"/>
  <c r="S168" i="3"/>
  <c r="AT168" i="3" s="1"/>
  <c r="S271" i="3"/>
  <c r="AT271" i="3" s="1"/>
  <c r="S273" i="3"/>
  <c r="T271" i="3"/>
  <c r="T273" i="3"/>
  <c r="T228" i="3"/>
  <c r="S228" i="3"/>
  <c r="AT228" i="3" s="1"/>
  <c r="T272" i="3"/>
  <c r="T171" i="3"/>
  <c r="T274" i="3"/>
  <c r="T287" i="3"/>
  <c r="T168" i="3"/>
  <c r="T224" i="3"/>
  <c r="S218" i="3"/>
  <c r="AT218" i="3" s="1"/>
  <c r="S279" i="3"/>
  <c r="AT279" i="3" s="1"/>
  <c r="T226" i="3"/>
  <c r="S224" i="3"/>
  <c r="AT224" i="3" s="1"/>
  <c r="S204" i="3"/>
  <c r="AT204" i="3" s="1"/>
  <c r="BB204" i="3" s="1"/>
  <c r="S231" i="3"/>
  <c r="AT231" i="3" s="1"/>
  <c r="S302" i="3"/>
  <c r="AT302" i="3" s="1"/>
  <c r="T188" i="3"/>
  <c r="T187" i="3"/>
  <c r="S186" i="3"/>
  <c r="AT186" i="3" s="1"/>
  <c r="T182" i="3"/>
  <c r="T176" i="3"/>
  <c r="T173" i="3"/>
  <c r="S169" i="3"/>
  <c r="S226" i="3"/>
  <c r="AT226" i="3" s="1"/>
  <c r="T278" i="3"/>
  <c r="S278" i="3"/>
  <c r="AT278" i="3" s="1"/>
  <c r="T310" i="3"/>
  <c r="T194" i="3"/>
  <c r="T269" i="3"/>
  <c r="T289" i="3"/>
  <c r="T326" i="3"/>
  <c r="T193" i="3"/>
  <c r="T174" i="3"/>
  <c r="T170" i="3"/>
  <c r="S195" i="3"/>
  <c r="S270" i="3"/>
  <c r="AT270" i="3" s="1"/>
  <c r="S256" i="3"/>
  <c r="S319" i="3"/>
  <c r="AT319" i="3" s="1"/>
  <c r="S193" i="3"/>
  <c r="T181" i="3"/>
  <c r="T178" i="3"/>
  <c r="T175" i="3"/>
  <c r="S174" i="3"/>
  <c r="AT174" i="3" s="1"/>
  <c r="S172" i="3"/>
  <c r="AT172" i="3" s="1"/>
  <c r="S311" i="3"/>
  <c r="AT311" i="3" s="1"/>
  <c r="S313" i="3"/>
  <c r="AT313" i="3" s="1"/>
  <c r="S259" i="3"/>
  <c r="AT259" i="3" s="1"/>
  <c r="S191" i="3"/>
  <c r="AT191" i="3" s="1"/>
  <c r="T203" i="3"/>
  <c r="T311" i="3"/>
  <c r="T313" i="3"/>
  <c r="T259" i="3"/>
  <c r="S190" i="3"/>
  <c r="AT190" i="3" s="1"/>
  <c r="T186" i="3"/>
  <c r="S177" i="3"/>
  <c r="AT177" i="3" s="1"/>
  <c r="S310" i="3"/>
  <c r="AT310" i="3" s="1"/>
  <c r="S203" i="3"/>
  <c r="AT203" i="3" s="1"/>
  <c r="BB203" i="3" s="1"/>
  <c r="T190" i="3"/>
  <c r="T177" i="3"/>
  <c r="T195" i="3"/>
  <c r="T270" i="3"/>
  <c r="T256" i="3"/>
  <c r="T319" i="3"/>
  <c r="T189" i="3"/>
  <c r="S181" i="3"/>
  <c r="AT181" i="3" s="1"/>
  <c r="T180" i="3"/>
  <c r="S178" i="3"/>
  <c r="AT178" i="3" s="1"/>
  <c r="S175" i="3"/>
  <c r="AT175" i="3" s="1"/>
  <c r="T172" i="3"/>
  <c r="S194" i="3"/>
  <c r="S269" i="3"/>
  <c r="AT269" i="3" s="1"/>
  <c r="S289" i="3"/>
  <c r="AT289" i="3" s="1"/>
  <c r="S326" i="3"/>
  <c r="AT326" i="3" s="1"/>
  <c r="S192" i="3"/>
  <c r="S185" i="3"/>
  <c r="AT185" i="3" s="1"/>
  <c r="S170" i="3"/>
  <c r="AT170" i="3" s="1"/>
  <c r="T219" i="3"/>
  <c r="S196" i="3"/>
  <c r="S205" i="3"/>
  <c r="S308" i="3"/>
  <c r="AT308" i="3" s="1"/>
  <c r="S264" i="3"/>
  <c r="AT264" i="3" s="1"/>
  <c r="S189" i="3"/>
  <c r="AT189" i="3" s="1"/>
  <c r="S180" i="3"/>
  <c r="AT180" i="3" s="1"/>
  <c r="S219" i="3"/>
  <c r="AT219" i="3" s="1"/>
  <c r="T196" i="3"/>
  <c r="T205" i="3"/>
  <c r="T308" i="3"/>
  <c r="T264" i="3"/>
  <c r="T184" i="3"/>
  <c r="T309" i="3"/>
  <c r="S202" i="3"/>
  <c r="AT202" i="3" s="1"/>
  <c r="BB202" i="3" s="1"/>
  <c r="S206" i="3"/>
  <c r="AT206" i="3" s="1"/>
  <c r="S248" i="3"/>
  <c r="S257" i="3"/>
  <c r="AT257" i="3" s="1"/>
  <c r="S184" i="3"/>
  <c r="AT184" i="3" s="1"/>
  <c r="T183" i="3"/>
  <c r="T179" i="3"/>
  <c r="S179" i="3"/>
  <c r="AT179" i="3" s="1"/>
  <c r="T204" i="3"/>
  <c r="T231" i="3"/>
  <c r="T302" i="3"/>
  <c r="T192" i="3"/>
  <c r="S188" i="3"/>
  <c r="AT188" i="3" s="1"/>
  <c r="S187" i="3"/>
  <c r="AT187" i="3" s="1"/>
  <c r="T185" i="3"/>
  <c r="S182" i="3"/>
  <c r="AT182" i="3" s="1"/>
  <c r="S176" i="3"/>
  <c r="AT176" i="3" s="1"/>
  <c r="S173" i="3"/>
  <c r="AT173" i="3" s="1"/>
  <c r="T169" i="3"/>
  <c r="S309" i="3"/>
  <c r="AT309" i="3" s="1"/>
  <c r="T202" i="3"/>
  <c r="T206" i="3"/>
  <c r="T248" i="3"/>
  <c r="T257" i="3"/>
  <c r="T191" i="3"/>
  <c r="S183" i="3"/>
  <c r="AT183" i="3" s="1"/>
  <c r="T218" i="3"/>
  <c r="T279" i="3"/>
  <c r="S7" i="3"/>
  <c r="AT7" i="3" s="1"/>
  <c r="S13" i="3"/>
  <c r="AT13" i="3" s="1"/>
  <c r="S25" i="3"/>
  <c r="AT25" i="3" s="1"/>
  <c r="S37" i="3"/>
  <c r="AT37" i="3" s="1"/>
  <c r="S43" i="3"/>
  <c r="S49" i="3"/>
  <c r="S67" i="3"/>
  <c r="AT67" i="3" s="1"/>
  <c r="S73" i="3"/>
  <c r="AT73" i="3" s="1"/>
  <c r="S79" i="3"/>
  <c r="S85" i="3"/>
  <c r="AT85" i="3" s="1"/>
  <c r="S97" i="3"/>
  <c r="S103" i="3"/>
  <c r="AT103" i="3" s="1"/>
  <c r="S115" i="3"/>
  <c r="AT115" i="3" s="1"/>
  <c r="S127" i="3"/>
  <c r="AT127" i="3" s="1"/>
  <c r="S63" i="3"/>
  <c r="AT63" i="3" s="1"/>
  <c r="S76" i="3"/>
  <c r="AT76" i="3" s="1"/>
  <c r="T82" i="3"/>
  <c r="S102" i="3"/>
  <c r="S122" i="3"/>
  <c r="AT122" i="3" s="1"/>
  <c r="T167" i="3"/>
  <c r="S38" i="3"/>
  <c r="AT38" i="3" s="1"/>
  <c r="S51" i="3"/>
  <c r="S64" i="3"/>
  <c r="AT64" i="3" s="1"/>
  <c r="T70" i="3"/>
  <c r="S77" i="3"/>
  <c r="AT77" i="3" s="1"/>
  <c r="S110" i="3"/>
  <c r="S162" i="3"/>
  <c r="AT162" i="3" s="1"/>
  <c r="S12" i="3"/>
  <c r="AT12" i="3" s="1"/>
  <c r="S32" i="3"/>
  <c r="AT32" i="3" s="1"/>
  <c r="S45" i="3"/>
  <c r="T64" i="3"/>
  <c r="S71" i="3"/>
  <c r="AT71" i="3" s="1"/>
  <c r="S84" i="3"/>
  <c r="AT84" i="3" s="1"/>
  <c r="S104" i="3"/>
  <c r="AT104" i="3" s="1"/>
  <c r="S117" i="3"/>
  <c r="AT117" i="3" s="1"/>
  <c r="T136" i="3"/>
  <c r="T162" i="3"/>
  <c r="S8" i="3"/>
  <c r="AT8" i="3" s="1"/>
  <c r="S21" i="3"/>
  <c r="AT21" i="3" s="1"/>
  <c r="S47" i="3"/>
  <c r="AT47" i="3" s="1"/>
  <c r="S80" i="3"/>
  <c r="S93" i="3"/>
  <c r="AT93" i="3" s="1"/>
  <c r="S106" i="3"/>
  <c r="AT106" i="3" s="1"/>
  <c r="S132" i="3"/>
  <c r="AT132" i="3" s="1"/>
  <c r="S165" i="3"/>
  <c r="AT165" i="3" s="1"/>
  <c r="S28" i="3"/>
  <c r="AT28" i="3" s="1"/>
  <c r="S41" i="3"/>
  <c r="AT41" i="3" s="1"/>
  <c r="S54" i="3"/>
  <c r="S87" i="3"/>
  <c r="AT87" i="3" s="1"/>
  <c r="S126" i="3"/>
  <c r="AT126" i="3" s="1"/>
  <c r="S9" i="3"/>
  <c r="AT9" i="3" s="1"/>
  <c r="S22" i="3"/>
  <c r="AT22" i="3" s="1"/>
  <c r="S48" i="3"/>
  <c r="AT48" i="3" s="1"/>
  <c r="S68" i="3"/>
  <c r="AT68" i="3" s="1"/>
  <c r="S42" i="3"/>
  <c r="S75" i="3"/>
  <c r="AT75" i="3" s="1"/>
  <c r="S88" i="3"/>
  <c r="T94" i="3"/>
  <c r="S134" i="3"/>
  <c r="AT134" i="3" s="1"/>
  <c r="S160" i="3"/>
  <c r="AT160" i="3" s="1"/>
  <c r="T166" i="3"/>
  <c r="S23" i="3"/>
  <c r="AT23" i="3" s="1"/>
  <c r="T62" i="3"/>
  <c r="V62" i="3" s="1"/>
  <c r="S69" i="3"/>
  <c r="AT69" i="3" s="1"/>
  <c r="T88" i="3"/>
  <c r="S95" i="3"/>
  <c r="AT95" i="3" s="1"/>
  <c r="S108" i="3"/>
  <c r="AT108" i="3" s="1"/>
  <c r="T160" i="3"/>
  <c r="S167" i="3"/>
  <c r="AT167" i="3" s="1"/>
  <c r="S125" i="3"/>
  <c r="AT125" i="3" s="1"/>
  <c r="S6" i="3"/>
  <c r="AT6" i="3" s="1"/>
  <c r="T161" i="3"/>
  <c r="T6" i="3"/>
  <c r="S27" i="3"/>
  <c r="S66" i="3"/>
  <c r="AT66" i="3" s="1"/>
  <c r="S116" i="3"/>
  <c r="S131" i="3"/>
  <c r="AT131" i="3" s="1"/>
  <c r="S11" i="3"/>
  <c r="AT11" i="3" s="1"/>
  <c r="T100" i="3"/>
  <c r="T131" i="3"/>
  <c r="T148" i="3"/>
  <c r="S164" i="3"/>
  <c r="AT164" i="3" s="1"/>
  <c r="T124" i="3"/>
  <c r="S52" i="3"/>
  <c r="S86" i="3"/>
  <c r="AT86" i="3" s="1"/>
  <c r="S118" i="3"/>
  <c r="AT118" i="3" s="1"/>
  <c r="T133" i="3"/>
  <c r="T151" i="3"/>
  <c r="S78" i="3"/>
  <c r="AT78" i="3" s="1"/>
  <c r="T156" i="3"/>
  <c r="S24" i="3"/>
  <c r="AT24" i="3" s="1"/>
  <c r="S44" i="3"/>
  <c r="S96" i="3"/>
  <c r="S33" i="3"/>
  <c r="AT33" i="3" s="1"/>
  <c r="S72" i="3"/>
  <c r="AT72" i="3" s="1"/>
  <c r="S166" i="3"/>
  <c r="AT166" i="3" s="1"/>
  <c r="S53" i="3"/>
  <c r="S105" i="3"/>
  <c r="AT105" i="3" s="1"/>
  <c r="S137" i="3"/>
  <c r="S39" i="3"/>
  <c r="AT39" i="3" s="1"/>
  <c r="T76" i="3"/>
  <c r="S92" i="3"/>
  <c r="AT92" i="3" s="1"/>
  <c r="S107" i="3"/>
  <c r="AT107" i="3" s="1"/>
  <c r="S124" i="3"/>
  <c r="AT124" i="3" s="1"/>
  <c r="S26" i="3"/>
  <c r="S65" i="3"/>
  <c r="AT65" i="3" s="1"/>
  <c r="S81" i="3"/>
  <c r="AT81" i="3" s="1"/>
  <c r="S112" i="3"/>
  <c r="S129" i="3"/>
  <c r="AT129" i="3" s="1"/>
  <c r="S114" i="3"/>
  <c r="AT114" i="3" s="1"/>
  <c r="S161" i="3"/>
  <c r="AT161" i="3" s="1"/>
  <c r="T154" i="3"/>
  <c r="T118" i="3"/>
  <c r="T153" i="3"/>
  <c r="T106" i="3"/>
  <c r="T165" i="3"/>
  <c r="T149" i="3"/>
  <c r="T145" i="3"/>
  <c r="T164" i="3"/>
  <c r="T143" i="3"/>
  <c r="T163" i="3"/>
  <c r="T157" i="3"/>
  <c r="T142" i="3"/>
  <c r="T155" i="3"/>
  <c r="T130" i="3"/>
  <c r="T112" i="3"/>
  <c r="T57" i="3"/>
  <c r="T51" i="3"/>
  <c r="T45" i="3"/>
  <c r="T39" i="3"/>
  <c r="T33" i="3"/>
  <c r="T27" i="3"/>
  <c r="T21" i="3"/>
  <c r="T15" i="3"/>
  <c r="T9" i="3"/>
  <c r="T159" i="3"/>
  <c r="T147" i="3"/>
  <c r="T141" i="3"/>
  <c r="T135" i="3"/>
  <c r="T129" i="3"/>
  <c r="T123" i="3"/>
  <c r="T117" i="3"/>
  <c r="T111" i="3"/>
  <c r="T105" i="3"/>
  <c r="T99" i="3"/>
  <c r="T93" i="3"/>
  <c r="T87" i="3"/>
  <c r="T81" i="3"/>
  <c r="T75" i="3"/>
  <c r="T69" i="3"/>
  <c r="T63" i="3"/>
  <c r="T56" i="3"/>
  <c r="T50" i="3"/>
  <c r="T44" i="3"/>
  <c r="T38" i="3"/>
  <c r="T32" i="3"/>
  <c r="T26" i="3"/>
  <c r="T20" i="3"/>
  <c r="T14" i="3"/>
  <c r="T158" i="3"/>
  <c r="T152" i="3"/>
  <c r="T146" i="3"/>
  <c r="T140" i="3"/>
  <c r="T134" i="3"/>
  <c r="T128" i="3"/>
  <c r="V128" i="3" s="1"/>
  <c r="T122" i="3"/>
  <c r="T116" i="3"/>
  <c r="T110" i="3"/>
  <c r="T104" i="3"/>
  <c r="T98" i="3"/>
  <c r="T92" i="3"/>
  <c r="T86" i="3"/>
  <c r="T80" i="3"/>
  <c r="T74" i="3"/>
  <c r="T68" i="3"/>
  <c r="T8" i="3"/>
  <c r="T5" i="3"/>
  <c r="T2" i="3"/>
  <c r="T61" i="3"/>
  <c r="T55" i="3"/>
  <c r="T49" i="3"/>
  <c r="T43" i="3"/>
  <c r="T37" i="3"/>
  <c r="T31" i="3"/>
  <c r="V31" i="3" s="1"/>
  <c r="T25" i="3"/>
  <c r="T19" i="3"/>
  <c r="T13" i="3"/>
  <c r="T139" i="3"/>
  <c r="T127" i="3"/>
  <c r="T121" i="3"/>
  <c r="T115" i="3"/>
  <c r="T109" i="3"/>
  <c r="T103" i="3"/>
  <c r="T97" i="3"/>
  <c r="T91" i="3"/>
  <c r="T85" i="3"/>
  <c r="T79" i="3"/>
  <c r="T73" i="3"/>
  <c r="T67" i="3"/>
  <c r="T60" i="3"/>
  <c r="T54" i="3"/>
  <c r="T48" i="3"/>
  <c r="T42" i="3"/>
  <c r="T36" i="3"/>
  <c r="T30" i="3"/>
  <c r="T24" i="3"/>
  <c r="T18" i="3"/>
  <c r="T12" i="3"/>
  <c r="T4" i="3"/>
  <c r="T150" i="3"/>
  <c r="T144" i="3"/>
  <c r="T138" i="3"/>
  <c r="T132" i="3"/>
  <c r="T126" i="3"/>
  <c r="T120" i="3"/>
  <c r="T114" i="3"/>
  <c r="T108" i="3"/>
  <c r="T102" i="3"/>
  <c r="T96" i="3"/>
  <c r="T90" i="3"/>
  <c r="T84" i="3"/>
  <c r="T78" i="3"/>
  <c r="T72" i="3"/>
  <c r="T66" i="3"/>
  <c r="T7" i="3"/>
  <c r="T59" i="3"/>
  <c r="T53" i="3"/>
  <c r="T47" i="3"/>
  <c r="T41" i="3"/>
  <c r="T35" i="3"/>
  <c r="T29" i="3"/>
  <c r="T23" i="3"/>
  <c r="T17" i="3"/>
  <c r="T11" i="3"/>
  <c r="T137" i="3"/>
  <c r="T125" i="3"/>
  <c r="T119" i="3"/>
  <c r="T113" i="3"/>
  <c r="T107" i="3"/>
  <c r="T101" i="3"/>
  <c r="T95" i="3"/>
  <c r="T89" i="3"/>
  <c r="T83" i="3"/>
  <c r="T77" i="3"/>
  <c r="T71" i="3"/>
  <c r="T65" i="3"/>
  <c r="T3" i="3"/>
  <c r="T58" i="3"/>
  <c r="T52" i="3"/>
  <c r="T46" i="3"/>
  <c r="T40" i="3"/>
  <c r="T34" i="3"/>
  <c r="T28" i="3"/>
  <c r="T22" i="3"/>
  <c r="T16" i="3"/>
  <c r="T10" i="3"/>
  <c r="BJ251" i="3" l="1"/>
  <c r="BB251" i="3"/>
  <c r="AU251" i="3"/>
  <c r="AD287" i="1"/>
  <c r="BJ10" i="3"/>
  <c r="BB10" i="3"/>
  <c r="AU10" i="3"/>
  <c r="BJ70" i="3"/>
  <c r="AU70" i="3"/>
  <c r="BB70" i="3"/>
  <c r="AU114" i="3"/>
  <c r="BB114" i="3"/>
  <c r="BJ114" i="3"/>
  <c r="BR114" i="3" s="1"/>
  <c r="BV114" i="3" s="1"/>
  <c r="V114" i="3"/>
  <c r="AU94" i="3"/>
  <c r="BJ94" i="3"/>
  <c r="BB94" i="3"/>
  <c r="AU161" i="3"/>
  <c r="BJ161" i="3"/>
  <c r="BB161" i="3"/>
  <c r="AX128" i="3"/>
  <c r="AX31" i="3"/>
  <c r="BB135" i="3"/>
  <c r="AU135" i="3"/>
  <c r="BJ135" i="3"/>
  <c r="BJ111" i="3"/>
  <c r="BB111" i="3"/>
  <c r="AU111" i="3"/>
  <c r="BJ5" i="3"/>
  <c r="AU5" i="3"/>
  <c r="BB5" i="3"/>
  <c r="AU65" i="3"/>
  <c r="BB65" i="3"/>
  <c r="BJ65" i="3"/>
  <c r="BB72" i="3"/>
  <c r="AU72" i="3"/>
  <c r="BJ72" i="3"/>
  <c r="BJ24" i="3"/>
  <c r="AU24" i="3"/>
  <c r="BB24" i="3"/>
  <c r="BJ95" i="3"/>
  <c r="BB95" i="3"/>
  <c r="AU95" i="3"/>
  <c r="BJ22" i="3"/>
  <c r="BB22" i="3"/>
  <c r="AU22" i="3"/>
  <c r="BB63" i="3"/>
  <c r="BJ63" i="3"/>
  <c r="AU63" i="3"/>
  <c r="BJ85" i="3"/>
  <c r="BR85" i="3" s="1"/>
  <c r="BV85" i="3" s="1"/>
  <c r="V85" i="3"/>
  <c r="AU85" i="3"/>
  <c r="BB85" i="3"/>
  <c r="BB13" i="3"/>
  <c r="BJ13" i="3"/>
  <c r="AU13" i="3"/>
  <c r="AU257" i="3"/>
  <c r="X277" i="1" s="1"/>
  <c r="BJ257" i="3"/>
  <c r="BB257" i="3"/>
  <c r="AD277" i="1"/>
  <c r="BJ174" i="3"/>
  <c r="BR174" i="3" s="1"/>
  <c r="BV174" i="3" s="1"/>
  <c r="AD174" i="1"/>
  <c r="BB174" i="3"/>
  <c r="AU287" i="3"/>
  <c r="V287" i="3"/>
  <c r="BB287" i="3"/>
  <c r="BJ287" i="3"/>
  <c r="BR287" i="3" s="1"/>
  <c r="BV287" i="3" s="1"/>
  <c r="AU305" i="3"/>
  <c r="BJ305" i="3"/>
  <c r="BB305" i="3"/>
  <c r="AD247" i="1"/>
  <c r="AD258" i="1"/>
  <c r="AU301" i="3"/>
  <c r="BJ301" i="3"/>
  <c r="BB301" i="3"/>
  <c r="AD286" i="1"/>
  <c r="BJ227" i="3"/>
  <c r="AU227" i="3"/>
  <c r="AD246" i="1"/>
  <c r="BJ220" i="3"/>
  <c r="AD268" i="1"/>
  <c r="BJ320" i="3"/>
  <c r="BR320" i="3" s="1"/>
  <c r="BV320" i="3" s="1"/>
  <c r="V320" i="3"/>
  <c r="BB320" i="3"/>
  <c r="AU320" i="3"/>
  <c r="V86" i="3"/>
  <c r="BJ86" i="3"/>
  <c r="BR86" i="3" s="1"/>
  <c r="BV86" i="3" s="1"/>
  <c r="AU86" i="3"/>
  <c r="BB86" i="3"/>
  <c r="BJ167" i="3"/>
  <c r="AU167" i="3"/>
  <c r="BB28" i="3"/>
  <c r="BJ28" i="3"/>
  <c r="AU28" i="3"/>
  <c r="BJ34" i="3"/>
  <c r="BR34" i="3" s="1"/>
  <c r="BV34" i="3" s="1"/>
  <c r="BB34" i="3"/>
  <c r="BN34" i="3" s="1"/>
  <c r="AU34" i="3"/>
  <c r="BJ117" i="3"/>
  <c r="BB117" i="3"/>
  <c r="AU117" i="3"/>
  <c r="BJ7" i="3"/>
  <c r="BB7" i="3"/>
  <c r="AU7" i="3"/>
  <c r="BJ309" i="3"/>
  <c r="BR309" i="3" s="1"/>
  <c r="BV309" i="3" s="1"/>
  <c r="BB309" i="3"/>
  <c r="AD309" i="1"/>
  <c r="AU309" i="3"/>
  <c r="BJ175" i="3"/>
  <c r="BR175" i="3" s="1"/>
  <c r="BV175" i="3" s="1"/>
  <c r="V175" i="3"/>
  <c r="AU175" i="3"/>
  <c r="BB175" i="3"/>
  <c r="AU278" i="3"/>
  <c r="BJ278" i="3"/>
  <c r="BR278" i="3" s="1"/>
  <c r="BV278" i="3" s="1"/>
  <c r="BB278" i="3"/>
  <c r="V278" i="3"/>
  <c r="V281" i="3"/>
  <c r="BJ281" i="3"/>
  <c r="BR281" i="3" s="1"/>
  <c r="BV281" i="3" s="1"/>
  <c r="BB281" i="3"/>
  <c r="AU281" i="3"/>
  <c r="AU324" i="3"/>
  <c r="BJ324" i="3"/>
  <c r="BB324" i="3"/>
  <c r="AD323" i="1"/>
  <c r="BJ243" i="3"/>
  <c r="AU243" i="3"/>
  <c r="AD316" i="1"/>
  <c r="BJ105" i="3"/>
  <c r="AU105" i="3"/>
  <c r="BJ33" i="3"/>
  <c r="BB33" i="3"/>
  <c r="AU33" i="3"/>
  <c r="AU66" i="3"/>
  <c r="BB66" i="3"/>
  <c r="BJ66" i="3"/>
  <c r="BB9" i="3"/>
  <c r="BJ9" i="3"/>
  <c r="AU9" i="3"/>
  <c r="BB100" i="3"/>
  <c r="BJ100" i="3"/>
  <c r="BR100" i="3" s="1"/>
  <c r="BV100" i="3" s="1"/>
  <c r="AU100" i="3"/>
  <c r="V100" i="3"/>
  <c r="BJ106" i="3"/>
  <c r="AU106" i="3"/>
  <c r="AU32" i="3"/>
  <c r="BB32" i="3"/>
  <c r="BJ32" i="3"/>
  <c r="BR32" i="3" s="1"/>
  <c r="BV32" i="3" s="1"/>
  <c r="AU38" i="3"/>
  <c r="BJ38" i="3"/>
  <c r="BB38" i="3"/>
  <c r="BJ73" i="3"/>
  <c r="AU73" i="3"/>
  <c r="BB73" i="3"/>
  <c r="BB206" i="3"/>
  <c r="BJ206" i="3"/>
  <c r="BR206" i="3" s="1"/>
  <c r="BV206" i="3" s="1"/>
  <c r="AU206" i="3"/>
  <c r="V206" i="3"/>
  <c r="BJ219" i="3"/>
  <c r="AD224" i="1"/>
  <c r="AU170" i="3"/>
  <c r="BJ170" i="3"/>
  <c r="AU178" i="3"/>
  <c r="AD178" i="1"/>
  <c r="BB178" i="3"/>
  <c r="BJ178" i="3"/>
  <c r="BJ171" i="3"/>
  <c r="AU171" i="3"/>
  <c r="BJ214" i="3"/>
  <c r="AU214" i="3"/>
  <c r="AD297" i="1"/>
  <c r="BJ238" i="3"/>
  <c r="AU238" i="3"/>
  <c r="AD245" i="1"/>
  <c r="BJ265" i="3"/>
  <c r="AU265" i="3"/>
  <c r="X294" i="1" s="1"/>
  <c r="AD294" i="1"/>
  <c r="BJ211" i="3"/>
  <c r="AU211" i="3"/>
  <c r="AD296" i="1"/>
  <c r="BB124" i="3"/>
  <c r="AU124" i="3"/>
  <c r="BJ124" i="3"/>
  <c r="BJ6" i="3"/>
  <c r="AU6" i="3"/>
  <c r="BB6" i="3"/>
  <c r="BJ21" i="3"/>
  <c r="BB21" i="3"/>
  <c r="AU21" i="3"/>
  <c r="BJ104" i="3"/>
  <c r="AU104" i="3"/>
  <c r="AU122" i="3"/>
  <c r="BJ122" i="3"/>
  <c r="BB122" i="3"/>
  <c r="BB67" i="3"/>
  <c r="AU67" i="3"/>
  <c r="BJ67" i="3"/>
  <c r="BJ173" i="3"/>
  <c r="BR173" i="3" s="1"/>
  <c r="BV173" i="3" s="1"/>
  <c r="BB173" i="3"/>
  <c r="V173" i="3"/>
  <c r="AU173" i="3"/>
  <c r="BJ202" i="3"/>
  <c r="AU202" i="3"/>
  <c r="AD213" i="1"/>
  <c r="BJ180" i="3"/>
  <c r="BR180" i="3" s="1"/>
  <c r="BV180" i="3" s="1"/>
  <c r="BB180" i="3"/>
  <c r="AU180" i="3"/>
  <c r="V180" i="3"/>
  <c r="BJ185" i="3"/>
  <c r="AU185" i="3"/>
  <c r="BB185" i="3"/>
  <c r="AU226" i="3"/>
  <c r="BJ226" i="3"/>
  <c r="AD228" i="1"/>
  <c r="BB302" i="3"/>
  <c r="BJ302" i="3"/>
  <c r="AU302" i="3"/>
  <c r="X252" i="1" s="1"/>
  <c r="AD252" i="1"/>
  <c r="BB272" i="3"/>
  <c r="AU272" i="3"/>
  <c r="V272" i="3"/>
  <c r="BJ272" i="3"/>
  <c r="BR272" i="3" s="1"/>
  <c r="BV272" i="3" s="1"/>
  <c r="BJ208" i="3"/>
  <c r="V208" i="3"/>
  <c r="AU208" i="3"/>
  <c r="BB283" i="3"/>
  <c r="V283" i="3"/>
  <c r="AU283" i="3"/>
  <c r="BJ283" i="3"/>
  <c r="BR283" i="3" s="1"/>
  <c r="BV283" i="3" s="1"/>
  <c r="BJ217" i="3"/>
  <c r="AU217" i="3"/>
  <c r="AD291" i="1"/>
  <c r="BB312" i="3"/>
  <c r="AU312" i="3"/>
  <c r="BJ312" i="3"/>
  <c r="BR312" i="3" s="1"/>
  <c r="BV312" i="3" s="1"/>
  <c r="V312" i="3"/>
  <c r="AU107" i="3"/>
  <c r="BJ107" i="3"/>
  <c r="BB78" i="3"/>
  <c r="BJ78" i="3"/>
  <c r="AU78" i="3"/>
  <c r="BB69" i="3"/>
  <c r="AU69" i="3"/>
  <c r="BJ69" i="3"/>
  <c r="BJ160" i="3"/>
  <c r="AU160" i="3"/>
  <c r="BB160" i="3"/>
  <c r="V87" i="3"/>
  <c r="BB87" i="3"/>
  <c r="AU87" i="3"/>
  <c r="BJ87" i="3"/>
  <c r="BR87" i="3" s="1"/>
  <c r="BV87" i="3" s="1"/>
  <c r="AU93" i="3"/>
  <c r="BB93" i="3"/>
  <c r="BJ93" i="3"/>
  <c r="BJ183" i="3"/>
  <c r="BR183" i="3" s="1"/>
  <c r="BV183" i="3" s="1"/>
  <c r="BB183" i="3"/>
  <c r="AU183" i="3"/>
  <c r="AU176" i="3"/>
  <c r="AD176" i="1"/>
  <c r="BJ176" i="3"/>
  <c r="BB176" i="3"/>
  <c r="BJ189" i="3"/>
  <c r="BR189" i="3" s="1"/>
  <c r="BV189" i="3" s="1"/>
  <c r="BB189" i="3"/>
  <c r="V189" i="3"/>
  <c r="AU189" i="3"/>
  <c r="BJ181" i="3"/>
  <c r="BR181" i="3" s="1"/>
  <c r="BV181" i="3" s="1"/>
  <c r="V181" i="3"/>
  <c r="BB181" i="3"/>
  <c r="AU181" i="3"/>
  <c r="AU203" i="3"/>
  <c r="BJ203" i="3"/>
  <c r="AD214" i="1"/>
  <c r="BJ191" i="3"/>
  <c r="BB191" i="3"/>
  <c r="BC191" i="3" s="1"/>
  <c r="AU191" i="3"/>
  <c r="BJ231" i="3"/>
  <c r="AU231" i="3"/>
  <c r="AD266" i="1"/>
  <c r="AD221" i="1"/>
  <c r="BJ240" i="3"/>
  <c r="AU240" i="3"/>
  <c r="AD231" i="1"/>
  <c r="BJ234" i="3"/>
  <c r="AU234" i="3"/>
  <c r="AD257" i="1"/>
  <c r="AU304" i="3"/>
  <c r="BJ304" i="3"/>
  <c r="BB304" i="3"/>
  <c r="AD317" i="1"/>
  <c r="BJ316" i="3"/>
  <c r="BR316" i="3" s="1"/>
  <c r="BV316" i="3" s="1"/>
  <c r="AU316" i="3"/>
  <c r="BB316" i="3"/>
  <c r="AD260" i="1"/>
  <c r="BJ321" i="3"/>
  <c r="V321" i="3"/>
  <c r="BB321" i="3"/>
  <c r="AU321" i="3"/>
  <c r="BJ298" i="3"/>
  <c r="BR298" i="3" s="1"/>
  <c r="BV298" i="3" s="1"/>
  <c r="AU298" i="3"/>
  <c r="BB298" i="3"/>
  <c r="AD269" i="1"/>
  <c r="AU92" i="3"/>
  <c r="BB92" i="3"/>
  <c r="BJ92" i="3"/>
  <c r="AX62" i="3"/>
  <c r="BJ75" i="3"/>
  <c r="AU75" i="3"/>
  <c r="BB75" i="3"/>
  <c r="BJ68" i="3"/>
  <c r="AU68" i="3"/>
  <c r="BB68" i="3"/>
  <c r="AU165" i="3"/>
  <c r="BB165" i="3"/>
  <c r="BJ165" i="3"/>
  <c r="BB8" i="3"/>
  <c r="AU8" i="3"/>
  <c r="BJ8" i="3"/>
  <c r="BJ12" i="3"/>
  <c r="BB12" i="3"/>
  <c r="AU12" i="3"/>
  <c r="BJ127" i="3"/>
  <c r="BJ182" i="3"/>
  <c r="AU182" i="3"/>
  <c r="AD182" i="1"/>
  <c r="BB182" i="3"/>
  <c r="BB179" i="3"/>
  <c r="BJ179" i="3"/>
  <c r="BR179" i="3" s="1"/>
  <c r="BV179" i="3" s="1"/>
  <c r="AU179" i="3"/>
  <c r="V179" i="3"/>
  <c r="BJ310" i="3"/>
  <c r="BR310" i="3" s="1"/>
  <c r="BV310" i="3" s="1"/>
  <c r="AD300" i="1"/>
  <c r="AU310" i="3"/>
  <c r="BB310" i="3"/>
  <c r="BJ204" i="3"/>
  <c r="AU204" i="3"/>
  <c r="AD215" i="1"/>
  <c r="BJ228" i="3"/>
  <c r="AU228" i="3"/>
  <c r="AD230" i="1"/>
  <c r="AU328" i="3"/>
  <c r="BJ328" i="3"/>
  <c r="BB328" i="3"/>
  <c r="AD272" i="1"/>
  <c r="BJ322" i="3"/>
  <c r="BB322" i="3"/>
  <c r="AU322" i="3"/>
  <c r="X295" i="1" s="1"/>
  <c r="AD295" i="1"/>
  <c r="AU210" i="3"/>
  <c r="BJ210" i="3"/>
  <c r="V210" i="3"/>
  <c r="BJ242" i="3"/>
  <c r="AU242" i="3"/>
  <c r="AD233" i="1"/>
  <c r="AD235" i="1"/>
  <c r="BB166" i="3"/>
  <c r="AU166" i="3"/>
  <c r="BJ166" i="3"/>
  <c r="AU125" i="3"/>
  <c r="BB125" i="3"/>
  <c r="BJ125" i="3"/>
  <c r="AU84" i="3"/>
  <c r="BB84" i="3"/>
  <c r="V84" i="3"/>
  <c r="BJ84" i="3"/>
  <c r="BR84" i="3" s="1"/>
  <c r="BV84" i="3" s="1"/>
  <c r="BB177" i="3"/>
  <c r="AU177" i="3"/>
  <c r="AD177" i="1"/>
  <c r="BJ177" i="3"/>
  <c r="BJ224" i="3"/>
  <c r="AD227" i="1"/>
  <c r="BJ307" i="3"/>
  <c r="BR307" i="3" s="1"/>
  <c r="BV307" i="3" s="1"/>
  <c r="BB307" i="3"/>
  <c r="AU307" i="3"/>
  <c r="AD290" i="1"/>
  <c r="BJ213" i="3"/>
  <c r="AU213" i="3"/>
  <c r="AD315" i="1"/>
  <c r="BJ286" i="3"/>
  <c r="BR286" i="3" s="1"/>
  <c r="BV286" i="3" s="1"/>
  <c r="V286" i="3"/>
  <c r="BB286" i="3"/>
  <c r="AU286" i="3"/>
  <c r="BJ215" i="3"/>
  <c r="AU215" i="3"/>
  <c r="AD276" i="1"/>
  <c r="BJ239" i="3"/>
  <c r="AU239" i="3"/>
  <c r="AD289" i="1"/>
  <c r="AU11" i="3"/>
  <c r="BJ11" i="3"/>
  <c r="BB11" i="3"/>
  <c r="BB162" i="3"/>
  <c r="BJ162" i="3"/>
  <c r="AU162" i="3"/>
  <c r="BJ115" i="3"/>
  <c r="AU115" i="3"/>
  <c r="BB115" i="3"/>
  <c r="BJ187" i="3"/>
  <c r="BR187" i="3" s="1"/>
  <c r="BV187" i="3" s="1"/>
  <c r="BB187" i="3"/>
  <c r="AU187" i="3"/>
  <c r="V187" i="3"/>
  <c r="BJ221" i="3"/>
  <c r="AD239" i="1"/>
  <c r="V280" i="3"/>
  <c r="BJ280" i="3"/>
  <c r="BR280" i="3" s="1"/>
  <c r="BV280" i="3" s="1"/>
  <c r="BB280" i="3"/>
  <c r="AU280" i="3"/>
  <c r="BJ325" i="3"/>
  <c r="BB325" i="3"/>
  <c r="AU325" i="3"/>
  <c r="X273" i="1" s="1"/>
  <c r="AD273" i="1"/>
  <c r="BJ297" i="3"/>
  <c r="BB297" i="3"/>
  <c r="AU297" i="3"/>
  <c r="AD282" i="1"/>
  <c r="BB300" i="3"/>
  <c r="BJ300" i="3"/>
  <c r="AU300" i="3"/>
  <c r="AD271" i="1"/>
  <c r="BB129" i="3"/>
  <c r="AU129" i="3"/>
  <c r="BJ129" i="3"/>
  <c r="BJ39" i="3"/>
  <c r="AU39" i="3"/>
  <c r="BB39" i="3"/>
  <c r="AU134" i="3"/>
  <c r="BJ134" i="3"/>
  <c r="BR134" i="3" s="1"/>
  <c r="BV134" i="3" s="1"/>
  <c r="BB134" i="3"/>
  <c r="V134" i="3"/>
  <c r="BJ48" i="3"/>
  <c r="AU48" i="3"/>
  <c r="BB48" i="3"/>
  <c r="BJ71" i="3"/>
  <c r="BB71" i="3"/>
  <c r="AU71" i="3"/>
  <c r="BJ77" i="3"/>
  <c r="BB77" i="3"/>
  <c r="AU77" i="3"/>
  <c r="BB37" i="3"/>
  <c r="AU37" i="3"/>
  <c r="BJ37" i="3"/>
  <c r="AU188" i="3"/>
  <c r="BJ188" i="3"/>
  <c r="BB188" i="3"/>
  <c r="AU184" i="3"/>
  <c r="BJ184" i="3"/>
  <c r="BB326" i="3"/>
  <c r="BJ326" i="3"/>
  <c r="AU326" i="3"/>
  <c r="X253" i="1" s="1"/>
  <c r="AD253" i="1"/>
  <c r="BJ190" i="3"/>
  <c r="AU259" i="3"/>
  <c r="BJ259" i="3"/>
  <c r="AD293" i="1"/>
  <c r="V186" i="3"/>
  <c r="AU186" i="3"/>
  <c r="BJ186" i="3"/>
  <c r="BR186" i="3" s="1"/>
  <c r="BV186" i="3" s="1"/>
  <c r="BB186" i="3"/>
  <c r="BJ222" i="3"/>
  <c r="AD240" i="1"/>
  <c r="BJ225" i="3"/>
  <c r="AU225" i="3"/>
  <c r="AD244" i="1"/>
  <c r="BB284" i="3"/>
  <c r="AU284" i="3"/>
  <c r="BJ284" i="3"/>
  <c r="BR284" i="3" s="1"/>
  <c r="BV284" i="3" s="1"/>
  <c r="V284" i="3"/>
  <c r="BJ233" i="3"/>
  <c r="AU233" i="3"/>
  <c r="AD267" i="1"/>
  <c r="V282" i="3"/>
  <c r="BB282" i="3"/>
  <c r="AU282" i="3"/>
  <c r="BJ282" i="3"/>
  <c r="BR282" i="3" s="1"/>
  <c r="BV282" i="3" s="1"/>
  <c r="BJ103" i="3"/>
  <c r="AU103" i="3"/>
  <c r="BJ264" i="3"/>
  <c r="AU264" i="3"/>
  <c r="X263" i="1" s="1"/>
  <c r="AD263" i="1"/>
  <c r="V289" i="3"/>
  <c r="BJ289" i="3"/>
  <c r="BR289" i="3" s="1"/>
  <c r="BV289" i="3" s="1"/>
  <c r="AU289" i="3"/>
  <c r="BB289" i="3"/>
  <c r="AU313" i="3"/>
  <c r="X251" i="1" s="1"/>
  <c r="BJ313" i="3"/>
  <c r="BR313" i="3" s="1"/>
  <c r="BV313" i="3" s="1"/>
  <c r="BB313" i="3"/>
  <c r="V313" i="3"/>
  <c r="BJ319" i="3"/>
  <c r="BR319" i="3" s="1"/>
  <c r="BV319" i="3" s="1"/>
  <c r="BB319" i="3"/>
  <c r="V319" i="3"/>
  <c r="AU279" i="3"/>
  <c r="V279" i="3"/>
  <c r="BB279" i="3"/>
  <c r="BJ279" i="3"/>
  <c r="BR279" i="3" s="1"/>
  <c r="BV279" i="3" s="1"/>
  <c r="BJ223" i="3"/>
  <c r="AD241" i="1"/>
  <c r="BJ299" i="3"/>
  <c r="BR299" i="3" s="1"/>
  <c r="BV299" i="3" s="1"/>
  <c r="BB299" i="3"/>
  <c r="AU299" i="3"/>
  <c r="AD270" i="1"/>
  <c r="BJ245" i="3"/>
  <c r="AU245" i="3"/>
  <c r="AD292" i="1"/>
  <c r="AU229" i="3"/>
  <c r="BJ229" i="3"/>
  <c r="AD283" i="1"/>
  <c r="BJ241" i="3"/>
  <c r="AU241" i="3"/>
  <c r="AD232" i="1"/>
  <c r="BJ98" i="3"/>
  <c r="BB98" i="3"/>
  <c r="AU98" i="3"/>
  <c r="AU164" i="3"/>
  <c r="BJ164" i="3"/>
  <c r="BB164" i="3"/>
  <c r="AU131" i="3"/>
  <c r="BJ131" i="3"/>
  <c r="BB131" i="3"/>
  <c r="AU108" i="3"/>
  <c r="BJ108" i="3"/>
  <c r="BJ126" i="3"/>
  <c r="BB126" i="3"/>
  <c r="AU126" i="3"/>
  <c r="BJ132" i="3"/>
  <c r="BR132" i="3" s="1"/>
  <c r="BV132" i="3" s="1"/>
  <c r="BB132" i="3"/>
  <c r="V132" i="3"/>
  <c r="AU132" i="3"/>
  <c r="BB64" i="3"/>
  <c r="AU64" i="3"/>
  <c r="BJ64" i="3"/>
  <c r="BR64" i="3" s="1"/>
  <c r="BV64" i="3" s="1"/>
  <c r="BJ76" i="3"/>
  <c r="BB76" i="3"/>
  <c r="AU76" i="3"/>
  <c r="BJ25" i="3"/>
  <c r="BB25" i="3"/>
  <c r="BB308" i="3"/>
  <c r="AU308" i="3"/>
  <c r="BJ308" i="3"/>
  <c r="AD229" i="1"/>
  <c r="V269" i="3"/>
  <c r="BB269" i="3"/>
  <c r="BJ269" i="3"/>
  <c r="BR269" i="3" s="1"/>
  <c r="BV269" i="3" s="1"/>
  <c r="AU269" i="3"/>
  <c r="BJ311" i="3"/>
  <c r="BR311" i="3" s="1"/>
  <c r="BV311" i="3" s="1"/>
  <c r="AU311" i="3"/>
  <c r="BB311" i="3"/>
  <c r="AD220" i="1"/>
  <c r="AU218" i="3"/>
  <c r="BJ218" i="3"/>
  <c r="BR218" i="3" s="1"/>
  <c r="BV218" i="3" s="1"/>
  <c r="V218" i="3"/>
  <c r="AU271" i="3"/>
  <c r="BB271" i="3"/>
  <c r="V271" i="3"/>
  <c r="BJ271" i="3"/>
  <c r="BR271" i="3" s="1"/>
  <c r="BV271" i="3" s="1"/>
  <c r="BJ262" i="3"/>
  <c r="BR262" i="3" s="1"/>
  <c r="BV262" i="3" s="1"/>
  <c r="BB262" i="3"/>
  <c r="AU262" i="3"/>
  <c r="AD242" i="1"/>
  <c r="BJ216" i="3"/>
  <c r="AU216" i="3"/>
  <c r="AD288" i="1"/>
  <c r="BJ212" i="3"/>
  <c r="AU212" i="3"/>
  <c r="AD236" i="1"/>
  <c r="AU306" i="3"/>
  <c r="BJ306" i="3"/>
  <c r="BB306" i="3"/>
  <c r="AD322" i="1"/>
  <c r="BB81" i="3"/>
  <c r="AU81" i="3"/>
  <c r="BJ81" i="3"/>
  <c r="AU118" i="3"/>
  <c r="BJ118" i="3"/>
  <c r="BB118" i="3"/>
  <c r="BB23" i="3"/>
  <c r="BJ23" i="3"/>
  <c r="AU23" i="3"/>
  <c r="AU41" i="3"/>
  <c r="BJ41" i="3"/>
  <c r="BR41" i="3" s="1"/>
  <c r="BV41" i="3" s="1"/>
  <c r="BB41" i="3"/>
  <c r="BB47" i="3"/>
  <c r="BJ47" i="3"/>
  <c r="AU47" i="3"/>
  <c r="AU136" i="3"/>
  <c r="BJ136" i="3"/>
  <c r="BB136" i="3"/>
  <c r="BJ172" i="3"/>
  <c r="AU172" i="3"/>
  <c r="BB270" i="3"/>
  <c r="BJ270" i="3"/>
  <c r="BR270" i="3" s="1"/>
  <c r="BV270" i="3" s="1"/>
  <c r="AU270" i="3"/>
  <c r="V270" i="3"/>
  <c r="BJ168" i="3"/>
  <c r="AU168" i="3"/>
  <c r="BJ232" i="3"/>
  <c r="AU232" i="3"/>
  <c r="BJ236" i="3"/>
  <c r="AU236" i="3"/>
  <c r="AD234" i="1"/>
  <c r="AU258" i="3"/>
  <c r="BJ258" i="3"/>
  <c r="BB258" i="3"/>
  <c r="AD298" i="1"/>
  <c r="AU323" i="3"/>
  <c r="BJ323" i="3"/>
  <c r="BB323" i="3"/>
  <c r="AD303" i="1"/>
  <c r="BJ327" i="3"/>
  <c r="BR327" i="3" s="1"/>
  <c r="BV327" i="3" s="1"/>
  <c r="BB327" i="3"/>
  <c r="AU327" i="3"/>
  <c r="AD281" i="1"/>
  <c r="K294" i="5" l="1"/>
  <c r="Y294" i="1"/>
  <c r="AA294" i="1"/>
  <c r="Z294" i="1"/>
  <c r="AB294" i="1"/>
  <c r="O287" i="5"/>
  <c r="AE287" i="1"/>
  <c r="AF287" i="1"/>
  <c r="AH287" i="1"/>
  <c r="AG287" i="1"/>
  <c r="BN251" i="3"/>
  <c r="BR251" i="3"/>
  <c r="BV251" i="3" s="1"/>
  <c r="BN299" i="3"/>
  <c r="BN327" i="3"/>
  <c r="BN41" i="3"/>
  <c r="BN307" i="3"/>
  <c r="BN298" i="3"/>
  <c r="BN309" i="3"/>
  <c r="BN32" i="3"/>
  <c r="O234" i="5"/>
  <c r="AF234" i="1"/>
  <c r="AG234" i="1"/>
  <c r="AH234" i="1"/>
  <c r="AE234" i="1"/>
  <c r="BR216" i="3"/>
  <c r="BV216" i="3" s="1"/>
  <c r="BN216" i="3"/>
  <c r="BN131" i="3"/>
  <c r="BR131" i="3"/>
  <c r="BV131" i="3" s="1"/>
  <c r="BN224" i="3"/>
  <c r="BR224" i="3"/>
  <c r="BV224" i="3" s="1"/>
  <c r="AX313" i="3"/>
  <c r="AD251" i="1" s="1"/>
  <c r="BN313" i="3"/>
  <c r="BR258" i="3"/>
  <c r="BV258" i="3" s="1"/>
  <c r="BN258" i="3"/>
  <c r="AE288" i="1"/>
  <c r="AF288" i="1"/>
  <c r="AG288" i="1"/>
  <c r="AH288" i="1"/>
  <c r="O288" i="5"/>
  <c r="AX218" i="3"/>
  <c r="AD225" i="1" s="1"/>
  <c r="BN218" i="3"/>
  <c r="BN308" i="3"/>
  <c r="BR308" i="3"/>
  <c r="BV308" i="3" s="1"/>
  <c r="BN64" i="3"/>
  <c r="BN98" i="3"/>
  <c r="BR98" i="3"/>
  <c r="BV98" i="3" s="1"/>
  <c r="BR103" i="3"/>
  <c r="BV103" i="3" s="1"/>
  <c r="BN103" i="3"/>
  <c r="BN259" i="3"/>
  <c r="BR259" i="3"/>
  <c r="BV259" i="3" s="1"/>
  <c r="BN188" i="3"/>
  <c r="BR188" i="3"/>
  <c r="BV188" i="3" s="1"/>
  <c r="O282" i="5"/>
  <c r="AE282" i="1"/>
  <c r="AF282" i="1"/>
  <c r="AG282" i="1"/>
  <c r="AH282" i="1"/>
  <c r="AX280" i="3"/>
  <c r="AD280" i="1" s="1"/>
  <c r="BN280" i="3"/>
  <c r="BR215" i="3"/>
  <c r="BV215" i="3" s="1"/>
  <c r="BN215" i="3"/>
  <c r="AH233" i="1"/>
  <c r="AF233" i="1"/>
  <c r="AE233" i="1"/>
  <c r="AG233" i="1"/>
  <c r="O233" i="5"/>
  <c r="BN316" i="3"/>
  <c r="BR240" i="3"/>
  <c r="BV240" i="3" s="1"/>
  <c r="BN240" i="3"/>
  <c r="AH224" i="1"/>
  <c r="AG224" i="1"/>
  <c r="AF224" i="1"/>
  <c r="O224" i="5"/>
  <c r="AE224" i="1"/>
  <c r="BR117" i="3"/>
  <c r="BV117" i="3" s="1"/>
  <c r="BN117" i="3"/>
  <c r="BR63" i="3"/>
  <c r="BV63" i="3" s="1"/>
  <c r="BN63" i="3"/>
  <c r="BN114" i="3"/>
  <c r="AX114" i="3"/>
  <c r="BR221" i="3"/>
  <c r="BV221" i="3" s="1"/>
  <c r="BN221" i="3"/>
  <c r="BR242" i="3"/>
  <c r="BV242" i="3" s="1"/>
  <c r="BN242" i="3"/>
  <c r="BR136" i="3"/>
  <c r="BV136" i="3" s="1"/>
  <c r="BN136" i="3"/>
  <c r="BR306" i="3"/>
  <c r="BV306" i="3" s="1"/>
  <c r="BN306" i="3"/>
  <c r="BR47" i="3"/>
  <c r="BV47" i="3" s="1"/>
  <c r="BN47" i="3"/>
  <c r="BR212" i="3"/>
  <c r="BV212" i="3" s="1"/>
  <c r="BN212" i="3"/>
  <c r="BN81" i="3"/>
  <c r="BR81" i="3"/>
  <c r="BV81" i="3" s="1"/>
  <c r="O232" i="5"/>
  <c r="AF232" i="1"/>
  <c r="AG232" i="1"/>
  <c r="AH232" i="1"/>
  <c r="AE232" i="1"/>
  <c r="AH239" i="1"/>
  <c r="AE239" i="1"/>
  <c r="AG239" i="1"/>
  <c r="O239" i="5"/>
  <c r="AF239" i="1"/>
  <c r="BR162" i="3"/>
  <c r="BV162" i="3" s="1"/>
  <c r="BN162" i="3"/>
  <c r="O227" i="5"/>
  <c r="AF227" i="1"/>
  <c r="AE227" i="1"/>
  <c r="AH227" i="1"/>
  <c r="AG227" i="1"/>
  <c r="BR328" i="3"/>
  <c r="BV328" i="3" s="1"/>
  <c r="BN328" i="3"/>
  <c r="AX179" i="3"/>
  <c r="AD179" i="1" s="1"/>
  <c r="BN179" i="3"/>
  <c r="AH221" i="1"/>
  <c r="AF221" i="1"/>
  <c r="AG221" i="1"/>
  <c r="O221" i="5"/>
  <c r="AE221" i="1"/>
  <c r="BN183" i="3"/>
  <c r="AX87" i="3"/>
  <c r="BN87" i="3"/>
  <c r="BR217" i="3"/>
  <c r="BV217" i="3" s="1"/>
  <c r="BN217" i="3"/>
  <c r="AX272" i="3"/>
  <c r="AD344" i="1" s="1"/>
  <c r="BN272" i="3"/>
  <c r="BR185" i="3"/>
  <c r="BV185" i="3" s="1"/>
  <c r="BN185" i="3"/>
  <c r="BR104" i="3"/>
  <c r="BV104" i="3" s="1"/>
  <c r="BN104" i="3"/>
  <c r="BR214" i="3"/>
  <c r="BV214" i="3" s="1"/>
  <c r="BN214" i="3"/>
  <c r="BR219" i="3"/>
  <c r="BV219" i="3" s="1"/>
  <c r="BN219" i="3"/>
  <c r="BR38" i="3"/>
  <c r="BV38" i="3" s="1"/>
  <c r="BN38" i="3"/>
  <c r="BR33" i="3"/>
  <c r="BV33" i="3" s="1"/>
  <c r="BN33" i="3"/>
  <c r="BR227" i="3"/>
  <c r="BV227" i="3" s="1"/>
  <c r="BN227" i="3"/>
  <c r="BR24" i="3"/>
  <c r="BV24" i="3" s="1"/>
  <c r="BN24" i="3"/>
  <c r="AH244" i="1"/>
  <c r="AE244" i="1"/>
  <c r="AG244" i="1"/>
  <c r="O244" i="5"/>
  <c r="AF244" i="1"/>
  <c r="BR71" i="3"/>
  <c r="BV71" i="3" s="1"/>
  <c r="BN71" i="3"/>
  <c r="BR125" i="3"/>
  <c r="BV125" i="3" s="1"/>
  <c r="BN125" i="3"/>
  <c r="BR12" i="3"/>
  <c r="BV12" i="3" s="1"/>
  <c r="BN12" i="3"/>
  <c r="BR67" i="3"/>
  <c r="BV67" i="3" s="1"/>
  <c r="BN67" i="3"/>
  <c r="O296" i="5"/>
  <c r="AF296" i="1"/>
  <c r="AH296" i="1"/>
  <c r="AG296" i="1"/>
  <c r="AE296" i="1"/>
  <c r="AH309" i="1"/>
  <c r="O309" i="5"/>
  <c r="AF309" i="1"/>
  <c r="AE309" i="1"/>
  <c r="AG309" i="1"/>
  <c r="O286" i="5"/>
  <c r="AE286" i="1"/>
  <c r="AG286" i="1"/>
  <c r="AF286" i="1"/>
  <c r="AH286" i="1"/>
  <c r="BR13" i="3"/>
  <c r="BV13" i="3" s="1"/>
  <c r="BN13" i="3"/>
  <c r="BR72" i="3"/>
  <c r="BV72" i="3" s="1"/>
  <c r="BN72" i="3"/>
  <c r="BR5" i="3"/>
  <c r="BV5" i="3" s="1"/>
  <c r="BN5" i="3"/>
  <c r="O220" i="5"/>
  <c r="AH220" i="1"/>
  <c r="AE220" i="1"/>
  <c r="AF220" i="1"/>
  <c r="AG220" i="1"/>
  <c r="BN132" i="3"/>
  <c r="AX132" i="3"/>
  <c r="BN241" i="3"/>
  <c r="BR241" i="3"/>
  <c r="BV241" i="3" s="1"/>
  <c r="BR223" i="3"/>
  <c r="BV223" i="3" s="1"/>
  <c r="BN223" i="3"/>
  <c r="BR190" i="3"/>
  <c r="BV190" i="3" s="1"/>
  <c r="BN190" i="3"/>
  <c r="BR297" i="3"/>
  <c r="BV297" i="3" s="1"/>
  <c r="BN297" i="3"/>
  <c r="AX187" i="3"/>
  <c r="BN187" i="3"/>
  <c r="BR177" i="3"/>
  <c r="BV177" i="3" s="1"/>
  <c r="BN177" i="3"/>
  <c r="AE230" i="1"/>
  <c r="AH230" i="1"/>
  <c r="AG230" i="1"/>
  <c r="AF230" i="1"/>
  <c r="O230" i="5"/>
  <c r="BR68" i="3"/>
  <c r="BV68" i="3" s="1"/>
  <c r="BN68" i="3"/>
  <c r="O317" i="5"/>
  <c r="AH317" i="1"/>
  <c r="AF317" i="1"/>
  <c r="AE317" i="1"/>
  <c r="AG317" i="1"/>
  <c r="BR107" i="3"/>
  <c r="BV107" i="3" s="1"/>
  <c r="BN107" i="3"/>
  <c r="AX180" i="3"/>
  <c r="AD180" i="1" s="1"/>
  <c r="BN180" i="3"/>
  <c r="AX206" i="3"/>
  <c r="AD219" i="1" s="1"/>
  <c r="BN206" i="3"/>
  <c r="BR9" i="3"/>
  <c r="BV9" i="3" s="1"/>
  <c r="BN9" i="3"/>
  <c r="BN86" i="3"/>
  <c r="AX86" i="3"/>
  <c r="AX287" i="3"/>
  <c r="AD329" i="1" s="1"/>
  <c r="BN287" i="3"/>
  <c r="AF241" i="1"/>
  <c r="AE241" i="1"/>
  <c r="AG241" i="1"/>
  <c r="O241" i="5"/>
  <c r="AH241" i="1"/>
  <c r="AX181" i="3"/>
  <c r="AD181" i="1" s="1"/>
  <c r="BN181" i="3"/>
  <c r="BN172" i="3"/>
  <c r="BR172" i="3"/>
  <c r="BV172" i="3" s="1"/>
  <c r="BN311" i="3"/>
  <c r="BR25" i="3"/>
  <c r="BV25" i="3" s="1"/>
  <c r="BN25" i="3"/>
  <c r="O283" i="5"/>
  <c r="AH283" i="1"/>
  <c r="AE283" i="1"/>
  <c r="AF283" i="1"/>
  <c r="AG283" i="1"/>
  <c r="BR225" i="3"/>
  <c r="BV225" i="3" s="1"/>
  <c r="BN225" i="3"/>
  <c r="AH253" i="1"/>
  <c r="AG253" i="1"/>
  <c r="AE253" i="1"/>
  <c r="O253" i="5"/>
  <c r="AF253" i="1"/>
  <c r="BR37" i="3"/>
  <c r="BV37" i="3" s="1"/>
  <c r="BN37" i="3"/>
  <c r="O273" i="5"/>
  <c r="AH273" i="1"/>
  <c r="AF273" i="1"/>
  <c r="AE273" i="1"/>
  <c r="AG273" i="1"/>
  <c r="AX286" i="3"/>
  <c r="AD264" i="1" s="1"/>
  <c r="BN286" i="3"/>
  <c r="AG177" i="1"/>
  <c r="AE177" i="1"/>
  <c r="AF177" i="1"/>
  <c r="O177" i="5"/>
  <c r="AH177" i="1"/>
  <c r="AX210" i="3"/>
  <c r="AD262" i="1" s="1"/>
  <c r="BN210" i="3"/>
  <c r="BR8" i="3"/>
  <c r="BV8" i="3" s="1"/>
  <c r="BN8" i="3"/>
  <c r="BR231" i="3"/>
  <c r="BV231" i="3" s="1"/>
  <c r="BN231" i="3"/>
  <c r="AF252" i="1"/>
  <c r="AH252" i="1"/>
  <c r="AG252" i="1"/>
  <c r="AE252" i="1"/>
  <c r="O252" i="5"/>
  <c r="BR211" i="3"/>
  <c r="BV211" i="3" s="1"/>
  <c r="BN211" i="3"/>
  <c r="BR171" i="3"/>
  <c r="BV171" i="3" s="1"/>
  <c r="BN171" i="3"/>
  <c r="BR105" i="3"/>
  <c r="BV105" i="3" s="1"/>
  <c r="BN105" i="3"/>
  <c r="BN281" i="3"/>
  <c r="AX281" i="3"/>
  <c r="AD274" i="1" s="1"/>
  <c r="BN301" i="3"/>
  <c r="BR301" i="3"/>
  <c r="BV301" i="3" s="1"/>
  <c r="Y251" i="1"/>
  <c r="Z251" i="1"/>
  <c r="K251" i="5"/>
  <c r="AA251" i="1"/>
  <c r="AB251" i="1"/>
  <c r="O242" i="5"/>
  <c r="AH242" i="1"/>
  <c r="AG242" i="1"/>
  <c r="AE242" i="1"/>
  <c r="AF242" i="1"/>
  <c r="BN236" i="3"/>
  <c r="BR236" i="3"/>
  <c r="BV236" i="3" s="1"/>
  <c r="O322" i="5"/>
  <c r="AH322" i="1"/>
  <c r="AF322" i="1"/>
  <c r="AE322" i="1"/>
  <c r="AG322" i="1"/>
  <c r="BN262" i="3"/>
  <c r="BN229" i="3"/>
  <c r="BR229" i="3"/>
  <c r="BV229" i="3" s="1"/>
  <c r="AX282" i="3"/>
  <c r="AD312" i="1" s="1"/>
  <c r="BN282" i="3"/>
  <c r="AF240" i="1"/>
  <c r="AE240" i="1"/>
  <c r="AH240" i="1"/>
  <c r="AG240" i="1"/>
  <c r="O240" i="5"/>
  <c r="K253" i="5"/>
  <c r="AA253" i="1"/>
  <c r="Y253" i="1"/>
  <c r="AB253" i="1"/>
  <c r="Z253" i="1"/>
  <c r="BR129" i="3"/>
  <c r="BV129" i="3" s="1"/>
  <c r="BN129" i="3"/>
  <c r="Y273" i="1"/>
  <c r="Z273" i="1"/>
  <c r="K273" i="5"/>
  <c r="AB273" i="1"/>
  <c r="AA273" i="1"/>
  <c r="BR11" i="3"/>
  <c r="BV11" i="3" s="1"/>
  <c r="BN11" i="3"/>
  <c r="BR166" i="3"/>
  <c r="BV166" i="3" s="1"/>
  <c r="BN166" i="3"/>
  <c r="BR210" i="3"/>
  <c r="BV210" i="3" s="1"/>
  <c r="BR228" i="3"/>
  <c r="BV228" i="3" s="1"/>
  <c r="BN228" i="3"/>
  <c r="BR304" i="3"/>
  <c r="BV304" i="3" s="1"/>
  <c r="BN304" i="3"/>
  <c r="AX189" i="3"/>
  <c r="BN189" i="3"/>
  <c r="BR93" i="3"/>
  <c r="BV93" i="3" s="1"/>
  <c r="BN93" i="3"/>
  <c r="BR160" i="3"/>
  <c r="BV160" i="3" s="1"/>
  <c r="BN160" i="3"/>
  <c r="AX283" i="3"/>
  <c r="AD248" i="1" s="1"/>
  <c r="BN283" i="3"/>
  <c r="K252" i="5"/>
  <c r="AB252" i="1"/>
  <c r="Y252" i="1"/>
  <c r="Z252" i="1"/>
  <c r="AA252" i="1"/>
  <c r="BR21" i="3"/>
  <c r="BV21" i="3" s="1"/>
  <c r="BN21" i="3"/>
  <c r="O294" i="5"/>
  <c r="AH294" i="1"/>
  <c r="AF294" i="1"/>
  <c r="AE294" i="1"/>
  <c r="AG294" i="1"/>
  <c r="BR178" i="3"/>
  <c r="BV178" i="3" s="1"/>
  <c r="BN178" i="3"/>
  <c r="O316" i="5"/>
  <c r="AF316" i="1"/>
  <c r="AG316" i="1"/>
  <c r="AH316" i="1"/>
  <c r="AE316" i="1"/>
  <c r="BN278" i="3"/>
  <c r="AX278" i="3"/>
  <c r="AD223" i="1" s="1"/>
  <c r="BN174" i="3"/>
  <c r="BR22" i="3"/>
  <c r="BV22" i="3" s="1"/>
  <c r="BN22" i="3"/>
  <c r="BR111" i="3"/>
  <c r="BV111" i="3" s="1"/>
  <c r="BN111" i="3"/>
  <c r="BR161" i="3"/>
  <c r="BV161" i="3" s="1"/>
  <c r="BN161" i="3"/>
  <c r="AE303" i="1"/>
  <c r="AF303" i="1"/>
  <c r="O303" i="5"/>
  <c r="AG303" i="1"/>
  <c r="AH303" i="1"/>
  <c r="BR232" i="3"/>
  <c r="BV232" i="3" s="1"/>
  <c r="BN232" i="3"/>
  <c r="BN279" i="3"/>
  <c r="AX279" i="3"/>
  <c r="AD324" i="1" s="1"/>
  <c r="AX289" i="3"/>
  <c r="AD222" i="1" s="1"/>
  <c r="BN289" i="3"/>
  <c r="AF267" i="1"/>
  <c r="AE267" i="1"/>
  <c r="O267" i="5"/>
  <c r="AG267" i="1"/>
  <c r="AH267" i="1"/>
  <c r="BR222" i="3"/>
  <c r="BV222" i="3" s="1"/>
  <c r="BN222" i="3"/>
  <c r="BN326" i="3"/>
  <c r="BR326" i="3"/>
  <c r="BV326" i="3" s="1"/>
  <c r="AG315" i="1"/>
  <c r="AE315" i="1"/>
  <c r="AF315" i="1"/>
  <c r="O315" i="5"/>
  <c r="AH315" i="1"/>
  <c r="O215" i="5"/>
  <c r="AG215" i="1"/>
  <c r="AE215" i="1"/>
  <c r="AF215" i="1"/>
  <c r="AH215" i="1"/>
  <c r="O182" i="5"/>
  <c r="AE182" i="1"/>
  <c r="AH182" i="1"/>
  <c r="AG182" i="1"/>
  <c r="AF182" i="1"/>
  <c r="BN302" i="3"/>
  <c r="BR302" i="3"/>
  <c r="BV302" i="3" s="1"/>
  <c r="AF258" i="1"/>
  <c r="O258" i="5"/>
  <c r="AG258" i="1"/>
  <c r="AE258" i="1"/>
  <c r="AH258" i="1"/>
  <c r="O174" i="5"/>
  <c r="AG174" i="1"/>
  <c r="AH174" i="1"/>
  <c r="AE174" i="1"/>
  <c r="AF174" i="1"/>
  <c r="BR70" i="3"/>
  <c r="BV70" i="3" s="1"/>
  <c r="BN70" i="3"/>
  <c r="O292" i="5"/>
  <c r="AH292" i="1"/>
  <c r="AE292" i="1"/>
  <c r="AF292" i="1"/>
  <c r="AG292" i="1"/>
  <c r="AE263" i="1"/>
  <c r="AH263" i="1"/>
  <c r="AF263" i="1"/>
  <c r="O263" i="5"/>
  <c r="AG263" i="1"/>
  <c r="BN48" i="3"/>
  <c r="BR48" i="3"/>
  <c r="BV48" i="3" s="1"/>
  <c r="BN325" i="3"/>
  <c r="BR325" i="3"/>
  <c r="BV325" i="3" s="1"/>
  <c r="AF289" i="1"/>
  <c r="AH289" i="1"/>
  <c r="AE289" i="1"/>
  <c r="O289" i="5"/>
  <c r="AG289" i="1"/>
  <c r="AE295" i="1"/>
  <c r="AF295" i="1"/>
  <c r="O295" i="5"/>
  <c r="AG295" i="1"/>
  <c r="AH295" i="1"/>
  <c r="BR75" i="3"/>
  <c r="BV75" i="3" s="1"/>
  <c r="BN75" i="3"/>
  <c r="O257" i="5"/>
  <c r="AE257" i="1"/>
  <c r="AF257" i="1"/>
  <c r="AG257" i="1"/>
  <c r="AH257" i="1"/>
  <c r="BI191" i="3"/>
  <c r="BN191" i="3"/>
  <c r="BR191" i="3"/>
  <c r="BV191" i="3" s="1"/>
  <c r="BR69" i="3"/>
  <c r="BV69" i="3" s="1"/>
  <c r="BN69" i="3"/>
  <c r="AX312" i="3"/>
  <c r="AD299" i="1" s="1"/>
  <c r="BN312" i="3"/>
  <c r="AG213" i="1"/>
  <c r="AE213" i="1"/>
  <c r="AF213" i="1"/>
  <c r="O213" i="5"/>
  <c r="AH213" i="1"/>
  <c r="BR265" i="3"/>
  <c r="BV265" i="3" s="1"/>
  <c r="BN265" i="3"/>
  <c r="AE178" i="1"/>
  <c r="AF178" i="1"/>
  <c r="AH178" i="1"/>
  <c r="O178" i="5"/>
  <c r="AG178" i="1"/>
  <c r="BR66" i="3"/>
  <c r="BV66" i="3" s="1"/>
  <c r="BN66" i="3"/>
  <c r="BR243" i="3"/>
  <c r="BV243" i="3" s="1"/>
  <c r="BN243" i="3"/>
  <c r="BN28" i="3"/>
  <c r="BR28" i="3"/>
  <c r="BV28" i="3" s="1"/>
  <c r="AX320" i="3"/>
  <c r="AD306" i="1" s="1"/>
  <c r="BN320" i="3"/>
  <c r="BR135" i="3"/>
  <c r="BV135" i="3" s="1"/>
  <c r="BN135" i="3"/>
  <c r="BR39" i="3"/>
  <c r="BV39" i="3" s="1"/>
  <c r="BN39" i="3"/>
  <c r="AX319" i="3"/>
  <c r="AD259" i="1" s="1"/>
  <c r="BN319" i="3"/>
  <c r="AE271" i="1"/>
  <c r="AF271" i="1"/>
  <c r="AG271" i="1"/>
  <c r="AH271" i="1"/>
  <c r="O271" i="5"/>
  <c r="BR213" i="3"/>
  <c r="BV213" i="3" s="1"/>
  <c r="BN213" i="3"/>
  <c r="K295" i="5"/>
  <c r="AB295" i="1"/>
  <c r="Z295" i="1"/>
  <c r="Y295" i="1"/>
  <c r="AA295" i="1"/>
  <c r="BR204" i="3"/>
  <c r="BV204" i="3" s="1"/>
  <c r="BN204" i="3"/>
  <c r="BR182" i="3"/>
  <c r="BV182" i="3" s="1"/>
  <c r="BN182" i="3"/>
  <c r="BR165" i="3"/>
  <c r="BV165" i="3" s="1"/>
  <c r="BN165" i="3"/>
  <c r="AF228" i="1"/>
  <c r="AE228" i="1"/>
  <c r="AG228" i="1"/>
  <c r="AH228" i="1"/>
  <c r="O228" i="5"/>
  <c r="BR6" i="3"/>
  <c r="BV6" i="3" s="1"/>
  <c r="BN6" i="3"/>
  <c r="O245" i="5"/>
  <c r="AG245" i="1"/>
  <c r="AF245" i="1"/>
  <c r="AH245" i="1"/>
  <c r="AE245" i="1"/>
  <c r="AH323" i="1"/>
  <c r="O323" i="5"/>
  <c r="AE323" i="1"/>
  <c r="AG323" i="1"/>
  <c r="AF323" i="1"/>
  <c r="BR7" i="3"/>
  <c r="BV7" i="3" s="1"/>
  <c r="BN7" i="3"/>
  <c r="AG277" i="1"/>
  <c r="AH277" i="1"/>
  <c r="O277" i="5"/>
  <c r="AF277" i="1"/>
  <c r="AE277" i="1"/>
  <c r="BN85" i="3"/>
  <c r="AX85" i="3"/>
  <c r="BR65" i="3"/>
  <c r="BV65" i="3" s="1"/>
  <c r="BN65" i="3"/>
  <c r="AE266" i="1"/>
  <c r="O266" i="5"/>
  <c r="AF266" i="1"/>
  <c r="AG266" i="1"/>
  <c r="AH266" i="1"/>
  <c r="BR23" i="3"/>
  <c r="BV23" i="3" s="1"/>
  <c r="BN23" i="3"/>
  <c r="BR323" i="3"/>
  <c r="BV323" i="3" s="1"/>
  <c r="BN323" i="3"/>
  <c r="K263" i="5"/>
  <c r="Y263" i="1"/>
  <c r="AB263" i="1"/>
  <c r="AA263" i="1"/>
  <c r="Z263" i="1"/>
  <c r="BR233" i="3"/>
  <c r="BV233" i="3" s="1"/>
  <c r="BN233" i="3"/>
  <c r="BN184" i="3"/>
  <c r="BR184" i="3"/>
  <c r="BV184" i="3" s="1"/>
  <c r="BN134" i="3"/>
  <c r="AX134" i="3"/>
  <c r="BN168" i="3"/>
  <c r="BR168" i="3"/>
  <c r="BV168" i="3" s="1"/>
  <c r="O236" i="5"/>
  <c r="AG236" i="1"/>
  <c r="AE236" i="1"/>
  <c r="AF236" i="1"/>
  <c r="AH236" i="1"/>
  <c r="BN271" i="3"/>
  <c r="AX271" i="3"/>
  <c r="AD343" i="1" s="1"/>
  <c r="BR76" i="3"/>
  <c r="BV76" i="3" s="1"/>
  <c r="BN76" i="3"/>
  <c r="BR126" i="3"/>
  <c r="BV126" i="3" s="1"/>
  <c r="BN126" i="3"/>
  <c r="BR245" i="3"/>
  <c r="BV245" i="3" s="1"/>
  <c r="BN245" i="3"/>
  <c r="BR264" i="3"/>
  <c r="BV264" i="3" s="1"/>
  <c r="BN264" i="3"/>
  <c r="BR239" i="3"/>
  <c r="BV239" i="3" s="1"/>
  <c r="BN239" i="3"/>
  <c r="AG290" i="1"/>
  <c r="AE290" i="1"/>
  <c r="O290" i="5"/>
  <c r="AF290" i="1"/>
  <c r="AH290" i="1"/>
  <c r="O235" i="5"/>
  <c r="AH235" i="1"/>
  <c r="AF235" i="1"/>
  <c r="AG235" i="1"/>
  <c r="AE235" i="1"/>
  <c r="BN310" i="3"/>
  <c r="AX321" i="3"/>
  <c r="AD308" i="1" s="1"/>
  <c r="BN321" i="3"/>
  <c r="BR234" i="3"/>
  <c r="BV234" i="3" s="1"/>
  <c r="BN234" i="3"/>
  <c r="AE214" i="1"/>
  <c r="AH214" i="1"/>
  <c r="O214" i="5"/>
  <c r="AF214" i="1"/>
  <c r="AG214" i="1"/>
  <c r="BR176" i="3"/>
  <c r="BV176" i="3" s="1"/>
  <c r="BN176" i="3"/>
  <c r="BN208" i="3"/>
  <c r="AX208" i="3"/>
  <c r="AD256" i="1" s="1"/>
  <c r="BN226" i="3"/>
  <c r="BR226" i="3"/>
  <c r="BV226" i="3" s="1"/>
  <c r="BR202" i="3"/>
  <c r="BV202" i="3" s="1"/>
  <c r="BN202" i="3"/>
  <c r="BR122" i="3"/>
  <c r="BV122" i="3" s="1"/>
  <c r="BN122" i="3"/>
  <c r="BN170" i="3"/>
  <c r="BR170" i="3"/>
  <c r="BV170" i="3" s="1"/>
  <c r="BR106" i="3"/>
  <c r="BV106" i="3" s="1"/>
  <c r="BN106" i="3"/>
  <c r="AE268" i="1"/>
  <c r="AH268" i="1"/>
  <c r="O268" i="5"/>
  <c r="AF268" i="1"/>
  <c r="AG268" i="1"/>
  <c r="O247" i="5"/>
  <c r="AF247" i="1"/>
  <c r="AG247" i="1"/>
  <c r="AE247" i="1"/>
  <c r="AH247" i="1"/>
  <c r="BR95" i="3"/>
  <c r="BV95" i="3" s="1"/>
  <c r="BN95" i="3"/>
  <c r="BR94" i="3"/>
  <c r="BV94" i="3" s="1"/>
  <c r="BN94" i="3"/>
  <c r="O281" i="5"/>
  <c r="AG281" i="1"/>
  <c r="AE281" i="1"/>
  <c r="AH281" i="1"/>
  <c r="AF281" i="1"/>
  <c r="BR164" i="3"/>
  <c r="BV164" i="3" s="1"/>
  <c r="BN164" i="3"/>
  <c r="O298" i="5"/>
  <c r="AH298" i="1"/>
  <c r="AE298" i="1"/>
  <c r="AF298" i="1"/>
  <c r="AG298" i="1"/>
  <c r="AX270" i="3"/>
  <c r="AD217" i="1" s="1"/>
  <c r="BN270" i="3"/>
  <c r="BN118" i="3"/>
  <c r="BR118" i="3"/>
  <c r="BV118" i="3" s="1"/>
  <c r="AX269" i="3"/>
  <c r="AD216" i="1" s="1"/>
  <c r="BN269" i="3"/>
  <c r="AF270" i="1"/>
  <c r="AH270" i="1"/>
  <c r="O270" i="5"/>
  <c r="AG270" i="1"/>
  <c r="AE270" i="1"/>
  <c r="BN284" i="3"/>
  <c r="AX284" i="3"/>
  <c r="AD275" i="1" s="1"/>
  <c r="AX186" i="3"/>
  <c r="BN186" i="3"/>
  <c r="BR77" i="3"/>
  <c r="BV77" i="3" s="1"/>
  <c r="BN77" i="3"/>
  <c r="BR300" i="3"/>
  <c r="BV300" i="3" s="1"/>
  <c r="BN300" i="3"/>
  <c r="BR115" i="3"/>
  <c r="BV115" i="3" s="1"/>
  <c r="BN115" i="3"/>
  <c r="AG276" i="1"/>
  <c r="AH276" i="1"/>
  <c r="AF276" i="1"/>
  <c r="O276" i="5"/>
  <c r="AE276" i="1"/>
  <c r="BN84" i="3"/>
  <c r="AX84" i="3"/>
  <c r="BR322" i="3"/>
  <c r="BV322" i="3" s="1"/>
  <c r="BN322" i="3"/>
  <c r="BR127" i="3"/>
  <c r="BV127" i="3" s="1"/>
  <c r="BN127" i="3"/>
  <c r="BN92" i="3"/>
  <c r="BR92" i="3"/>
  <c r="BV92" i="3" s="1"/>
  <c r="BR321" i="3"/>
  <c r="BV321" i="3" s="1"/>
  <c r="AG231" i="1"/>
  <c r="AF231" i="1"/>
  <c r="O231" i="5"/>
  <c r="AE231" i="1"/>
  <c r="AH231" i="1"/>
  <c r="BR203" i="3"/>
  <c r="BV203" i="3" s="1"/>
  <c r="BN203" i="3"/>
  <c r="AH176" i="1"/>
  <c r="AE176" i="1"/>
  <c r="AF176" i="1"/>
  <c r="AG176" i="1"/>
  <c r="O176" i="5"/>
  <c r="BR208" i="3"/>
  <c r="BV208" i="3" s="1"/>
  <c r="BN124" i="3"/>
  <c r="BR124" i="3"/>
  <c r="BV124" i="3" s="1"/>
  <c r="BR238" i="3"/>
  <c r="BV238" i="3" s="1"/>
  <c r="BN238" i="3"/>
  <c r="BR73" i="3"/>
  <c r="BV73" i="3" s="1"/>
  <c r="BN73" i="3"/>
  <c r="BN100" i="3"/>
  <c r="AX100" i="3"/>
  <c r="BR324" i="3"/>
  <c r="BV324" i="3" s="1"/>
  <c r="BN324" i="3"/>
  <c r="BR220" i="3"/>
  <c r="BV220" i="3" s="1"/>
  <c r="BN220" i="3"/>
  <c r="BR257" i="3"/>
  <c r="BV257" i="3" s="1"/>
  <c r="BN257" i="3"/>
  <c r="O269" i="5"/>
  <c r="AG269" i="1"/>
  <c r="AE269" i="1"/>
  <c r="AF269" i="1"/>
  <c r="AH269" i="1"/>
  <c r="AH229" i="1"/>
  <c r="O229" i="5"/>
  <c r="AF229" i="1"/>
  <c r="AE229" i="1"/>
  <c r="AG229" i="1"/>
  <c r="BR108" i="3"/>
  <c r="BV108" i="3" s="1"/>
  <c r="BN108" i="3"/>
  <c r="AH293" i="1"/>
  <c r="AG293" i="1"/>
  <c r="AE293" i="1"/>
  <c r="O293" i="5"/>
  <c r="AF293" i="1"/>
  <c r="O272" i="5"/>
  <c r="AF272" i="1"/>
  <c r="AG272" i="1"/>
  <c r="AE272" i="1"/>
  <c r="AH272" i="1"/>
  <c r="AH300" i="1"/>
  <c r="AE300" i="1"/>
  <c r="AG300" i="1"/>
  <c r="O300" i="5"/>
  <c r="AF300" i="1"/>
  <c r="O260" i="5"/>
  <c r="AE260" i="1"/>
  <c r="AG260" i="1"/>
  <c r="AF260" i="1"/>
  <c r="AH260" i="1"/>
  <c r="BN78" i="3"/>
  <c r="BR78" i="3"/>
  <c r="BV78" i="3" s="1"/>
  <c r="O291" i="5"/>
  <c r="AG291" i="1"/>
  <c r="AE291" i="1"/>
  <c r="AF291" i="1"/>
  <c r="AH291" i="1"/>
  <c r="AX173" i="3"/>
  <c r="BN173" i="3"/>
  <c r="AG297" i="1"/>
  <c r="AF297" i="1"/>
  <c r="O297" i="5"/>
  <c r="AH297" i="1"/>
  <c r="AE297" i="1"/>
  <c r="AX175" i="3"/>
  <c r="AD175" i="1" s="1"/>
  <c r="BN175" i="3"/>
  <c r="BR167" i="3"/>
  <c r="BV167" i="3" s="1"/>
  <c r="BN167" i="3"/>
  <c r="AE246" i="1"/>
  <c r="AG246" i="1"/>
  <c r="AH246" i="1"/>
  <c r="AF246" i="1"/>
  <c r="O246" i="5"/>
  <c r="BR305" i="3"/>
  <c r="BV305" i="3" s="1"/>
  <c r="BN305" i="3"/>
  <c r="K277" i="5"/>
  <c r="Y277" i="1"/>
  <c r="AB277" i="1"/>
  <c r="Z277" i="1"/>
  <c r="AA277" i="1"/>
  <c r="BR10" i="3"/>
  <c r="BV10" i="3" s="1"/>
  <c r="BN10" i="3"/>
  <c r="S31" i="3"/>
  <c r="AT31" i="3" s="1"/>
  <c r="S89" i="3"/>
  <c r="AT89" i="3" s="1"/>
  <c r="S163" i="3"/>
  <c r="AT163" i="3" s="1"/>
  <c r="S133" i="3"/>
  <c r="AT133" i="3" s="1"/>
  <c r="S91" i="3"/>
  <c r="AT91" i="3" s="1"/>
  <c r="S113" i="3"/>
  <c r="AT113" i="3" s="1"/>
  <c r="S2" i="3"/>
  <c r="AT2" i="3" s="1"/>
  <c r="S62" i="3"/>
  <c r="AT62" i="3" s="1"/>
  <c r="S3" i="3"/>
  <c r="AT3" i="3" s="1"/>
  <c r="S4" i="3"/>
  <c r="AT4" i="3" s="1"/>
  <c r="S83" i="3"/>
  <c r="AT83" i="3" s="1"/>
  <c r="S128" i="3"/>
  <c r="AT128" i="3" s="1"/>
  <c r="S121" i="3"/>
  <c r="AT121" i="3" s="1"/>
  <c r="S17" i="3"/>
  <c r="AT17" i="3" s="1"/>
  <c r="S19" i="3"/>
  <c r="AT19" i="3" s="1"/>
  <c r="N294" i="5" l="1"/>
  <c r="L294" i="5"/>
  <c r="M294" i="5"/>
  <c r="R287" i="5"/>
  <c r="Q287" i="5"/>
  <c r="P287" i="5"/>
  <c r="BJ2" i="3"/>
  <c r="BB2" i="3"/>
  <c r="V2" i="3"/>
  <c r="AU2" i="3"/>
  <c r="Q268" i="5"/>
  <c r="R268" i="5"/>
  <c r="P268" i="5"/>
  <c r="Q289" i="5"/>
  <c r="R289" i="5"/>
  <c r="P289" i="5"/>
  <c r="R230" i="5"/>
  <c r="P230" i="5"/>
  <c r="Q230" i="5"/>
  <c r="R232" i="5"/>
  <c r="Q232" i="5"/>
  <c r="P232" i="5"/>
  <c r="Q282" i="5"/>
  <c r="P282" i="5"/>
  <c r="R282" i="5"/>
  <c r="AU91" i="3"/>
  <c r="BJ91" i="3"/>
  <c r="BB91" i="3"/>
  <c r="R297" i="5"/>
  <c r="P297" i="5"/>
  <c r="Q297" i="5"/>
  <c r="AE275" i="1"/>
  <c r="AG275" i="1"/>
  <c r="AH275" i="1"/>
  <c r="O275" i="5"/>
  <c r="AF275" i="1"/>
  <c r="P290" i="5"/>
  <c r="Q290" i="5"/>
  <c r="R290" i="5"/>
  <c r="Q228" i="5"/>
  <c r="P228" i="5"/>
  <c r="R228" i="5"/>
  <c r="R271" i="5"/>
  <c r="P271" i="5"/>
  <c r="Q271" i="5"/>
  <c r="Q177" i="5"/>
  <c r="P177" i="5"/>
  <c r="R177" i="5"/>
  <c r="AH225" i="1"/>
  <c r="AE225" i="1"/>
  <c r="O225" i="5"/>
  <c r="AG225" i="1"/>
  <c r="AF225" i="1"/>
  <c r="BB121" i="3"/>
  <c r="V121" i="3"/>
  <c r="AU121" i="3"/>
  <c r="BJ121" i="3"/>
  <c r="BR121" i="3" s="1"/>
  <c r="BV121" i="3" s="1"/>
  <c r="P298" i="5"/>
  <c r="R298" i="5"/>
  <c r="Q298" i="5"/>
  <c r="Q214" i="5"/>
  <c r="P214" i="5"/>
  <c r="R214" i="5"/>
  <c r="BU191" i="3"/>
  <c r="BM191" i="3"/>
  <c r="P174" i="5"/>
  <c r="Q174" i="5"/>
  <c r="R174" i="5"/>
  <c r="P316" i="5"/>
  <c r="Q316" i="5"/>
  <c r="R316" i="5"/>
  <c r="Q283" i="5"/>
  <c r="R283" i="5"/>
  <c r="P283" i="5"/>
  <c r="R317" i="5"/>
  <c r="Q317" i="5"/>
  <c r="P317" i="5"/>
  <c r="AF344" i="1"/>
  <c r="O344" i="5"/>
  <c r="AG344" i="1"/>
  <c r="AE344" i="1"/>
  <c r="AH344" i="1"/>
  <c r="BB17" i="3"/>
  <c r="BJ17" i="3"/>
  <c r="BR17" i="3" s="1"/>
  <c r="BV17" i="3" s="1"/>
  <c r="V17" i="3"/>
  <c r="AU17" i="3"/>
  <c r="V163" i="3"/>
  <c r="AU163" i="3"/>
  <c r="BB163" i="3"/>
  <c r="BJ163" i="3"/>
  <c r="BR163" i="3" s="1"/>
  <c r="BV163" i="3" s="1"/>
  <c r="M277" i="5"/>
  <c r="N277" i="5"/>
  <c r="L277" i="5"/>
  <c r="O343" i="5"/>
  <c r="AH343" i="1"/>
  <c r="AF343" i="1"/>
  <c r="AE343" i="1"/>
  <c r="AG343" i="1"/>
  <c r="Q245" i="5"/>
  <c r="R245" i="5"/>
  <c r="P245" i="5"/>
  <c r="Q215" i="5"/>
  <c r="P215" i="5"/>
  <c r="R215" i="5"/>
  <c r="P303" i="5"/>
  <c r="Q303" i="5"/>
  <c r="R303" i="5"/>
  <c r="N273" i="5"/>
  <c r="M273" i="5"/>
  <c r="L273" i="5"/>
  <c r="AE312" i="1"/>
  <c r="AH312" i="1"/>
  <c r="AF312" i="1"/>
  <c r="O312" i="5"/>
  <c r="AG312" i="1"/>
  <c r="Q253" i="5"/>
  <c r="R253" i="5"/>
  <c r="P253" i="5"/>
  <c r="R309" i="5"/>
  <c r="P309" i="5"/>
  <c r="Q309" i="5"/>
  <c r="AE179" i="1"/>
  <c r="AH179" i="1"/>
  <c r="AF179" i="1"/>
  <c r="AG179" i="1"/>
  <c r="O179" i="5"/>
  <c r="P224" i="5"/>
  <c r="Q224" i="5"/>
  <c r="R224" i="5"/>
  <c r="Q288" i="5"/>
  <c r="P288" i="5"/>
  <c r="R288" i="5"/>
  <c r="AU133" i="3"/>
  <c r="BB133" i="3"/>
  <c r="BJ133" i="3"/>
  <c r="BR133" i="3" s="1"/>
  <c r="BV133" i="3" s="1"/>
  <c r="V133" i="3"/>
  <c r="P229" i="5"/>
  <c r="R229" i="5"/>
  <c r="Q229" i="5"/>
  <c r="R231" i="5"/>
  <c r="P231" i="5"/>
  <c r="Q231" i="5"/>
  <c r="R213" i="5"/>
  <c r="Q213" i="5"/>
  <c r="P213" i="5"/>
  <c r="R294" i="5"/>
  <c r="P294" i="5"/>
  <c r="Q294" i="5"/>
  <c r="AG329" i="1"/>
  <c r="AF329" i="1"/>
  <c r="AE329" i="1"/>
  <c r="O329" i="5"/>
  <c r="AH329" i="1"/>
  <c r="AE219" i="1"/>
  <c r="O219" i="5"/>
  <c r="AG219" i="1"/>
  <c r="AH219" i="1"/>
  <c r="AF219" i="1"/>
  <c r="P296" i="5"/>
  <c r="Q296" i="5"/>
  <c r="R296" i="5"/>
  <c r="Q227" i="5"/>
  <c r="R227" i="5"/>
  <c r="P227" i="5"/>
  <c r="P233" i="5"/>
  <c r="R233" i="5"/>
  <c r="Q233" i="5"/>
  <c r="BB89" i="3"/>
  <c r="AU89" i="3"/>
  <c r="BJ89" i="3"/>
  <c r="BR89" i="3" s="1"/>
  <c r="BV89" i="3" s="1"/>
  <c r="V89" i="3"/>
  <c r="V19" i="3"/>
  <c r="BJ19" i="3"/>
  <c r="BR19" i="3" s="1"/>
  <c r="BV19" i="3" s="1"/>
  <c r="BB19" i="3"/>
  <c r="AU19" i="3"/>
  <c r="P267" i="5"/>
  <c r="Q267" i="5"/>
  <c r="R267" i="5"/>
  <c r="P273" i="5"/>
  <c r="Q273" i="5"/>
  <c r="R273" i="5"/>
  <c r="R220" i="5"/>
  <c r="Q220" i="5"/>
  <c r="P220" i="5"/>
  <c r="AG251" i="1"/>
  <c r="AE251" i="1"/>
  <c r="O251" i="5"/>
  <c r="AF251" i="1"/>
  <c r="AH251" i="1"/>
  <c r="BB4" i="3"/>
  <c r="AU4" i="3"/>
  <c r="V4" i="3"/>
  <c r="BJ4" i="3"/>
  <c r="BR4" i="3" s="1"/>
  <c r="BV4" i="3" s="1"/>
  <c r="Q293" i="5"/>
  <c r="R293" i="5"/>
  <c r="P293" i="5"/>
  <c r="P176" i="5"/>
  <c r="R176" i="5"/>
  <c r="Q176" i="5"/>
  <c r="P270" i="5"/>
  <c r="R270" i="5"/>
  <c r="Q270" i="5"/>
  <c r="L263" i="5"/>
  <c r="N263" i="5"/>
  <c r="M263" i="5"/>
  <c r="O306" i="5"/>
  <c r="AG306" i="1"/>
  <c r="AF306" i="1"/>
  <c r="AE306" i="1"/>
  <c r="AH306" i="1"/>
  <c r="Q292" i="5"/>
  <c r="R292" i="5"/>
  <c r="P292" i="5"/>
  <c r="P315" i="5"/>
  <c r="Q315" i="5"/>
  <c r="R315" i="5"/>
  <c r="M252" i="5"/>
  <c r="L252" i="5"/>
  <c r="N252" i="5"/>
  <c r="R252" i="5"/>
  <c r="P252" i="5"/>
  <c r="Q252" i="5"/>
  <c r="O264" i="5"/>
  <c r="AG264" i="1"/>
  <c r="AF264" i="1"/>
  <c r="AH264" i="1"/>
  <c r="AE264" i="1"/>
  <c r="AG180" i="1"/>
  <c r="AF180" i="1"/>
  <c r="AH180" i="1"/>
  <c r="AE180" i="1"/>
  <c r="O180" i="5"/>
  <c r="O280" i="5"/>
  <c r="AG280" i="1"/>
  <c r="AH280" i="1"/>
  <c r="AE280" i="1"/>
  <c r="AF280" i="1"/>
  <c r="AU31" i="3"/>
  <c r="BB31" i="3"/>
  <c r="BJ31" i="3"/>
  <c r="R246" i="5"/>
  <c r="Q246" i="5"/>
  <c r="P246" i="5"/>
  <c r="Q260" i="5"/>
  <c r="P260" i="5"/>
  <c r="R260" i="5"/>
  <c r="R272" i="5"/>
  <c r="Q272" i="5"/>
  <c r="P272" i="5"/>
  <c r="R276" i="5"/>
  <c r="P276" i="5"/>
  <c r="Q276" i="5"/>
  <c r="AE256" i="1"/>
  <c r="AF256" i="1"/>
  <c r="O256" i="5"/>
  <c r="AH256" i="1"/>
  <c r="AG256" i="1"/>
  <c r="AF259" i="1"/>
  <c r="AG259" i="1"/>
  <c r="AE259" i="1"/>
  <c r="O259" i="5"/>
  <c r="AH259" i="1"/>
  <c r="P295" i="5"/>
  <c r="R295" i="5"/>
  <c r="Q295" i="5"/>
  <c r="R258" i="5"/>
  <c r="Q258" i="5"/>
  <c r="P258" i="5"/>
  <c r="AE223" i="1"/>
  <c r="AF223" i="1"/>
  <c r="AH223" i="1"/>
  <c r="AG223" i="1"/>
  <c r="O223" i="5"/>
  <c r="N253" i="5"/>
  <c r="M253" i="5"/>
  <c r="L253" i="5"/>
  <c r="Q242" i="5"/>
  <c r="P242" i="5"/>
  <c r="R242" i="5"/>
  <c r="BJ3" i="3"/>
  <c r="BR3" i="3" s="1"/>
  <c r="BV3" i="3" s="1"/>
  <c r="AU3" i="3"/>
  <c r="BB3" i="3"/>
  <c r="V3" i="3"/>
  <c r="AH217" i="1"/>
  <c r="AE217" i="1"/>
  <c r="AG217" i="1"/>
  <c r="O217" i="5"/>
  <c r="AF217" i="1"/>
  <c r="P247" i="5"/>
  <c r="Q247" i="5"/>
  <c r="R247" i="5"/>
  <c r="AH308" i="1"/>
  <c r="AF308" i="1"/>
  <c r="O308" i="5"/>
  <c r="AE308" i="1"/>
  <c r="AG308" i="1"/>
  <c r="R266" i="5"/>
  <c r="Q266" i="5"/>
  <c r="P266" i="5"/>
  <c r="P323" i="5"/>
  <c r="Q323" i="5"/>
  <c r="R323" i="5"/>
  <c r="R178" i="5"/>
  <c r="Q178" i="5"/>
  <c r="P178" i="5"/>
  <c r="Q257" i="5"/>
  <c r="R257" i="5"/>
  <c r="P257" i="5"/>
  <c r="AF248" i="1"/>
  <c r="AG248" i="1"/>
  <c r="AE248" i="1"/>
  <c r="O248" i="5"/>
  <c r="AH248" i="1"/>
  <c r="O181" i="5"/>
  <c r="AG181" i="1"/>
  <c r="AH181" i="1"/>
  <c r="AE181" i="1"/>
  <c r="AF181" i="1"/>
  <c r="BB83" i="3"/>
  <c r="V83" i="3"/>
  <c r="BJ83" i="3"/>
  <c r="BR83" i="3" s="1"/>
  <c r="BV83" i="3" s="1"/>
  <c r="AU83" i="3"/>
  <c r="AU113" i="3"/>
  <c r="BJ113" i="3"/>
  <c r="BB113" i="3"/>
  <c r="AE175" i="1"/>
  <c r="AF175" i="1"/>
  <c r="O175" i="5"/>
  <c r="AG175" i="1"/>
  <c r="AH175" i="1"/>
  <c r="BW298" i="1"/>
  <c r="P235" i="5"/>
  <c r="Q235" i="5"/>
  <c r="R235" i="5"/>
  <c r="Q277" i="5"/>
  <c r="R277" i="5"/>
  <c r="P277" i="5"/>
  <c r="O299" i="5"/>
  <c r="AG299" i="1"/>
  <c r="AF299" i="1"/>
  <c r="AE299" i="1"/>
  <c r="AH299" i="1"/>
  <c r="R263" i="5"/>
  <c r="P263" i="5"/>
  <c r="Q263" i="5"/>
  <c r="P182" i="5"/>
  <c r="R182" i="5"/>
  <c r="Q182" i="5"/>
  <c r="AF222" i="1"/>
  <c r="O222" i="5"/>
  <c r="AG222" i="1"/>
  <c r="AH222" i="1"/>
  <c r="AE222" i="1"/>
  <c r="Q240" i="5"/>
  <c r="P240" i="5"/>
  <c r="R240" i="5"/>
  <c r="Q244" i="5"/>
  <c r="P244" i="5"/>
  <c r="R244" i="5"/>
  <c r="R239" i="5"/>
  <c r="P239" i="5"/>
  <c r="Q239" i="5"/>
  <c r="AU62" i="3"/>
  <c r="BJ62" i="3"/>
  <c r="BB62" i="3"/>
  <c r="P300" i="5"/>
  <c r="R300" i="5"/>
  <c r="Q300" i="5"/>
  <c r="AE216" i="1"/>
  <c r="O216" i="5"/>
  <c r="AF216" i="1"/>
  <c r="AG216" i="1"/>
  <c r="AH216" i="1"/>
  <c r="Q281" i="5"/>
  <c r="P281" i="5"/>
  <c r="R281" i="5"/>
  <c r="P236" i="5"/>
  <c r="Q236" i="5"/>
  <c r="R236" i="5"/>
  <c r="M295" i="5"/>
  <c r="L295" i="5"/>
  <c r="N295" i="5"/>
  <c r="O324" i="5"/>
  <c r="AH324" i="1"/>
  <c r="AG324" i="1"/>
  <c r="AF324" i="1"/>
  <c r="AE324" i="1"/>
  <c r="O274" i="5"/>
  <c r="AE274" i="1"/>
  <c r="AH274" i="1"/>
  <c r="AG274" i="1"/>
  <c r="AF274" i="1"/>
  <c r="AE262" i="1"/>
  <c r="AH262" i="1"/>
  <c r="O262" i="5"/>
  <c r="AF262" i="1"/>
  <c r="AG262" i="1"/>
  <c r="Q286" i="5"/>
  <c r="R286" i="5"/>
  <c r="P286" i="5"/>
  <c r="R221" i="5"/>
  <c r="Q221" i="5"/>
  <c r="P221" i="5"/>
  <c r="AU128" i="3"/>
  <c r="BJ128" i="3"/>
  <c r="BB128" i="3"/>
  <c r="Q291" i="5"/>
  <c r="P291" i="5"/>
  <c r="R291" i="5"/>
  <c r="R269" i="5"/>
  <c r="P269" i="5"/>
  <c r="Q269" i="5"/>
  <c r="R322" i="5"/>
  <c r="P322" i="5"/>
  <c r="Q322" i="5"/>
  <c r="N251" i="5"/>
  <c r="M251" i="5"/>
  <c r="L251" i="5"/>
  <c r="R241" i="5"/>
  <c r="Q241" i="5"/>
  <c r="P241" i="5"/>
  <c r="Q234" i="5"/>
  <c r="P234" i="5"/>
  <c r="R234" i="5"/>
  <c r="S119" i="3"/>
  <c r="AT119" i="3" s="1"/>
  <c r="S109" i="3"/>
  <c r="AT109" i="3" s="1"/>
  <c r="S30" i="3"/>
  <c r="AT30" i="3" s="1"/>
  <c r="S29" i="3"/>
  <c r="AT29" i="3" s="1"/>
  <c r="S35" i="3"/>
  <c r="AT35" i="3" s="1"/>
  <c r="S61" i="3"/>
  <c r="AT61" i="3" s="1"/>
  <c r="S130" i="3"/>
  <c r="AT130" i="3" s="1"/>
  <c r="S40" i="3"/>
  <c r="AT40" i="3" s="1"/>
  <c r="S82" i="3"/>
  <c r="AT82" i="3" s="1"/>
  <c r="S138" i="3"/>
  <c r="AT138" i="3" s="1"/>
  <c r="S18" i="3"/>
  <c r="AT18" i="3" s="1"/>
  <c r="S74" i="3"/>
  <c r="AT74" i="3" s="1"/>
  <c r="S123" i="3"/>
  <c r="AT123" i="3" s="1"/>
  <c r="S120" i="3"/>
  <c r="AT120" i="3" s="1"/>
  <c r="S56" i="3"/>
  <c r="AT56" i="3" s="1"/>
  <c r="S59" i="3"/>
  <c r="AT59" i="3" s="1"/>
  <c r="S36" i="3"/>
  <c r="AT36" i="3" s="1"/>
  <c r="S90" i="3"/>
  <c r="AT90" i="3" s="1"/>
  <c r="S60" i="3"/>
  <c r="AT60" i="3" s="1"/>
  <c r="BB36" i="3" l="1"/>
  <c r="BJ36" i="3"/>
  <c r="AU36" i="3"/>
  <c r="BB138" i="3"/>
  <c r="AU138" i="3"/>
  <c r="BJ138" i="3"/>
  <c r="BR138" i="3" s="1"/>
  <c r="BV138" i="3" s="1"/>
  <c r="V138" i="3"/>
  <c r="Q222" i="5"/>
  <c r="R222" i="5"/>
  <c r="P222" i="5"/>
  <c r="P280" i="5"/>
  <c r="Q280" i="5"/>
  <c r="R280" i="5"/>
  <c r="BN89" i="3"/>
  <c r="AX89" i="3"/>
  <c r="AU82" i="3"/>
  <c r="V82" i="3"/>
  <c r="BB82" i="3"/>
  <c r="BJ82" i="3"/>
  <c r="BR82" i="3" s="1"/>
  <c r="BV82" i="3" s="1"/>
  <c r="Q217" i="5"/>
  <c r="R217" i="5"/>
  <c r="P217" i="5"/>
  <c r="BB18" i="3"/>
  <c r="BJ18" i="3"/>
  <c r="BR18" i="3" s="1"/>
  <c r="BV18" i="3" s="1"/>
  <c r="AU18" i="3"/>
  <c r="V18" i="3"/>
  <c r="BB40" i="3"/>
  <c r="AU40" i="3"/>
  <c r="BJ40" i="3"/>
  <c r="R324" i="5"/>
  <c r="P324" i="5"/>
  <c r="Q324" i="5"/>
  <c r="BN133" i="3"/>
  <c r="AX133" i="3"/>
  <c r="AU90" i="3"/>
  <c r="BJ90" i="3"/>
  <c r="BB90" i="3"/>
  <c r="AU130" i="3"/>
  <c r="BJ130" i="3"/>
  <c r="BB130" i="3"/>
  <c r="R216" i="5"/>
  <c r="Q216" i="5"/>
  <c r="P216" i="5"/>
  <c r="BR62" i="3"/>
  <c r="BV62" i="3" s="1"/>
  <c r="BN62" i="3"/>
  <c r="Q175" i="5"/>
  <c r="P175" i="5"/>
  <c r="R175" i="5"/>
  <c r="AX83" i="3"/>
  <c r="BN83" i="3"/>
  <c r="AU120" i="3"/>
  <c r="V120" i="3"/>
  <c r="BJ120" i="3"/>
  <c r="BR120" i="3" s="1"/>
  <c r="BV120" i="3" s="1"/>
  <c r="BB120" i="3"/>
  <c r="BB60" i="3"/>
  <c r="AU60" i="3"/>
  <c r="BJ60" i="3"/>
  <c r="BR60" i="3" s="1"/>
  <c r="BV60" i="3" s="1"/>
  <c r="V60" i="3"/>
  <c r="P299" i="5"/>
  <c r="Q299" i="5"/>
  <c r="R299" i="5"/>
  <c r="BR31" i="3"/>
  <c r="BV31" i="3" s="1"/>
  <c r="BN31" i="3"/>
  <c r="P344" i="5"/>
  <c r="R344" i="5"/>
  <c r="Q344" i="5"/>
  <c r="BB74" i="3"/>
  <c r="BJ74" i="3"/>
  <c r="BR74" i="3" s="1"/>
  <c r="BV74" i="3" s="1"/>
  <c r="AU74" i="3"/>
  <c r="V74" i="3"/>
  <c r="AU61" i="3"/>
  <c r="BJ61" i="3"/>
  <c r="BB61" i="3"/>
  <c r="P308" i="5"/>
  <c r="Q308" i="5"/>
  <c r="R308" i="5"/>
  <c r="AX4" i="3"/>
  <c r="BN4" i="3"/>
  <c r="Q312" i="5"/>
  <c r="R312" i="5"/>
  <c r="P312" i="5"/>
  <c r="AU35" i="3"/>
  <c r="BJ35" i="3"/>
  <c r="BB35" i="3"/>
  <c r="P274" i="5"/>
  <c r="R274" i="5"/>
  <c r="Q274" i="5"/>
  <c r="P179" i="5"/>
  <c r="R179" i="5"/>
  <c r="Q179" i="5"/>
  <c r="R343" i="5"/>
  <c r="P343" i="5"/>
  <c r="Q343" i="5"/>
  <c r="BN121" i="3"/>
  <c r="AX121" i="3"/>
  <c r="BJ59" i="3"/>
  <c r="BR59" i="3" s="1"/>
  <c r="BV59" i="3" s="1"/>
  <c r="BB59" i="3"/>
  <c r="AU59" i="3"/>
  <c r="V59" i="3"/>
  <c r="AU29" i="3"/>
  <c r="BB29" i="3"/>
  <c r="BC29" i="3" s="1"/>
  <c r="BJ29" i="3"/>
  <c r="Q248" i="5"/>
  <c r="P248" i="5"/>
  <c r="R248" i="5"/>
  <c r="AX163" i="3"/>
  <c r="BN163" i="3"/>
  <c r="BJ30" i="3"/>
  <c r="AU30" i="3"/>
  <c r="BB30" i="3"/>
  <c r="R223" i="5"/>
  <c r="P223" i="5"/>
  <c r="Q223" i="5"/>
  <c r="P219" i="5"/>
  <c r="Q219" i="5"/>
  <c r="R219" i="5"/>
  <c r="AX2" i="3"/>
  <c r="BN2" i="3"/>
  <c r="BJ56" i="3"/>
  <c r="BR56" i="3" s="1"/>
  <c r="BV56" i="3" s="1"/>
  <c r="BB56" i="3"/>
  <c r="AU56" i="3"/>
  <c r="V56" i="3"/>
  <c r="AU109" i="3"/>
  <c r="BB109" i="3"/>
  <c r="BJ109" i="3"/>
  <c r="BR109" i="3" s="1"/>
  <c r="BV109" i="3" s="1"/>
  <c r="V109" i="3"/>
  <c r="BR128" i="3"/>
  <c r="BV128" i="3" s="1"/>
  <c r="BN128" i="3"/>
  <c r="R181" i="5"/>
  <c r="Q181" i="5"/>
  <c r="P181" i="5"/>
  <c r="R259" i="5"/>
  <c r="Q259" i="5"/>
  <c r="P259" i="5"/>
  <c r="Q180" i="5"/>
  <c r="P180" i="5"/>
  <c r="R180" i="5"/>
  <c r="P306" i="5"/>
  <c r="Q306" i="5"/>
  <c r="R306" i="5"/>
  <c r="BN19" i="3"/>
  <c r="AX19" i="3"/>
  <c r="AX17" i="3"/>
  <c r="BN17" i="3"/>
  <c r="BR91" i="3"/>
  <c r="BV91" i="3" s="1"/>
  <c r="BN91" i="3"/>
  <c r="AU119" i="3"/>
  <c r="BB119" i="3"/>
  <c r="BJ119" i="3"/>
  <c r="BR119" i="3" s="1"/>
  <c r="BV119" i="3" s="1"/>
  <c r="V119" i="3"/>
  <c r="Q262" i="5"/>
  <c r="P262" i="5"/>
  <c r="R262" i="5"/>
  <c r="AX3" i="3"/>
  <c r="BN3" i="3"/>
  <c r="R256" i="5"/>
  <c r="P256" i="5"/>
  <c r="Q256" i="5"/>
  <c r="R264" i="5"/>
  <c r="Q264" i="5"/>
  <c r="P264" i="5"/>
  <c r="R251" i="5"/>
  <c r="P251" i="5"/>
  <c r="Q251" i="5"/>
  <c r="BR2" i="3"/>
  <c r="BV2" i="3" s="1"/>
  <c r="AU123" i="3"/>
  <c r="BJ123" i="3"/>
  <c r="BR123" i="3" s="1"/>
  <c r="BV123" i="3" s="1"/>
  <c r="BB123" i="3"/>
  <c r="V123" i="3"/>
  <c r="BR113" i="3"/>
  <c r="BV113" i="3" s="1"/>
  <c r="BN113" i="3"/>
  <c r="P329" i="5"/>
  <c r="R329" i="5"/>
  <c r="Q329" i="5"/>
  <c r="P225" i="5"/>
  <c r="R225" i="5"/>
  <c r="Q225" i="5"/>
  <c r="R275" i="5"/>
  <c r="Q275" i="5"/>
  <c r="P275" i="5"/>
  <c r="S57" i="3"/>
  <c r="AT57" i="3" s="1"/>
  <c r="S152" i="3"/>
  <c r="AT152" i="3" s="1"/>
  <c r="S20" i="3"/>
  <c r="AT20" i="3" s="1"/>
  <c r="S155" i="3"/>
  <c r="AT155" i="3" s="1"/>
  <c r="S156" i="3"/>
  <c r="AT156" i="3" s="1"/>
  <c r="S158" i="3"/>
  <c r="AT158" i="3" s="1"/>
  <c r="S157" i="3"/>
  <c r="AT157" i="3" s="1"/>
  <c r="S159" i="3"/>
  <c r="AT159" i="3" s="1"/>
  <c r="S154" i="3"/>
  <c r="AT154" i="3" s="1"/>
  <c r="S153" i="3"/>
  <c r="AT153" i="3" s="1"/>
  <c r="S150" i="3"/>
  <c r="AT150" i="3" s="1"/>
  <c r="S151" i="3"/>
  <c r="AT151" i="3" s="1"/>
  <c r="S139" i="3"/>
  <c r="AT139" i="3" s="1"/>
  <c r="S140" i="3"/>
  <c r="AT140" i="3" s="1"/>
  <c r="S141" i="3"/>
  <c r="AT141" i="3" s="1"/>
  <c r="S142" i="3"/>
  <c r="AT142" i="3" s="1"/>
  <c r="S143" i="3"/>
  <c r="AT143" i="3" s="1"/>
  <c r="S144" i="3"/>
  <c r="AT144" i="3" s="1"/>
  <c r="S145" i="3"/>
  <c r="AT145" i="3" s="1"/>
  <c r="S146" i="3"/>
  <c r="AT146" i="3" s="1"/>
  <c r="S14" i="3"/>
  <c r="AT14" i="3" s="1"/>
  <c r="S147" i="3"/>
  <c r="AT147" i="3" s="1"/>
  <c r="S15" i="3"/>
  <c r="AT15" i="3" s="1"/>
  <c r="S148" i="3"/>
  <c r="AT148" i="3" s="1"/>
  <c r="S16" i="3"/>
  <c r="AT16" i="3" s="1"/>
  <c r="S149" i="3"/>
  <c r="AT149" i="3" s="1"/>
  <c r="S99" i="3"/>
  <c r="AT99" i="3" s="1"/>
  <c r="S55" i="3"/>
  <c r="AT55" i="3" s="1"/>
  <c r="S58" i="3"/>
  <c r="AT58" i="3" s="1"/>
  <c r="BB149" i="3" l="1"/>
  <c r="BJ149" i="3"/>
  <c r="BR149" i="3" s="1"/>
  <c r="BV149" i="3" s="1"/>
  <c r="AU149" i="3"/>
  <c r="V149" i="3"/>
  <c r="BB147" i="3"/>
  <c r="V147" i="3"/>
  <c r="AU147" i="3"/>
  <c r="BJ147" i="3"/>
  <c r="BR147" i="3" s="1"/>
  <c r="BV147" i="3" s="1"/>
  <c r="BB150" i="3"/>
  <c r="AU150" i="3"/>
  <c r="BJ150" i="3"/>
  <c r="BR150" i="3" s="1"/>
  <c r="BV150" i="3" s="1"/>
  <c r="V150" i="3"/>
  <c r="BR36" i="3"/>
  <c r="BV36" i="3" s="1"/>
  <c r="BN36" i="3"/>
  <c r="V14" i="3"/>
  <c r="BB14" i="3"/>
  <c r="AU14" i="3"/>
  <c r="BJ14" i="3"/>
  <c r="BR14" i="3" s="1"/>
  <c r="BV14" i="3" s="1"/>
  <c r="V153" i="3"/>
  <c r="BB153" i="3"/>
  <c r="AU153" i="3"/>
  <c r="BJ153" i="3"/>
  <c r="BR153" i="3" s="1"/>
  <c r="BV153" i="3" s="1"/>
  <c r="BR30" i="3"/>
  <c r="BV30" i="3" s="1"/>
  <c r="BN30" i="3"/>
  <c r="BR35" i="3"/>
  <c r="BV35" i="3" s="1"/>
  <c r="BN35" i="3"/>
  <c r="AX82" i="3"/>
  <c r="BN82" i="3"/>
  <c r="BB55" i="3"/>
  <c r="BJ55" i="3"/>
  <c r="BR55" i="3" s="1"/>
  <c r="BV55" i="3" s="1"/>
  <c r="AU55" i="3"/>
  <c r="V55" i="3"/>
  <c r="BJ146" i="3"/>
  <c r="BR146" i="3" s="1"/>
  <c r="BV146" i="3" s="1"/>
  <c r="BB146" i="3"/>
  <c r="V146" i="3"/>
  <c r="AU146" i="3"/>
  <c r="AU154" i="3"/>
  <c r="BB154" i="3"/>
  <c r="BJ154" i="3"/>
  <c r="BR154" i="3" s="1"/>
  <c r="BV154" i="3" s="1"/>
  <c r="V154" i="3"/>
  <c r="BN74" i="3"/>
  <c r="AX74" i="3"/>
  <c r="BR130" i="3"/>
  <c r="BV130" i="3" s="1"/>
  <c r="BN130" i="3"/>
  <c r="AU58" i="3"/>
  <c r="BJ58" i="3"/>
  <c r="BR58" i="3" s="1"/>
  <c r="BV58" i="3" s="1"/>
  <c r="BB58" i="3"/>
  <c r="V58" i="3"/>
  <c r="BB145" i="3"/>
  <c r="V145" i="3"/>
  <c r="BJ145" i="3"/>
  <c r="BR145" i="3" s="1"/>
  <c r="BV145" i="3" s="1"/>
  <c r="AU145" i="3"/>
  <c r="V159" i="3"/>
  <c r="AU159" i="3"/>
  <c r="BB159" i="3"/>
  <c r="BJ159" i="3"/>
  <c r="BR159" i="3" s="1"/>
  <c r="BV159" i="3" s="1"/>
  <c r="BN109" i="3"/>
  <c r="AX109" i="3"/>
  <c r="BR40" i="3"/>
  <c r="BV40" i="3" s="1"/>
  <c r="BN40" i="3"/>
  <c r="BB144" i="3"/>
  <c r="AU144" i="3"/>
  <c r="BJ144" i="3"/>
  <c r="BR144" i="3" s="1"/>
  <c r="BV144" i="3" s="1"/>
  <c r="V144" i="3"/>
  <c r="BB157" i="3"/>
  <c r="BJ157" i="3"/>
  <c r="BR157" i="3" s="1"/>
  <c r="BV157" i="3" s="1"/>
  <c r="AU157" i="3"/>
  <c r="V157" i="3"/>
  <c r="BN120" i="3"/>
  <c r="AX120" i="3"/>
  <c r="BJ143" i="3"/>
  <c r="BR143" i="3" s="1"/>
  <c r="BV143" i="3" s="1"/>
  <c r="V143" i="3"/>
  <c r="BB143" i="3"/>
  <c r="AU143" i="3"/>
  <c r="AU158" i="3"/>
  <c r="BB158" i="3"/>
  <c r="BJ158" i="3"/>
  <c r="BR158" i="3" s="1"/>
  <c r="BV158" i="3" s="1"/>
  <c r="V158" i="3"/>
  <c r="BR90" i="3"/>
  <c r="BV90" i="3" s="1"/>
  <c r="BN90" i="3"/>
  <c r="BB142" i="3"/>
  <c r="AU142" i="3"/>
  <c r="V142" i="3"/>
  <c r="BJ142" i="3"/>
  <c r="BR142" i="3" s="1"/>
  <c r="BV142" i="3" s="1"/>
  <c r="BB156" i="3"/>
  <c r="BJ156" i="3"/>
  <c r="BR156" i="3" s="1"/>
  <c r="BV156" i="3" s="1"/>
  <c r="AU156" i="3"/>
  <c r="V156" i="3"/>
  <c r="BN119" i="3"/>
  <c r="AX119" i="3"/>
  <c r="BN138" i="3"/>
  <c r="AX138" i="3"/>
  <c r="BB99" i="3"/>
  <c r="AU99" i="3"/>
  <c r="BJ99" i="3"/>
  <c r="V99" i="3"/>
  <c r="BJ141" i="3"/>
  <c r="BR141" i="3" s="1"/>
  <c r="BV141" i="3" s="1"/>
  <c r="BB141" i="3"/>
  <c r="V141" i="3"/>
  <c r="AU141" i="3"/>
  <c r="BB155" i="3"/>
  <c r="V155" i="3"/>
  <c r="AU155" i="3"/>
  <c r="BJ155" i="3"/>
  <c r="BR155" i="3" s="1"/>
  <c r="BV155" i="3" s="1"/>
  <c r="BN56" i="3"/>
  <c r="AX56" i="3"/>
  <c r="BI29" i="3"/>
  <c r="BR29" i="3"/>
  <c r="BV29" i="3" s="1"/>
  <c r="BN29" i="3"/>
  <c r="BN18" i="3"/>
  <c r="AX18" i="3"/>
  <c r="AU140" i="3"/>
  <c r="BB140" i="3"/>
  <c r="BJ140" i="3"/>
  <c r="BR140" i="3" s="1"/>
  <c r="BV140" i="3" s="1"/>
  <c r="V140" i="3"/>
  <c r="AU20" i="3"/>
  <c r="BJ20" i="3"/>
  <c r="BR20" i="3" s="1"/>
  <c r="BV20" i="3" s="1"/>
  <c r="V20" i="3"/>
  <c r="BB20" i="3"/>
  <c r="BN123" i="3"/>
  <c r="AX123" i="3"/>
  <c r="BJ16" i="3"/>
  <c r="BR16" i="3" s="1"/>
  <c r="BV16" i="3" s="1"/>
  <c r="AU16" i="3"/>
  <c r="BB16" i="3"/>
  <c r="V16" i="3"/>
  <c r="V139" i="3"/>
  <c r="BJ139" i="3"/>
  <c r="BR139" i="3" s="1"/>
  <c r="BV139" i="3" s="1"/>
  <c r="BB139" i="3"/>
  <c r="AU139" i="3"/>
  <c r="AU152" i="3"/>
  <c r="BB152" i="3"/>
  <c r="BJ152" i="3"/>
  <c r="BR152" i="3" s="1"/>
  <c r="BV152" i="3" s="1"/>
  <c r="V152" i="3"/>
  <c r="V148" i="3"/>
  <c r="BJ148" i="3"/>
  <c r="BR148" i="3" s="1"/>
  <c r="BV148" i="3" s="1"/>
  <c r="AU148" i="3"/>
  <c r="BB148" i="3"/>
  <c r="BB57" i="3"/>
  <c r="AU57" i="3"/>
  <c r="BJ57" i="3"/>
  <c r="BR57" i="3" s="1"/>
  <c r="BV57" i="3" s="1"/>
  <c r="V57" i="3"/>
  <c r="BN59" i="3"/>
  <c r="AX59" i="3"/>
  <c r="BR61" i="3"/>
  <c r="BV61" i="3" s="1"/>
  <c r="BN61" i="3"/>
  <c r="BN60" i="3"/>
  <c r="AX60" i="3"/>
  <c r="V15" i="3"/>
  <c r="BJ15" i="3"/>
  <c r="BR15" i="3" s="1"/>
  <c r="BV15" i="3" s="1"/>
  <c r="BB15" i="3"/>
  <c r="AU15" i="3"/>
  <c r="V151" i="3"/>
  <c r="BB151" i="3"/>
  <c r="BJ151" i="3"/>
  <c r="BR151" i="3" s="1"/>
  <c r="BV151" i="3" s="1"/>
  <c r="AU151" i="3"/>
  <c r="BN151" i="3" l="1"/>
  <c r="AX151" i="3"/>
  <c r="BN146" i="3"/>
  <c r="AX146" i="3"/>
  <c r="BN57" i="3"/>
  <c r="AX57" i="3"/>
  <c r="BU29" i="3"/>
  <c r="BM29" i="3"/>
  <c r="BN159" i="3"/>
  <c r="AX159" i="3"/>
  <c r="BN153" i="3"/>
  <c r="AX153" i="3"/>
  <c r="AX155" i="3"/>
  <c r="BN155" i="3"/>
  <c r="AX147" i="3"/>
  <c r="BN147" i="3"/>
  <c r="BN143" i="3"/>
  <c r="AX143" i="3"/>
  <c r="BN55" i="3"/>
  <c r="AX55" i="3"/>
  <c r="AX15" i="3"/>
  <c r="BN15" i="3"/>
  <c r="AX145" i="3"/>
  <c r="BN145" i="3"/>
  <c r="AX149" i="3"/>
  <c r="BN149" i="3"/>
  <c r="BN139" i="3"/>
  <c r="AX139" i="3"/>
  <c r="BN141" i="3"/>
  <c r="AX141" i="3"/>
  <c r="AX157" i="3"/>
  <c r="BN157" i="3"/>
  <c r="BN14" i="3"/>
  <c r="AX14" i="3"/>
  <c r="BN16" i="3"/>
  <c r="AX16" i="3"/>
  <c r="BN20" i="3"/>
  <c r="AX20" i="3"/>
  <c r="AX156" i="3"/>
  <c r="BN156" i="3"/>
  <c r="BN58" i="3"/>
  <c r="AX58" i="3"/>
  <c r="BN154" i="3"/>
  <c r="AX154" i="3"/>
  <c r="AX152" i="3"/>
  <c r="BN152" i="3"/>
  <c r="BN148" i="3"/>
  <c r="AX148" i="3"/>
  <c r="BN99" i="3"/>
  <c r="AX99" i="3"/>
  <c r="BN150" i="3"/>
  <c r="AX150" i="3"/>
  <c r="BN140" i="3"/>
  <c r="AX140" i="3"/>
  <c r="BR99" i="3"/>
  <c r="BV99" i="3" s="1"/>
  <c r="BN158" i="3"/>
  <c r="AX158" i="3"/>
  <c r="BN144" i="3"/>
  <c r="AX144" i="3"/>
  <c r="BN142" i="3"/>
  <c r="AX142" i="3"/>
  <c r="AV316" i="3"/>
  <c r="BR260" i="1" s="1"/>
  <c r="AV326" i="3"/>
  <c r="BR253" i="1" s="1"/>
  <c r="AV298" i="3"/>
  <c r="BR269" i="1" s="1"/>
  <c r="AV229" i="3"/>
  <c r="BR283" i="1" s="1"/>
  <c r="BT168" i="1"/>
  <c r="AW168" i="1" s="1"/>
  <c r="AT168" i="1"/>
  <c r="AU168" i="1" s="1"/>
  <c r="AV281" i="3"/>
  <c r="BR274" i="1" s="1"/>
  <c r="AV321" i="3"/>
  <c r="BR308" i="1" s="1"/>
  <c r="BW308" i="1" s="1"/>
  <c r="AV323" i="3"/>
  <c r="BR303" i="1" s="1"/>
  <c r="BW303" i="1" s="1"/>
  <c r="AO168" i="1"/>
  <c r="BE168" i="1" s="1"/>
  <c r="P171" i="1"/>
  <c r="AV259" i="3"/>
  <c r="BR293" i="1" s="1"/>
  <c r="BW293" i="1" s="1"/>
  <c r="BJ171" i="1"/>
  <c r="AN171" i="1" s="1"/>
  <c r="AO171" i="1"/>
  <c r="AP171" i="1" s="1"/>
  <c r="AB171" i="5" s="1"/>
  <c r="BI168" i="1"/>
  <c r="BL168" i="1" s="1"/>
  <c r="AV180" i="3"/>
  <c r="BR180" i="1" s="1"/>
  <c r="AV284" i="3"/>
  <c r="BR275" i="1" s="1"/>
  <c r="BW275" i="1" s="1"/>
  <c r="AV258" i="3"/>
  <c r="BR298" i="1" s="1"/>
  <c r="AV202" i="3"/>
  <c r="BR213" i="1" s="1"/>
  <c r="BW213" i="1" s="1"/>
  <c r="BI171" i="1"/>
  <c r="BL171" i="1" s="1"/>
  <c r="BT171" i="1"/>
  <c r="AW171" i="1" s="1"/>
  <c r="AV300" i="3"/>
  <c r="BR271" i="1" s="1"/>
  <c r="BW271" i="1" s="1"/>
  <c r="AV262" i="3"/>
  <c r="BR242" i="1" s="1"/>
  <c r="BW242" i="1" s="1"/>
  <c r="AV265" i="3"/>
  <c r="BR294" i="1" s="1"/>
  <c r="AV204" i="3"/>
  <c r="BR215" i="1" s="1"/>
  <c r="AV289" i="3"/>
  <c r="BR222" i="1" s="1"/>
  <c r="BW222" i="1" s="1"/>
  <c r="AV325" i="3"/>
  <c r="BR273" i="1" s="1"/>
  <c r="AV280" i="3"/>
  <c r="BR280" i="1" s="1"/>
  <c r="AV283" i="3"/>
  <c r="BR248" i="1" s="1"/>
  <c r="AV297" i="3"/>
  <c r="BR282" i="1" s="1"/>
  <c r="J171" i="1"/>
  <c r="AV228" i="3"/>
  <c r="BR230" i="1" s="1"/>
  <c r="BW230" i="1" s="1"/>
  <c r="BM171" i="1"/>
  <c r="AV320" i="3"/>
  <c r="BR306" i="1" s="1"/>
  <c r="AV181" i="3"/>
  <c r="BR181" i="1" s="1"/>
  <c r="BM168" i="1"/>
  <c r="AV278" i="3"/>
  <c r="BR223" i="1" s="1"/>
  <c r="AV175" i="3"/>
  <c r="BR175" i="1" s="1"/>
  <c r="AV313" i="3"/>
  <c r="BR251" i="1" s="1"/>
  <c r="AV279" i="3"/>
  <c r="BR324" i="1" s="1"/>
  <c r="BW324" i="1" s="1"/>
  <c r="AV176" i="3"/>
  <c r="BR176" i="1" s="1"/>
  <c r="BW176" i="1" s="1"/>
  <c r="AV319" i="3"/>
  <c r="BR259" i="1" s="1"/>
  <c r="CC171" i="1"/>
  <c r="CC168" i="1"/>
  <c r="AV287" i="3"/>
  <c r="BR329" i="1" s="1"/>
  <c r="BW329" i="1" s="1"/>
  <c r="AV286" i="3"/>
  <c r="BR264" i="1" s="1"/>
  <c r="BW264" i="1" s="1"/>
  <c r="AV304" i="3"/>
  <c r="BR317" i="1" s="1"/>
  <c r="AT171" i="1"/>
  <c r="AU171" i="1" s="1"/>
  <c r="AV179" i="3"/>
  <c r="BR179" i="1" s="1"/>
  <c r="AV312" i="3"/>
  <c r="BR299" i="1" s="1"/>
  <c r="AV177" i="3"/>
  <c r="BR177" i="1" s="1"/>
  <c r="AV322" i="3"/>
  <c r="BR295" i="1" s="1"/>
  <c r="BW295" i="1" s="1"/>
  <c r="AV282" i="3"/>
  <c r="BR312" i="1" s="1"/>
  <c r="BW312" i="1" s="1"/>
  <c r="AD171" i="1"/>
  <c r="AE171" i="1" s="1"/>
  <c r="AV324" i="3"/>
  <c r="BR323" i="1" s="1"/>
  <c r="CC11" i="1"/>
  <c r="AV301" i="3"/>
  <c r="BR286" i="1" s="1"/>
  <c r="BW286" i="1" s="1"/>
  <c r="AV306" i="3"/>
  <c r="BR322" i="1" s="1"/>
  <c r="BW322" i="1" s="1"/>
  <c r="AV305" i="3"/>
  <c r="BR247" i="1" s="1"/>
  <c r="BW247" i="1" s="1"/>
  <c r="AV299" i="3"/>
  <c r="BR270" i="1" s="1"/>
  <c r="AV245" i="3"/>
  <c r="BR292" i="1" s="1"/>
  <c r="BW292" i="1" s="1"/>
  <c r="AV264" i="3"/>
  <c r="BR263" i="1" s="1"/>
  <c r="AV328" i="3"/>
  <c r="BR272" i="1" s="1"/>
  <c r="AV178" i="3"/>
  <c r="BR178" i="1" s="1"/>
  <c r="AV211" i="3"/>
  <c r="BR296" i="1" s="1"/>
  <c r="BW296" i="1" s="1"/>
  <c r="BM2" i="1"/>
  <c r="BI191" i="1"/>
  <c r="BL191" i="1" s="1"/>
  <c r="BJ13" i="1"/>
  <c r="BT185" i="1"/>
  <c r="AW185" i="1" s="1"/>
  <c r="AV327" i="3"/>
  <c r="BR281" i="1" s="1"/>
  <c r="BW281" i="1" s="1"/>
  <c r="BJ120" i="1"/>
  <c r="BE320" i="3"/>
  <c r="BL320" i="3" s="1"/>
  <c r="BE301" i="3"/>
  <c r="BL301" i="3" s="1"/>
  <c r="AT188" i="1"/>
  <c r="AU188" i="1" s="1"/>
  <c r="BM158" i="1"/>
  <c r="BJ148" i="1"/>
  <c r="BT27" i="1"/>
  <c r="AW27" i="1" s="1"/>
  <c r="BM190" i="1"/>
  <c r="BE280" i="3"/>
  <c r="BL280" i="3" s="1"/>
  <c r="BT25" i="1"/>
  <c r="AW25" i="1" s="1"/>
  <c r="BR313" i="1"/>
  <c r="AT200" i="1"/>
  <c r="AU200" i="1" s="1"/>
  <c r="BT37" i="1"/>
  <c r="AW37" i="1" s="1"/>
  <c r="AT189" i="1"/>
  <c r="AU189" i="1" s="1"/>
  <c r="AV203" i="3"/>
  <c r="BR214" i="1" s="1"/>
  <c r="BW214" i="1" s="1"/>
  <c r="BJ43" i="1"/>
  <c r="AN43" i="1" s="1"/>
  <c r="BJ144" i="1"/>
  <c r="BR342" i="1"/>
  <c r="BW342" i="1" s="1"/>
  <c r="CC194" i="1"/>
  <c r="BE200" i="3"/>
  <c r="BL200" i="3" s="1"/>
  <c r="BR339" i="1"/>
  <c r="BE251" i="3"/>
  <c r="BL251" i="3" s="1"/>
  <c r="BE321" i="3"/>
  <c r="BL321" i="3" s="1"/>
  <c r="P198" i="1"/>
  <c r="CA198" i="1" s="1"/>
  <c r="AT203" i="1"/>
  <c r="AU203" i="1" s="1"/>
  <c r="Y2" i="5"/>
  <c r="B2" i="5"/>
  <c r="AC2" i="5" s="1"/>
  <c r="CC152" i="1"/>
  <c r="BJ2" i="1"/>
  <c r="BJ187" i="1"/>
  <c r="BE307" i="3"/>
  <c r="BL307" i="3" s="1"/>
  <c r="BM207" i="1"/>
  <c r="BM173" i="1"/>
  <c r="BE313" i="3"/>
  <c r="BL313" i="3" s="1"/>
  <c r="P26" i="1"/>
  <c r="CA26" i="1" s="1"/>
  <c r="BT150" i="1"/>
  <c r="AW150" i="1" s="1"/>
  <c r="BE328" i="3"/>
  <c r="BL328" i="3" s="1"/>
  <c r="CC189" i="1"/>
  <c r="BE300" i="3"/>
  <c r="BL300" i="3" s="1"/>
  <c r="BE306" i="3"/>
  <c r="BL306" i="3" s="1"/>
  <c r="BI189" i="1"/>
  <c r="BL189" i="1" s="1"/>
  <c r="BM30" i="1"/>
  <c r="BE289" i="3"/>
  <c r="BL289" i="3" s="1"/>
  <c r="AT76" i="1"/>
  <c r="AU76" i="1" s="1"/>
  <c r="P158" i="1"/>
  <c r="CA158" i="1" s="1"/>
  <c r="BI31" i="1"/>
  <c r="BL31" i="1" s="1"/>
  <c r="AT31" i="1"/>
  <c r="AU31" i="1" s="1"/>
  <c r="BT87" i="1"/>
  <c r="AW87" i="1" s="1"/>
  <c r="BT100" i="1"/>
  <c r="AW100" i="1" s="1"/>
  <c r="BT190" i="1"/>
  <c r="AW190" i="1" s="1"/>
  <c r="BT94" i="1"/>
  <c r="AW94" i="1" s="1"/>
  <c r="BM209" i="1"/>
  <c r="BI193" i="1"/>
  <c r="BL193" i="1" s="1"/>
  <c r="CC117" i="1"/>
  <c r="BJ52" i="1"/>
  <c r="BK52" i="1" s="1"/>
  <c r="BE312" i="3"/>
  <c r="BL312" i="3" s="1"/>
  <c r="P78" i="1"/>
  <c r="CA78" i="1" s="1"/>
  <c r="P192" i="1"/>
  <c r="CA192" i="1" s="1"/>
  <c r="BT125" i="1"/>
  <c r="AW125" i="1" s="1"/>
  <c r="BI169" i="1"/>
  <c r="BL169" i="1" s="1"/>
  <c r="BE198" i="3"/>
  <c r="BL198" i="3" s="1"/>
  <c r="P44" i="1"/>
  <c r="CA44" i="1" s="1"/>
  <c r="BT139" i="1"/>
  <c r="AW139" i="1" s="1"/>
  <c r="BM187" i="1"/>
  <c r="BI30" i="1"/>
  <c r="BL30" i="1" s="1"/>
  <c r="BM122" i="1"/>
  <c r="AT93" i="1"/>
  <c r="AU93" i="1" s="1"/>
  <c r="BE205" i="3"/>
  <c r="BL205" i="3" s="1"/>
  <c r="P185" i="1"/>
  <c r="CA185" i="1" s="1"/>
  <c r="BE231" i="3"/>
  <c r="BL231" i="3" s="1"/>
  <c r="BT105" i="1"/>
  <c r="AW105" i="1" s="1"/>
  <c r="CC72" i="1"/>
  <c r="BM194" i="1"/>
  <c r="BT187" i="1"/>
  <c r="AW187" i="1" s="1"/>
  <c r="P125" i="1"/>
  <c r="CA125" i="1" s="1"/>
  <c r="AT187" i="1"/>
  <c r="AU187" i="1" s="1"/>
  <c r="P25" i="1"/>
  <c r="CA25" i="1" s="1"/>
  <c r="CC121" i="1"/>
  <c r="BM62" i="1"/>
  <c r="BI194" i="1"/>
  <c r="BL194" i="1" s="1"/>
  <c r="P100" i="1"/>
  <c r="CA100" i="1" s="1"/>
  <c r="P30" i="1"/>
  <c r="CA30" i="1" s="1"/>
  <c r="BR335" i="1"/>
  <c r="BW335" i="1" s="1"/>
  <c r="BT167" i="1"/>
  <c r="AW167" i="1" s="1"/>
  <c r="BM198" i="1"/>
  <c r="AT209" i="1"/>
  <c r="AU209" i="1" s="1"/>
  <c r="CC172" i="1"/>
  <c r="AT172" i="1"/>
  <c r="AU172" i="1" s="1"/>
  <c r="BE281" i="3"/>
  <c r="BL281" i="3" s="1"/>
  <c r="BE209" i="3"/>
  <c r="BL209" i="3" s="1"/>
  <c r="BI185" i="1"/>
  <c r="BL185" i="1" s="1"/>
  <c r="BI209" i="1"/>
  <c r="BL209" i="1" s="1"/>
  <c r="AT184" i="1"/>
  <c r="AU184" i="1" s="1"/>
  <c r="P183" i="1"/>
  <c r="CA183" i="1" s="1"/>
  <c r="AT197" i="1"/>
  <c r="AU197" i="1" s="1"/>
  <c r="BT69" i="1"/>
  <c r="AW69" i="1" s="1"/>
  <c r="BI129" i="1"/>
  <c r="BL129" i="1" s="1"/>
  <c r="BM139" i="1"/>
  <c r="AT86" i="1"/>
  <c r="AU86" i="1" s="1"/>
  <c r="BT207" i="1"/>
  <c r="AW207" i="1" s="1"/>
  <c r="BM186" i="1"/>
  <c r="BE207" i="3"/>
  <c r="BL207" i="3" s="1"/>
  <c r="BT204" i="1"/>
  <c r="AW204" i="1" s="1"/>
  <c r="BM31" i="1"/>
  <c r="AT119" i="1"/>
  <c r="AU119" i="1" s="1"/>
  <c r="BE239" i="3"/>
  <c r="BL239" i="3" s="1"/>
  <c r="AT11" i="1"/>
  <c r="AU11" i="1" s="1"/>
  <c r="P72" i="1"/>
  <c r="CA72" i="1" s="1"/>
  <c r="BI207" i="1"/>
  <c r="BL207" i="1" s="1"/>
  <c r="BE171" i="3"/>
  <c r="BL171" i="3" s="1"/>
  <c r="CC107" i="1"/>
  <c r="L107" i="1" s="1"/>
  <c r="P69" i="1"/>
  <c r="CA69" i="1" s="1"/>
  <c r="BT23" i="1"/>
  <c r="AW23" i="1" s="1"/>
  <c r="P2" i="1"/>
  <c r="CA2" i="1" s="1"/>
  <c r="BC201" i="3"/>
  <c r="BM201" i="3" s="1"/>
  <c r="CC198" i="1"/>
  <c r="BE286" i="3"/>
  <c r="BL286" i="3" s="1"/>
  <c r="CC190" i="1"/>
  <c r="BI100" i="1"/>
  <c r="BL100" i="1" s="1"/>
  <c r="BC292" i="3"/>
  <c r="BM292" i="3" s="1"/>
  <c r="BI108" i="1"/>
  <c r="BL108" i="1" s="1"/>
  <c r="CC94" i="1"/>
  <c r="BM150" i="1"/>
  <c r="P195" i="1"/>
  <c r="CA195" i="1" s="1"/>
  <c r="AT166" i="1"/>
  <c r="AU166" i="1" s="1"/>
  <c r="P38" i="1"/>
  <c r="CA38" i="1" s="1"/>
  <c r="CC62" i="1"/>
  <c r="L62" i="1" s="1"/>
  <c r="BM166" i="1"/>
  <c r="AT34" i="1"/>
  <c r="AU34" i="1" s="1"/>
  <c r="AT75" i="1"/>
  <c r="AU75" i="1" s="1"/>
  <c r="BT156" i="1"/>
  <c r="AW156" i="1" s="1"/>
  <c r="BJ3" i="1"/>
  <c r="AT199" i="1"/>
  <c r="AU199" i="1" s="1"/>
  <c r="BE238" i="3"/>
  <c r="BL238" i="3" s="1"/>
  <c r="BT173" i="1"/>
  <c r="AW173" i="1" s="1"/>
  <c r="BI170" i="1"/>
  <c r="BL170" i="1" s="1"/>
  <c r="X23" i="1"/>
  <c r="AA23" i="1" s="1"/>
  <c r="BT45" i="1"/>
  <c r="AW45" i="1" s="1"/>
  <c r="BE245" i="3"/>
  <c r="BL245" i="3" s="1"/>
  <c r="BT146" i="1"/>
  <c r="AW146" i="1" s="1"/>
  <c r="BT130" i="1"/>
  <c r="AW130" i="1" s="1"/>
  <c r="BT199" i="1"/>
  <c r="AW199" i="1" s="1"/>
  <c r="BT134" i="1"/>
  <c r="AW134" i="1" s="1"/>
  <c r="BI186" i="1"/>
  <c r="BL186" i="1" s="1"/>
  <c r="P136" i="1"/>
  <c r="CA136" i="1" s="1"/>
  <c r="CC183" i="1"/>
  <c r="BM183" i="1"/>
  <c r="P39" i="1"/>
  <c r="CA39" i="1" s="1"/>
  <c r="BR338" i="1"/>
  <c r="BI184" i="1"/>
  <c r="BL184" i="1" s="1"/>
  <c r="BE258" i="3"/>
  <c r="BL258" i="3" s="1"/>
  <c r="BM167" i="1"/>
  <c r="BE199" i="3"/>
  <c r="BL199" i="3" s="1"/>
  <c r="BI128" i="1"/>
  <c r="BL128" i="1" s="1"/>
  <c r="BI199" i="1"/>
  <c r="BL199" i="1" s="1"/>
  <c r="X58" i="1"/>
  <c r="AA58" i="1" s="1"/>
  <c r="BE264" i="3"/>
  <c r="BL264" i="3" s="1"/>
  <c r="BI26" i="1"/>
  <c r="BL26" i="1" s="1"/>
  <c r="BM138" i="1"/>
  <c r="P20" i="1"/>
  <c r="CA20" i="1" s="1"/>
  <c r="BE232" i="3"/>
  <c r="BL232" i="3" s="1"/>
  <c r="BE234" i="3"/>
  <c r="BL234" i="3" s="1"/>
  <c r="AT20" i="1"/>
  <c r="AU20" i="1" s="1"/>
  <c r="BM135" i="1"/>
  <c r="P87" i="1"/>
  <c r="CA87" i="1" s="1"/>
  <c r="BJ112" i="1"/>
  <c r="X12" i="1"/>
  <c r="K12" i="5" s="1"/>
  <c r="BJ74" i="1"/>
  <c r="BM169" i="1"/>
  <c r="BI105" i="1"/>
  <c r="BL105" i="1" s="1"/>
  <c r="BE229" i="3"/>
  <c r="BL229" i="3" s="1"/>
  <c r="BE265" i="3"/>
  <c r="BL265" i="3" s="1"/>
  <c r="AT149" i="1"/>
  <c r="AU149" i="1" s="1"/>
  <c r="BE211" i="3"/>
  <c r="BL211" i="3" s="1"/>
  <c r="X71" i="1"/>
  <c r="Y71" i="1" s="1"/>
  <c r="BI198" i="1"/>
  <c r="BL198" i="1" s="1"/>
  <c r="X193" i="1"/>
  <c r="BE233" i="3"/>
  <c r="BL233" i="3" s="1"/>
  <c r="X83" i="1"/>
  <c r="AT3" i="1"/>
  <c r="AU3" i="1" s="1"/>
  <c r="BI59" i="1"/>
  <c r="BL59" i="1" s="1"/>
  <c r="CC125" i="1"/>
  <c r="BI144" i="1"/>
  <c r="BL144" i="1" s="1"/>
  <c r="CC197" i="1"/>
  <c r="BI35" i="1"/>
  <c r="BL35" i="1" s="1"/>
  <c r="BM208" i="1"/>
  <c r="BI62" i="1"/>
  <c r="BL62" i="1" s="1"/>
  <c r="BI39" i="1"/>
  <c r="BL39" i="1" s="1"/>
  <c r="CC122" i="1"/>
  <c r="AT61" i="1"/>
  <c r="AU61" i="1" s="1"/>
  <c r="P126" i="1"/>
  <c r="CA126" i="1" s="1"/>
  <c r="BT126" i="1"/>
  <c r="AW126" i="1" s="1"/>
  <c r="CC191" i="1"/>
  <c r="CC193" i="1"/>
  <c r="CC192" i="1"/>
  <c r="P23" i="1"/>
  <c r="CA23" i="1" s="1"/>
  <c r="AT191" i="1"/>
  <c r="AU191" i="1" s="1"/>
  <c r="BM8" i="1"/>
  <c r="BI192" i="1"/>
  <c r="BL192" i="1" s="1"/>
  <c r="P189" i="1"/>
  <c r="CA189" i="1" s="1"/>
  <c r="AT169" i="1"/>
  <c r="AU169" i="1" s="1"/>
  <c r="AT124" i="1"/>
  <c r="AU124" i="1" s="1"/>
  <c r="BE272" i="3"/>
  <c r="BL272" i="3" s="1"/>
  <c r="BM172" i="1"/>
  <c r="CC18" i="1"/>
  <c r="BE282" i="3"/>
  <c r="BL282" i="3" s="1"/>
  <c r="BM189" i="1"/>
  <c r="BI102" i="1"/>
  <c r="BL102" i="1" s="1"/>
  <c r="P57" i="1"/>
  <c r="CA57" i="1" s="1"/>
  <c r="BM144" i="1"/>
  <c r="P75" i="1"/>
  <c r="CA75" i="1" s="1"/>
  <c r="BI6" i="1"/>
  <c r="BL6" i="1" s="1"/>
  <c r="CC91" i="1"/>
  <c r="BJ136" i="1"/>
  <c r="CC173" i="1"/>
  <c r="L173" i="1" s="1"/>
  <c r="AT193" i="1"/>
  <c r="AU193" i="1" s="1"/>
  <c r="BE266" i="3"/>
  <c r="BL266" i="3" s="1"/>
  <c r="BI203" i="1"/>
  <c r="BL203" i="1" s="1"/>
  <c r="X140" i="1"/>
  <c r="X89" i="1"/>
  <c r="AB89" i="1" s="1"/>
  <c r="X153" i="1"/>
  <c r="Y153" i="1" s="1"/>
  <c r="X30" i="1"/>
  <c r="X129" i="1"/>
  <c r="AA171" i="5"/>
  <c r="X171" i="5"/>
  <c r="D171" i="5"/>
  <c r="B171" i="5"/>
  <c r="E171" i="5" s="1"/>
  <c r="BE228" i="3"/>
  <c r="BL228" i="3" s="1"/>
  <c r="X59" i="1"/>
  <c r="Z59" i="1" s="1"/>
  <c r="BT192" i="1"/>
  <c r="AW192" i="1" s="1"/>
  <c r="BM37" i="1"/>
  <c r="BT197" i="1"/>
  <c r="AW197" i="1" s="1"/>
  <c r="BI5" i="1"/>
  <c r="BL5" i="1" s="1"/>
  <c r="AT58" i="1"/>
  <c r="AU58" i="1" s="1"/>
  <c r="AT150" i="1"/>
  <c r="AU150" i="1" s="1"/>
  <c r="CC42" i="1"/>
  <c r="P197" i="1"/>
  <c r="CA197" i="1" s="1"/>
  <c r="BI200" i="1"/>
  <c r="BL200" i="1" s="1"/>
  <c r="P62" i="1"/>
  <c r="CA62" i="1" s="1"/>
  <c r="CC4" i="1"/>
  <c r="L4" i="1" s="1"/>
  <c r="CC37" i="1"/>
  <c r="AT117" i="1"/>
  <c r="AU117" i="1" s="1"/>
  <c r="BE284" i="3"/>
  <c r="BL284" i="3" s="1"/>
  <c r="X14" i="1"/>
  <c r="Z14" i="1" s="1"/>
  <c r="X204" i="1"/>
  <c r="K204" i="5" s="1"/>
  <c r="X156" i="1"/>
  <c r="AA156" i="1" s="1"/>
  <c r="P84" i="1"/>
  <c r="CA84" i="1" s="1"/>
  <c r="P59" i="1"/>
  <c r="CA59" i="1" s="1"/>
  <c r="BM202" i="1"/>
  <c r="X66" i="1"/>
  <c r="K66" i="5" s="1"/>
  <c r="N66" i="5" s="1"/>
  <c r="X3" i="1"/>
  <c r="Z3" i="1" s="1"/>
  <c r="CC185" i="1"/>
  <c r="X4" i="1"/>
  <c r="K4" i="5" s="1"/>
  <c r="X78" i="1"/>
  <c r="X170" i="1"/>
  <c r="BT170" i="1"/>
  <c r="AW170" i="1" s="1"/>
  <c r="X128" i="1"/>
  <c r="Z128" i="1" s="1"/>
  <c r="X117" i="1"/>
  <c r="BE316" i="3"/>
  <c r="BL316" i="3" s="1"/>
  <c r="AT38" i="1"/>
  <c r="AU38" i="1" s="1"/>
  <c r="AT205" i="1"/>
  <c r="AU205" i="1" s="1"/>
  <c r="BI159" i="1"/>
  <c r="BL159" i="1" s="1"/>
  <c r="P42" i="1"/>
  <c r="CA42" i="1" s="1"/>
  <c r="BI173" i="1"/>
  <c r="BL173" i="1" s="1"/>
  <c r="BM17" i="1"/>
  <c r="BM110" i="1"/>
  <c r="CC128" i="1"/>
  <c r="CC93" i="1"/>
  <c r="AT27" i="1"/>
  <c r="AU27" i="1" s="1"/>
  <c r="BT203" i="1"/>
  <c r="AW203" i="1" s="1"/>
  <c r="CC59" i="1"/>
  <c r="AT35" i="1"/>
  <c r="AU35" i="1" s="1"/>
  <c r="BM7" i="1"/>
  <c r="P102" i="1"/>
  <c r="CA102" i="1" s="1"/>
  <c r="BM25" i="1"/>
  <c r="BI7" i="1"/>
  <c r="BL7" i="1" s="1"/>
  <c r="BM51" i="1"/>
  <c r="BM45" i="1"/>
  <c r="AT63" i="1"/>
  <c r="AU63" i="1" s="1"/>
  <c r="BM145" i="1"/>
  <c r="BT107" i="1"/>
  <c r="AW107" i="1" s="1"/>
  <c r="BI63" i="1"/>
  <c r="BL63" i="1" s="1"/>
  <c r="P12" i="1"/>
  <c r="CA12" i="1" s="1"/>
  <c r="BI48" i="1"/>
  <c r="BL48" i="1" s="1"/>
  <c r="AT153" i="1"/>
  <c r="AU153" i="1" s="1"/>
  <c r="CC102" i="1"/>
  <c r="BI95" i="1"/>
  <c r="BL95" i="1" s="1"/>
  <c r="P173" i="1"/>
  <c r="CA173" i="1" s="1"/>
  <c r="BI38" i="1"/>
  <c r="BL38" i="1" s="1"/>
  <c r="AT140" i="1"/>
  <c r="AU140" i="1" s="1"/>
  <c r="BT143" i="1"/>
  <c r="AW143" i="1" s="1"/>
  <c r="BT198" i="1"/>
  <c r="AW198" i="1" s="1"/>
  <c r="BI149" i="1"/>
  <c r="BL149" i="1" s="1"/>
  <c r="BM200" i="1"/>
  <c r="BM95" i="1"/>
  <c r="CC53" i="1"/>
  <c r="L53" i="1" s="1"/>
  <c r="BM137" i="1"/>
  <c r="BI67" i="1"/>
  <c r="BL67" i="1" s="1"/>
  <c r="CC84" i="1"/>
  <c r="L84" i="1" s="1"/>
  <c r="BI40" i="1"/>
  <c r="BL40" i="1" s="1"/>
  <c r="BT202" i="1"/>
  <c r="AW202" i="1" s="1"/>
  <c r="AT62" i="1"/>
  <c r="AU62" i="1" s="1"/>
  <c r="AT72" i="1"/>
  <c r="AU72" i="1" s="1"/>
  <c r="BI37" i="1"/>
  <c r="BL37" i="1" s="1"/>
  <c r="AT26" i="1"/>
  <c r="AU26" i="1" s="1"/>
  <c r="X81" i="1"/>
  <c r="AT128" i="1"/>
  <c r="AU128" i="1" s="1"/>
  <c r="P135" i="1"/>
  <c r="CA135" i="1" s="1"/>
  <c r="BM70" i="1"/>
  <c r="BT38" i="1"/>
  <c r="AW38" i="1" s="1"/>
  <c r="AT208" i="1"/>
  <c r="AU208" i="1" s="1"/>
  <c r="BI187" i="1"/>
  <c r="BL187" i="1" s="1"/>
  <c r="P162" i="1"/>
  <c r="CA162" i="1" s="1"/>
  <c r="BT119" i="1"/>
  <c r="AW119" i="1" s="1"/>
  <c r="CC129" i="1"/>
  <c r="CC54" i="1"/>
  <c r="BT8" i="1"/>
  <c r="AW8" i="1" s="1"/>
  <c r="BI86" i="1"/>
  <c r="BL86" i="1" s="1"/>
  <c r="P37" i="1"/>
  <c r="CA37" i="1" s="1"/>
  <c r="AT204" i="1"/>
  <c r="AU204" i="1" s="1"/>
  <c r="AT18" i="1"/>
  <c r="AU18" i="1" s="1"/>
  <c r="P146" i="1"/>
  <c r="CA146" i="1" s="1"/>
  <c r="BT58" i="1"/>
  <c r="AW58" i="1" s="1"/>
  <c r="P159" i="1"/>
  <c r="CA159" i="1" s="1"/>
  <c r="P5" i="1"/>
  <c r="CA5" i="1" s="1"/>
  <c r="AT36" i="1"/>
  <c r="AU36" i="1" s="1"/>
  <c r="AT78" i="1"/>
  <c r="AU78" i="1" s="1"/>
  <c r="CC65" i="1"/>
  <c r="AT138" i="1"/>
  <c r="AU138" i="1" s="1"/>
  <c r="BI61" i="1"/>
  <c r="BL61" i="1" s="1"/>
  <c r="CC133" i="1"/>
  <c r="BE195" i="3"/>
  <c r="BL195" i="3" s="1"/>
  <c r="BI157" i="1"/>
  <c r="BL157" i="1" s="1"/>
  <c r="CC103" i="1"/>
  <c r="L103" i="1" s="1"/>
  <c r="BT84" i="1"/>
  <c r="AW84" i="1" s="1"/>
  <c r="BT89" i="1"/>
  <c r="AW89" i="1" s="1"/>
  <c r="AT17" i="1"/>
  <c r="AU17" i="1" s="1"/>
  <c r="CC29" i="1"/>
  <c r="L29" i="1" s="1"/>
  <c r="BI15" i="1"/>
  <c r="BL15" i="1" s="1"/>
  <c r="BI113" i="1"/>
  <c r="BL113" i="1" s="1"/>
  <c r="AT106" i="1"/>
  <c r="AU106" i="1" s="1"/>
  <c r="AT183" i="1"/>
  <c r="AU183" i="1" s="1"/>
  <c r="BM170" i="1"/>
  <c r="AT6" i="1"/>
  <c r="AU6" i="1" s="1"/>
  <c r="BI125" i="1"/>
  <c r="BL125" i="1" s="1"/>
  <c r="BT68" i="1"/>
  <c r="AW68" i="1" s="1"/>
  <c r="AT51" i="1"/>
  <c r="AU51" i="1" s="1"/>
  <c r="BM140" i="1"/>
  <c r="BM83" i="1"/>
  <c r="BT145" i="1"/>
  <c r="AW145" i="1" s="1"/>
  <c r="BT129" i="1"/>
  <c r="AW129" i="1" s="1"/>
  <c r="CC87" i="1"/>
  <c r="L87" i="1" s="1"/>
  <c r="AT145" i="1"/>
  <c r="AU145" i="1" s="1"/>
  <c r="BT82" i="1"/>
  <c r="AW82" i="1" s="1"/>
  <c r="AT42" i="1"/>
  <c r="AU42" i="1" s="1"/>
  <c r="BM73" i="1"/>
  <c r="BM6" i="1"/>
  <c r="BI17" i="1"/>
  <c r="BL17" i="1" s="1"/>
  <c r="BM157" i="1"/>
  <c r="BI24" i="1"/>
  <c r="BL24" i="1" s="1"/>
  <c r="CC73" i="1"/>
  <c r="BM119" i="1"/>
  <c r="BI183" i="1"/>
  <c r="BL183" i="1" s="1"/>
  <c r="BI140" i="1"/>
  <c r="BL140" i="1" s="1"/>
  <c r="BM16" i="1"/>
  <c r="BM68" i="1"/>
  <c r="BT164" i="1"/>
  <c r="AW164" i="1" s="1"/>
  <c r="AT141" i="1"/>
  <c r="AU141" i="1" s="1"/>
  <c r="CC165" i="1"/>
  <c r="AT152" i="1"/>
  <c r="AU152" i="1" s="1"/>
  <c r="AT19" i="1"/>
  <c r="AU19" i="1" s="1"/>
  <c r="BI94" i="1"/>
  <c r="BL94" i="1" s="1"/>
  <c r="BM23" i="1"/>
  <c r="BM35" i="1"/>
  <c r="AT108" i="1"/>
  <c r="AU108" i="1" s="1"/>
  <c r="BT57" i="1"/>
  <c r="AW57" i="1" s="1"/>
  <c r="BI4" i="1"/>
  <c r="BL4" i="1" s="1"/>
  <c r="BM11" i="1"/>
  <c r="X126" i="1"/>
  <c r="AA126" i="1" s="1"/>
  <c r="BC290" i="3"/>
  <c r="BM290" i="3" s="1"/>
  <c r="N237" i="5" s="1"/>
  <c r="BI201" i="1"/>
  <c r="BL201" i="1" s="1"/>
  <c r="BM129" i="1"/>
  <c r="BT28" i="1"/>
  <c r="AW28" i="1" s="1"/>
  <c r="CC83" i="1"/>
  <c r="L83" i="1" s="1"/>
  <c r="P129" i="1"/>
  <c r="CA129" i="1" s="1"/>
  <c r="BM105" i="1"/>
  <c r="BM69" i="1"/>
  <c r="CC114" i="1"/>
  <c r="L114" i="1" s="1"/>
  <c r="X111" i="1"/>
  <c r="CC170" i="1"/>
  <c r="AT110" i="1"/>
  <c r="AU110" i="1" s="1"/>
  <c r="BM63" i="1"/>
  <c r="BI49" i="1"/>
  <c r="BL49" i="1" s="1"/>
  <c r="BT153" i="1"/>
  <c r="AW153" i="1" s="1"/>
  <c r="BI18" i="1"/>
  <c r="BL18" i="1" s="1"/>
  <c r="AT195" i="1"/>
  <c r="AU195" i="1" s="1"/>
  <c r="X135" i="1"/>
  <c r="Y135" i="1" s="1"/>
  <c r="BI111" i="1"/>
  <c r="BL111" i="1" s="1"/>
  <c r="AT28" i="1"/>
  <c r="AU28" i="1" s="1"/>
  <c r="BM160" i="1"/>
  <c r="AT83" i="1"/>
  <c r="AU83" i="1" s="1"/>
  <c r="BT85" i="1"/>
  <c r="AW85" i="1" s="1"/>
  <c r="BI29" i="1"/>
  <c r="BL29" i="1" s="1"/>
  <c r="AT90" i="1"/>
  <c r="AU90" i="1" s="1"/>
  <c r="BM50" i="1"/>
  <c r="P81" i="1"/>
  <c r="CA81" i="1" s="1"/>
  <c r="BT76" i="1"/>
  <c r="AW76" i="1" s="1"/>
  <c r="CC8" i="1"/>
  <c r="L8" i="1" s="1"/>
  <c r="BI146" i="1"/>
  <c r="BL146" i="1" s="1"/>
  <c r="P88" i="1"/>
  <c r="CA88" i="1" s="1"/>
  <c r="BT92" i="1"/>
  <c r="AW92" i="1" s="1"/>
  <c r="X61" i="1"/>
  <c r="BT35" i="1"/>
  <c r="AW35" i="1" s="1"/>
  <c r="AT8" i="1"/>
  <c r="AU8" i="1" s="1"/>
  <c r="CC66" i="1"/>
  <c r="BT141" i="1"/>
  <c r="AW141" i="1" s="1"/>
  <c r="BM192" i="1"/>
  <c r="P117" i="1"/>
  <c r="CA117" i="1" s="1"/>
  <c r="P51" i="1"/>
  <c r="CA51" i="1" s="1"/>
  <c r="BT169" i="1"/>
  <c r="AW169" i="1" s="1"/>
  <c r="CC38" i="1"/>
  <c r="BI79" i="1"/>
  <c r="BL79" i="1" s="1"/>
  <c r="BT72" i="1"/>
  <c r="AW72" i="1" s="1"/>
  <c r="CG171" i="1"/>
  <c r="M171" i="1"/>
  <c r="I171" i="1"/>
  <c r="AZ171" i="1"/>
  <c r="BB171" i="1"/>
  <c r="BY171" i="1"/>
  <c r="BC171" i="1"/>
  <c r="AR171" i="1"/>
  <c r="AY171" i="1"/>
  <c r="BZ171" i="1"/>
  <c r="CH171" i="1"/>
  <c r="CF171" i="1"/>
  <c r="AS171" i="1"/>
  <c r="CJ171" i="1"/>
  <c r="CE171" i="1"/>
  <c r="AV171" i="1"/>
  <c r="AC171" i="1"/>
  <c r="AX171" i="1"/>
  <c r="BH171" i="1"/>
  <c r="BA171" i="1"/>
  <c r="BV171" i="1"/>
  <c r="CB171" i="1"/>
  <c r="BO171" i="1"/>
  <c r="BQ171" i="1" s="1"/>
  <c r="CI171" i="1"/>
  <c r="AT173" i="1"/>
  <c r="AU173" i="1" s="1"/>
  <c r="X68" i="1"/>
  <c r="K68" i="5" s="1"/>
  <c r="P3" i="1"/>
  <c r="CA3" i="1" s="1"/>
  <c r="P130" i="1"/>
  <c r="CA130" i="1" s="1"/>
  <c r="AT70" i="1"/>
  <c r="AU70" i="1" s="1"/>
  <c r="BI70" i="1"/>
  <c r="BL70" i="1" s="1"/>
  <c r="BT193" i="1"/>
  <c r="AW193" i="1" s="1"/>
  <c r="BI202" i="1"/>
  <c r="BL202" i="1" s="1"/>
  <c r="BI114" i="1"/>
  <c r="BL114" i="1" s="1"/>
  <c r="CC167" i="1"/>
  <c r="L167" i="1" s="1"/>
  <c r="BM204" i="1"/>
  <c r="P134" i="1"/>
  <c r="CA134" i="1" s="1"/>
  <c r="CC140" i="1"/>
  <c r="BE292" i="3"/>
  <c r="BL292" i="3" s="1"/>
  <c r="BI76" i="1"/>
  <c r="BL76" i="1" s="1"/>
  <c r="BE197" i="3"/>
  <c r="BL197" i="3" s="1"/>
  <c r="BT135" i="1"/>
  <c r="AW135" i="1" s="1"/>
  <c r="BT201" i="1"/>
  <c r="AW201" i="1" s="1"/>
  <c r="BT67" i="1"/>
  <c r="AW67" i="1" s="1"/>
  <c r="BI42" i="1"/>
  <c r="BL42" i="1" s="1"/>
  <c r="P193" i="1"/>
  <c r="CA193" i="1" s="1"/>
  <c r="P94" i="1"/>
  <c r="CA94" i="1" s="1"/>
  <c r="BI77" i="1"/>
  <c r="BL77" i="1" s="1"/>
  <c r="BI72" i="1"/>
  <c r="BL72" i="1" s="1"/>
  <c r="BI104" i="1"/>
  <c r="BL104" i="1" s="1"/>
  <c r="BI134" i="1"/>
  <c r="BL134" i="1" s="1"/>
  <c r="P83" i="1"/>
  <c r="CA83" i="1" s="1"/>
  <c r="BM107" i="1"/>
  <c r="BI156" i="1"/>
  <c r="BL156" i="1" s="1"/>
  <c r="AT23" i="1"/>
  <c r="AU23" i="1" s="1"/>
  <c r="BI155" i="1"/>
  <c r="BL155" i="1" s="1"/>
  <c r="AT77" i="1"/>
  <c r="AU77" i="1" s="1"/>
  <c r="BT52" i="1"/>
  <c r="AW52" i="1" s="1"/>
  <c r="AT96" i="1"/>
  <c r="AU96" i="1" s="1"/>
  <c r="X124" i="1"/>
  <c r="K124" i="5" s="1"/>
  <c r="X136" i="1"/>
  <c r="X147" i="1"/>
  <c r="K147" i="5" s="1"/>
  <c r="L147" i="5" s="1"/>
  <c r="BM146" i="1"/>
  <c r="X151" i="1"/>
  <c r="AB151" i="1" s="1"/>
  <c r="X104" i="1"/>
  <c r="K104" i="5" s="1"/>
  <c r="N104" i="5" s="1"/>
  <c r="X116" i="1"/>
  <c r="K116" i="5" s="1"/>
  <c r="L116" i="5" s="1"/>
  <c r="X65" i="1"/>
  <c r="CC95" i="1"/>
  <c r="L95" i="1" s="1"/>
  <c r="X131" i="1"/>
  <c r="X93" i="1"/>
  <c r="BI188" i="1"/>
  <c r="BL188" i="1" s="1"/>
  <c r="BM59" i="1"/>
  <c r="BE271" i="3"/>
  <c r="BL271" i="3" s="1"/>
  <c r="BM156" i="1"/>
  <c r="BE298" i="3"/>
  <c r="BL298" i="3" s="1"/>
  <c r="X73" i="1"/>
  <c r="BE305" i="3"/>
  <c r="BL305" i="3" s="1"/>
  <c r="P68" i="1"/>
  <c r="CA68" i="1" s="1"/>
  <c r="BM72" i="1"/>
  <c r="BI82" i="1"/>
  <c r="BL82" i="1" s="1"/>
  <c r="P168" i="1"/>
  <c r="BI205" i="1"/>
  <c r="BL205" i="1" s="1"/>
  <c r="X8" i="1"/>
  <c r="AT207" i="1"/>
  <c r="AU207" i="1" s="1"/>
  <c r="AT167" i="1"/>
  <c r="AU167" i="1" s="1"/>
  <c r="S105" i="1"/>
  <c r="U105" i="1" s="1"/>
  <c r="X9" i="1"/>
  <c r="BI204" i="1"/>
  <c r="BL204" i="1" s="1"/>
  <c r="BM191" i="1"/>
  <c r="CC23" i="1"/>
  <c r="CC44" i="1"/>
  <c r="X123" i="1"/>
  <c r="CC105" i="1"/>
  <c r="P121" i="1"/>
  <c r="CA121" i="1" s="1"/>
  <c r="AT192" i="1"/>
  <c r="AU192" i="1" s="1"/>
  <c r="P190" i="1"/>
  <c r="CA190" i="1" s="1"/>
  <c r="BM159" i="1"/>
  <c r="AT43" i="1"/>
  <c r="AU43" i="1" s="1"/>
  <c r="P191" i="1"/>
  <c r="CA191" i="1" s="1"/>
  <c r="BM26" i="1"/>
  <c r="BI121" i="1"/>
  <c r="BL121" i="1" s="1"/>
  <c r="AT135" i="1"/>
  <c r="AU135" i="1" s="1"/>
  <c r="P145" i="1"/>
  <c r="CA145" i="1" s="1"/>
  <c r="BM89" i="1"/>
  <c r="BI25" i="1"/>
  <c r="BL25" i="1" s="1"/>
  <c r="BT158" i="1"/>
  <c r="AW158" i="1" s="1"/>
  <c r="AT157" i="1"/>
  <c r="AU157" i="1" s="1"/>
  <c r="BT160" i="1"/>
  <c r="AW160" i="1" s="1"/>
  <c r="P31" i="1"/>
  <c r="CA31" i="1" s="1"/>
  <c r="AT201" i="1"/>
  <c r="AU201" i="1" s="1"/>
  <c r="P82" i="1"/>
  <c r="CA82" i="1" s="1"/>
  <c r="BI89" i="1"/>
  <c r="BL89" i="1" s="1"/>
  <c r="BI166" i="1"/>
  <c r="BL166" i="1" s="1"/>
  <c r="CC109" i="1"/>
  <c r="BT108" i="1"/>
  <c r="AW108" i="1" s="1"/>
  <c r="BT12" i="1"/>
  <c r="AW12" i="1" s="1"/>
  <c r="AT47" i="1"/>
  <c r="AU47" i="1" s="1"/>
  <c r="P56" i="1"/>
  <c r="CA56" i="1" s="1"/>
  <c r="BI135" i="1"/>
  <c r="BL135" i="1" s="1"/>
  <c r="P47" i="1"/>
  <c r="P32" i="1"/>
  <c r="X75" i="1"/>
  <c r="Y75" i="1" s="1"/>
  <c r="X103" i="1"/>
  <c r="X74" i="1"/>
  <c r="K74" i="5" s="1"/>
  <c r="X139" i="1"/>
  <c r="Y139" i="1" s="1"/>
  <c r="X172" i="1"/>
  <c r="X18" i="1"/>
  <c r="Y18" i="1" s="1"/>
  <c r="X144" i="1"/>
  <c r="X166" i="1"/>
  <c r="K166" i="5" s="1"/>
  <c r="BI107" i="1"/>
  <c r="BL107" i="1" s="1"/>
  <c r="BI88" i="1"/>
  <c r="BL88" i="1" s="1"/>
  <c r="AT114" i="1"/>
  <c r="AU114" i="1" s="1"/>
  <c r="X167" i="1"/>
  <c r="X10" i="1"/>
  <c r="Y10" i="1" s="1"/>
  <c r="X168" i="5"/>
  <c r="AA168" i="5"/>
  <c r="B168" i="5"/>
  <c r="E168" i="5" s="1"/>
  <c r="AC168" i="5"/>
  <c r="X38" i="1"/>
  <c r="X63" i="1"/>
  <c r="Z63" i="1" s="1"/>
  <c r="AT202" i="1"/>
  <c r="AU202" i="1" s="1"/>
  <c r="X163" i="1"/>
  <c r="AA163" i="1" s="1"/>
  <c r="X188" i="1"/>
  <c r="Z188" i="1" s="1"/>
  <c r="AI171" i="1"/>
  <c r="X152" i="1"/>
  <c r="X110" i="1"/>
  <c r="Z110" i="1" s="1"/>
  <c r="BM165" i="1"/>
  <c r="X84" i="1"/>
  <c r="K84" i="5" s="1"/>
  <c r="P186" i="1"/>
  <c r="CA186" i="1" s="1"/>
  <c r="BI172" i="1"/>
  <c r="BL172" i="1" s="1"/>
  <c r="CC119" i="1"/>
  <c r="L119" i="1" s="1"/>
  <c r="P58" i="1"/>
  <c r="CA58" i="1" s="1"/>
  <c r="AT130" i="1"/>
  <c r="AU130" i="1" s="1"/>
  <c r="X122" i="1"/>
  <c r="AB122" i="1" s="1"/>
  <c r="BM102" i="1"/>
  <c r="AT116" i="1"/>
  <c r="AU116" i="1" s="1"/>
  <c r="BI122" i="1"/>
  <c r="BL122" i="1" s="1"/>
  <c r="CC169" i="1"/>
  <c r="AT105" i="1"/>
  <c r="AU105" i="1" s="1"/>
  <c r="BM36" i="1"/>
  <c r="AT67" i="1"/>
  <c r="AU67" i="1" s="1"/>
  <c r="BE299" i="3"/>
  <c r="BL299" i="3" s="1"/>
  <c r="BM199" i="1"/>
  <c r="S171" i="1"/>
  <c r="BM78" i="1"/>
  <c r="BT188" i="1"/>
  <c r="AW188" i="1" s="1"/>
  <c r="CC150" i="1"/>
  <c r="X77" i="1"/>
  <c r="Z77" i="1" s="1"/>
  <c r="BT191" i="1"/>
  <c r="AW191" i="1" s="1"/>
  <c r="AT88" i="1"/>
  <c r="AU88" i="1" s="1"/>
  <c r="P140" i="1"/>
  <c r="CA140" i="1" s="1"/>
  <c r="BI3" i="1"/>
  <c r="BL3" i="1" s="1"/>
  <c r="BT88" i="1"/>
  <c r="AW88" i="1" s="1"/>
  <c r="BT30" i="1"/>
  <c r="AW30" i="1" s="1"/>
  <c r="AT95" i="1"/>
  <c r="AU95" i="1" s="1"/>
  <c r="P150" i="1"/>
  <c r="CA150" i="1" s="1"/>
  <c r="P95" i="1"/>
  <c r="CA95" i="1" s="1"/>
  <c r="BT136" i="1"/>
  <c r="AW136" i="1" s="1"/>
  <c r="CC164" i="1"/>
  <c r="L164" i="1" s="1"/>
  <c r="BT18" i="1"/>
  <c r="AW18" i="1" s="1"/>
  <c r="BI109" i="1"/>
  <c r="BL109" i="1" s="1"/>
  <c r="CC80" i="1"/>
  <c r="P144" i="1"/>
  <c r="CA144" i="1" s="1"/>
  <c r="P109" i="1"/>
  <c r="CA109" i="1" s="1"/>
  <c r="BM90" i="1"/>
  <c r="BT115" i="1"/>
  <c r="AW115" i="1" s="1"/>
  <c r="BI120" i="1"/>
  <c r="BL120" i="1" s="1"/>
  <c r="BM103" i="1"/>
  <c r="BM126" i="1"/>
  <c r="AT66" i="1"/>
  <c r="AU66" i="1" s="1"/>
  <c r="AT12" i="1"/>
  <c r="AU12" i="1" s="1"/>
  <c r="BI58" i="1"/>
  <c r="BL58" i="1" s="1"/>
  <c r="X133" i="1"/>
  <c r="K133" i="5" s="1"/>
  <c r="BM205" i="1"/>
  <c r="X76" i="1"/>
  <c r="P133" i="1"/>
  <c r="CA133" i="1" s="1"/>
  <c r="BT184" i="1"/>
  <c r="AW184" i="1" s="1"/>
  <c r="AT196" i="1"/>
  <c r="AU196" i="1" s="1"/>
  <c r="P86" i="1"/>
  <c r="CA86" i="1" s="1"/>
  <c r="P90" i="1"/>
  <c r="CA90" i="1" s="1"/>
  <c r="X20" i="1"/>
  <c r="Z20" i="1" s="1"/>
  <c r="P165" i="1"/>
  <c r="CA165" i="1" s="1"/>
  <c r="P141" i="1"/>
  <c r="CA141" i="1" s="1"/>
  <c r="BM66" i="1"/>
  <c r="AT82" i="1"/>
  <c r="AU82" i="1" s="1"/>
  <c r="BM4" i="1"/>
  <c r="BI158" i="1"/>
  <c r="BL158" i="1" s="1"/>
  <c r="BI197" i="1"/>
  <c r="BL197" i="1" s="1"/>
  <c r="BT152" i="1"/>
  <c r="AW152" i="1" s="1"/>
  <c r="BM124" i="1"/>
  <c r="BT200" i="1"/>
  <c r="AW200" i="1" s="1"/>
  <c r="BE308" i="3"/>
  <c r="BL308" i="3" s="1"/>
  <c r="BT62" i="1"/>
  <c r="AW62" i="1" s="1"/>
  <c r="BT61" i="1"/>
  <c r="AW61" i="1" s="1"/>
  <c r="AT118" i="1"/>
  <c r="AU118" i="1" s="1"/>
  <c r="BI195" i="1"/>
  <c r="BL195" i="1" s="1"/>
  <c r="P45" i="1"/>
  <c r="CA45" i="1" s="1"/>
  <c r="BM38" i="1"/>
  <c r="AT139" i="1"/>
  <c r="AU139" i="1" s="1"/>
  <c r="AT186" i="1"/>
  <c r="AU186" i="1" s="1"/>
  <c r="CC118" i="1"/>
  <c r="P149" i="1"/>
  <c r="CA149" i="1" s="1"/>
  <c r="BT70" i="1"/>
  <c r="AW70" i="1" s="1"/>
  <c r="BE293" i="3"/>
  <c r="CC40" i="1"/>
  <c r="BI60" i="1"/>
  <c r="BL60" i="1" s="1"/>
  <c r="AT85" i="1"/>
  <c r="AU85" i="1" s="1"/>
  <c r="BT151" i="1"/>
  <c r="AW151" i="1" s="1"/>
  <c r="P8" i="1"/>
  <c r="CA8" i="1" s="1"/>
  <c r="CC7" i="1"/>
  <c r="P22" i="1"/>
  <c r="CA22" i="1" s="1"/>
  <c r="P147" i="1"/>
  <c r="CA147" i="1" s="1"/>
  <c r="P204" i="1"/>
  <c r="CC10" i="1"/>
  <c r="X106" i="1"/>
  <c r="X98" i="1"/>
  <c r="X47" i="1"/>
  <c r="X150" i="1"/>
  <c r="Z150" i="1" s="1"/>
  <c r="CC35" i="1"/>
  <c r="L35" i="1" s="1"/>
  <c r="BE273" i="3"/>
  <c r="BL273" i="3" s="1"/>
  <c r="X91" i="1"/>
  <c r="AA91" i="1" s="1"/>
  <c r="BT95" i="1"/>
  <c r="AW95" i="1" s="1"/>
  <c r="AT15" i="1"/>
  <c r="AU15" i="1" s="1"/>
  <c r="P128" i="1"/>
  <c r="CA128" i="1" s="1"/>
  <c r="BT209" i="1"/>
  <c r="AW209" i="1" s="1"/>
  <c r="BI141" i="1"/>
  <c r="BL141" i="1" s="1"/>
  <c r="BI130" i="1"/>
  <c r="BL130" i="1" s="1"/>
  <c r="P188" i="1"/>
  <c r="CA188" i="1" s="1"/>
  <c r="BI153" i="1"/>
  <c r="BL153" i="1" s="1"/>
  <c r="AT2" i="1"/>
  <c r="AU2" i="1" s="1"/>
  <c r="BE257" i="3"/>
  <c r="BL257" i="3" s="1"/>
  <c r="AS168" i="1"/>
  <c r="AZ168" i="1"/>
  <c r="BY168" i="1"/>
  <c r="BO168" i="1"/>
  <c r="BQ168" i="1" s="1"/>
  <c r="AC168" i="1"/>
  <c r="BC168" i="1"/>
  <c r="AX168" i="1"/>
  <c r="BA168" i="1"/>
  <c r="CI168" i="1"/>
  <c r="BB168" i="1"/>
  <c r="AR168" i="1"/>
  <c r="M168" i="1"/>
  <c r="CB168" i="1"/>
  <c r="CJ168" i="1"/>
  <c r="BV168" i="1"/>
  <c r="CF168" i="1"/>
  <c r="CH168" i="1"/>
  <c r="I168" i="1"/>
  <c r="AY168" i="1"/>
  <c r="CG168" i="1"/>
  <c r="CE168" i="1"/>
  <c r="AV168" i="1"/>
  <c r="BI167" i="1"/>
  <c r="BL167" i="1" s="1"/>
  <c r="BE283" i="3"/>
  <c r="BL283" i="3" s="1"/>
  <c r="A171" i="1"/>
  <c r="A171" i="5" s="1"/>
  <c r="X171" i="1"/>
  <c r="BT157" i="1"/>
  <c r="AW157" i="1" s="1"/>
  <c r="BM42" i="1"/>
  <c r="BT183" i="1"/>
  <c r="AW183" i="1" s="1"/>
  <c r="P194" i="1"/>
  <c r="CA194" i="1" s="1"/>
  <c r="BM184" i="1"/>
  <c r="BT196" i="1"/>
  <c r="AW196" i="1" s="1"/>
  <c r="AT107" i="1"/>
  <c r="AU107" i="1" s="1"/>
  <c r="BT78" i="1"/>
  <c r="AW78" i="1" s="1"/>
  <c r="BI45" i="1"/>
  <c r="BL45" i="1" s="1"/>
  <c r="BT55" i="1"/>
  <c r="AW55" i="1" s="1"/>
  <c r="BI124" i="1"/>
  <c r="BL124" i="1" s="1"/>
  <c r="BI11" i="1"/>
  <c r="BL11" i="1" s="1"/>
  <c r="BI83" i="1"/>
  <c r="BL83" i="1" s="1"/>
  <c r="AT198" i="1"/>
  <c r="AU198" i="1" s="1"/>
  <c r="AT170" i="1"/>
  <c r="AU170" i="1" s="1"/>
  <c r="BI50" i="1"/>
  <c r="BL50" i="1" s="1"/>
  <c r="BM54" i="1"/>
  <c r="BT75" i="1"/>
  <c r="AW75" i="1" s="1"/>
  <c r="BT59" i="1"/>
  <c r="AW59" i="1" s="1"/>
  <c r="AT89" i="1"/>
  <c r="AU89" i="1" s="1"/>
  <c r="BT54" i="1"/>
  <c r="AW54" i="1" s="1"/>
  <c r="BM5" i="1"/>
  <c r="CC104" i="1"/>
  <c r="L104" i="1" s="1"/>
  <c r="AT25" i="1"/>
  <c r="AU25" i="1" s="1"/>
  <c r="BI12" i="1"/>
  <c r="BL12" i="1" s="1"/>
  <c r="P16" i="1"/>
  <c r="CA16" i="1" s="1"/>
  <c r="BT77" i="1"/>
  <c r="AW77" i="1" s="1"/>
  <c r="BI165" i="1"/>
  <c r="BL165" i="1" s="1"/>
  <c r="AT92" i="1"/>
  <c r="AU92" i="1" s="1"/>
  <c r="CC158" i="1"/>
  <c r="L158" i="1" s="1"/>
  <c r="BT42" i="1"/>
  <c r="AW42" i="1" s="1"/>
  <c r="BI116" i="1"/>
  <c r="BL116" i="1" s="1"/>
  <c r="CC108" i="1"/>
  <c r="L108" i="1" s="1"/>
  <c r="CC46" i="1"/>
  <c r="BE262" i="3"/>
  <c r="BL262" i="3" s="1"/>
  <c r="BT50" i="1"/>
  <c r="AW50" i="1" s="1"/>
  <c r="BM128" i="1"/>
  <c r="P67" i="1"/>
  <c r="CA67" i="1" s="1"/>
  <c r="BI196" i="1"/>
  <c r="BL196" i="1" s="1"/>
  <c r="AT16" i="1"/>
  <c r="AU16" i="1" s="1"/>
  <c r="BM75" i="1"/>
  <c r="BE302" i="3"/>
  <c r="BL302" i="3" s="1"/>
  <c r="BI43" i="1"/>
  <c r="BL43" i="1" s="1"/>
  <c r="AT206" i="1"/>
  <c r="AU206" i="1" s="1"/>
  <c r="X17" i="1"/>
  <c r="CC32" i="1"/>
  <c r="BI55" i="1"/>
  <c r="BL55" i="1" s="1"/>
  <c r="P184" i="1"/>
  <c r="CA184" i="1" s="1"/>
  <c r="BT4" i="1"/>
  <c r="AW4" i="1" s="1"/>
  <c r="BI139" i="1"/>
  <c r="BL139" i="1" s="1"/>
  <c r="BT11" i="1"/>
  <c r="AW11" i="1" s="1"/>
  <c r="BT189" i="1"/>
  <c r="AW189" i="1" s="1"/>
  <c r="BM134" i="1"/>
  <c r="BT13" i="1"/>
  <c r="AW13" i="1" s="1"/>
  <c r="X90" i="1"/>
  <c r="BI150" i="1"/>
  <c r="BL150" i="1" s="1"/>
  <c r="BT26" i="1"/>
  <c r="AW26" i="1" s="1"/>
  <c r="BT39" i="1"/>
  <c r="AW39" i="1" s="1"/>
  <c r="AT100" i="1"/>
  <c r="AU100" i="1" s="1"/>
  <c r="AT5" i="1"/>
  <c r="AU5" i="1" s="1"/>
  <c r="AT165" i="1"/>
  <c r="AU165" i="1" s="1"/>
  <c r="AT7" i="1"/>
  <c r="AU7" i="1" s="1"/>
  <c r="AT164" i="1"/>
  <c r="AU164" i="1" s="1"/>
  <c r="AT80" i="1"/>
  <c r="AU80" i="1" s="1"/>
  <c r="BM203" i="1"/>
  <c r="BT132" i="1"/>
  <c r="AW132" i="1" s="1"/>
  <c r="BI145" i="1"/>
  <c r="BL145" i="1" s="1"/>
  <c r="CC58" i="1"/>
  <c r="L58" i="1" s="1"/>
  <c r="BM155" i="1"/>
  <c r="CC47" i="1"/>
  <c r="BI27" i="1"/>
  <c r="BL27" i="1" s="1"/>
  <c r="P60" i="1"/>
  <c r="CA60" i="1" s="1"/>
  <c r="CC50" i="1"/>
  <c r="BT186" i="1"/>
  <c r="AW186" i="1" s="1"/>
  <c r="BI73" i="1"/>
  <c r="BL73" i="1" s="1"/>
  <c r="P157" i="1"/>
  <c r="CA157" i="1" s="1"/>
  <c r="X37" i="1"/>
  <c r="X99" i="1"/>
  <c r="AB99" i="1" s="1"/>
  <c r="X119" i="1"/>
  <c r="X145" i="1"/>
  <c r="X199" i="1"/>
  <c r="Z199" i="1" s="1"/>
  <c r="BM99" i="1"/>
  <c r="AT125" i="1"/>
  <c r="AU125" i="1" s="1"/>
  <c r="AT69" i="1"/>
  <c r="AU69" i="1" s="1"/>
  <c r="CC57" i="1"/>
  <c r="X130" i="1"/>
  <c r="X203" i="1"/>
  <c r="AB203" i="1" s="1"/>
  <c r="X201" i="1"/>
  <c r="Y201" i="1" s="1"/>
  <c r="P114" i="1"/>
  <c r="CA114" i="1" s="1"/>
  <c r="BM32" i="1"/>
  <c r="X16" i="1"/>
  <c r="Y16" i="1" s="1"/>
  <c r="S168" i="1"/>
  <c r="U168" i="1" s="1"/>
  <c r="BJ168" i="1"/>
  <c r="BJ105" i="1"/>
  <c r="CC76" i="1"/>
  <c r="L76" i="1" s="1"/>
  <c r="AT146" i="1"/>
  <c r="AU146" i="1" s="1"/>
  <c r="X21" i="1"/>
  <c r="AB21" i="1" s="1"/>
  <c r="X173" i="1"/>
  <c r="K173" i="5" s="1"/>
  <c r="X149" i="1"/>
  <c r="AB149" i="1" s="1"/>
  <c r="X118" i="1"/>
  <c r="AB118" i="1" s="1"/>
  <c r="X138" i="1"/>
  <c r="AA138" i="1" s="1"/>
  <c r="X94" i="1"/>
  <c r="Z94" i="1" s="1"/>
  <c r="BT165" i="1"/>
  <c r="AW165" i="1" s="1"/>
  <c r="BT194" i="1"/>
  <c r="AW194" i="1" s="1"/>
  <c r="P105" i="1"/>
  <c r="X24" i="1"/>
  <c r="X161" i="1"/>
  <c r="Y161" i="1" s="1"/>
  <c r="BE314" i="3"/>
  <c r="BL314" i="3" s="1"/>
  <c r="J304" i="5" s="1"/>
  <c r="X64" i="1"/>
  <c r="X72" i="1"/>
  <c r="P119" i="1"/>
  <c r="CA119" i="1" s="1"/>
  <c r="AT55" i="1"/>
  <c r="AU55" i="1" s="1"/>
  <c r="BI57" i="1"/>
  <c r="BL57" i="1" s="1"/>
  <c r="BI208" i="1"/>
  <c r="BL208" i="1" s="1"/>
  <c r="BI69" i="1"/>
  <c r="BL69" i="1" s="1"/>
  <c r="BT172" i="1"/>
  <c r="AW172" i="1" s="1"/>
  <c r="AT94" i="1"/>
  <c r="AU94" i="1" s="1"/>
  <c r="CC195" i="1"/>
  <c r="BT44" i="1"/>
  <c r="AW44" i="1" s="1"/>
  <c r="X187" i="1"/>
  <c r="BT99" i="1"/>
  <c r="AW99" i="1" s="1"/>
  <c r="P73" i="1"/>
  <c r="CA73" i="1" s="1"/>
  <c r="BI119" i="1"/>
  <c r="BL119" i="1" s="1"/>
  <c r="P139" i="1"/>
  <c r="CA139" i="1" s="1"/>
  <c r="CC131" i="1"/>
  <c r="AT144" i="1"/>
  <c r="AU144" i="1" s="1"/>
  <c r="BT149" i="1"/>
  <c r="AW149" i="1" s="1"/>
  <c r="P49" i="1"/>
  <c r="CA49" i="1" s="1"/>
  <c r="CC34" i="1"/>
  <c r="L34" i="1" s="1"/>
  <c r="BI75" i="1"/>
  <c r="BL75" i="1" s="1"/>
  <c r="AT121" i="1"/>
  <c r="AU121" i="1" s="1"/>
  <c r="BT205" i="1"/>
  <c r="AW205" i="1" s="1"/>
  <c r="BM58" i="1"/>
  <c r="P17" i="1"/>
  <c r="CA17" i="1" s="1"/>
  <c r="BI160" i="1"/>
  <c r="BL160" i="1" s="1"/>
  <c r="BT41" i="1"/>
  <c r="AW41" i="1" s="1"/>
  <c r="BT93" i="1"/>
  <c r="AW93" i="1" s="1"/>
  <c r="AT74" i="1"/>
  <c r="AU74" i="1" s="1"/>
  <c r="P199" i="1"/>
  <c r="X195" i="1"/>
  <c r="Z195" i="1" s="1"/>
  <c r="BE274" i="3"/>
  <c r="BL274" i="3" s="1"/>
  <c r="J279" i="5" s="1"/>
  <c r="X35" i="1"/>
  <c r="Y35" i="1" s="1"/>
  <c r="X168" i="1"/>
  <c r="AA168" i="1" s="1"/>
  <c r="X146" i="1"/>
  <c r="Y146" i="1" s="1"/>
  <c r="AT158" i="1"/>
  <c r="AU158" i="1" s="1"/>
  <c r="X143" i="1"/>
  <c r="K143" i="5" s="1"/>
  <c r="BM55" i="1"/>
  <c r="X69" i="1"/>
  <c r="X36" i="1"/>
  <c r="BI115" i="1"/>
  <c r="BL115" i="1" s="1"/>
  <c r="A168" i="1"/>
  <c r="A168" i="5" s="1"/>
  <c r="J168" i="1"/>
  <c r="X102" i="1"/>
  <c r="AT129" i="1"/>
  <c r="AU129" i="1" s="1"/>
  <c r="CC68" i="1"/>
  <c r="AO114" i="1"/>
  <c r="BE114" i="1" s="1"/>
  <c r="X191" i="1"/>
  <c r="Z191" i="1" s="1"/>
  <c r="P76" i="1"/>
  <c r="CA76" i="1" s="1"/>
  <c r="AT4" i="1"/>
  <c r="AU4" i="1" s="1"/>
  <c r="BM82" i="1"/>
  <c r="BI164" i="1"/>
  <c r="BL164" i="1" s="1"/>
  <c r="BT102" i="1"/>
  <c r="AW102" i="1" s="1"/>
  <c r="BE323" i="3"/>
  <c r="BL323" i="3" s="1"/>
  <c r="J303" i="5" s="1"/>
  <c r="CC98" i="1"/>
  <c r="L98" i="1" s="1"/>
  <c r="BI96" i="1"/>
  <c r="BL96" i="1" s="1"/>
  <c r="AT190" i="1"/>
  <c r="AU190" i="1" s="1"/>
  <c r="BT124" i="1"/>
  <c r="AW124" i="1" s="1"/>
  <c r="BM141" i="1"/>
  <c r="BT32" i="1"/>
  <c r="AW32" i="1" s="1"/>
  <c r="BM18" i="1"/>
  <c r="AT156" i="1"/>
  <c r="AU156" i="1" s="1"/>
  <c r="BM15" i="1"/>
  <c r="P36" i="1"/>
  <c r="CA36" i="1" s="1"/>
  <c r="BM3" i="1"/>
  <c r="CC130" i="1"/>
  <c r="L130" i="1" s="1"/>
  <c r="BT138" i="1"/>
  <c r="AW138" i="1" s="1"/>
  <c r="BM84" i="1"/>
  <c r="AT87" i="1"/>
  <c r="AU87" i="1" s="1"/>
  <c r="P93" i="1"/>
  <c r="CA93" i="1" s="1"/>
  <c r="BT80" i="1"/>
  <c r="AW80" i="1" s="1"/>
  <c r="BI28" i="1"/>
  <c r="BL28" i="1" s="1"/>
  <c r="P120" i="1"/>
  <c r="CA120" i="1" s="1"/>
  <c r="BT98" i="1"/>
  <c r="AW98" i="1" s="1"/>
  <c r="BM56" i="1"/>
  <c r="BI23" i="1"/>
  <c r="BL23" i="1" s="1"/>
  <c r="P161" i="1"/>
  <c r="CA161" i="1" s="1"/>
  <c r="BI147" i="1"/>
  <c r="BL147" i="1" s="1"/>
  <c r="BT60" i="1"/>
  <c r="AW60" i="1" s="1"/>
  <c r="BT208" i="1"/>
  <c r="AW208" i="1" s="1"/>
  <c r="BM117" i="1"/>
  <c r="BI47" i="1"/>
  <c r="BL47" i="1" s="1"/>
  <c r="BE304" i="3"/>
  <c r="BL304" i="3" s="1"/>
  <c r="AT14" i="1"/>
  <c r="AU14" i="1" s="1"/>
  <c r="AT48" i="1"/>
  <c r="AU48" i="1" s="1"/>
  <c r="BM131" i="1"/>
  <c r="BT142" i="1"/>
  <c r="AW142" i="1" s="1"/>
  <c r="AT133" i="1"/>
  <c r="AU133" i="1" s="1"/>
  <c r="BI41" i="1"/>
  <c r="BL41" i="1" s="1"/>
  <c r="P118" i="1"/>
  <c r="CA118" i="1" s="1"/>
  <c r="AT29" i="1"/>
  <c r="AU29" i="1" s="1"/>
  <c r="P15" i="1"/>
  <c r="CA15" i="1" s="1"/>
  <c r="BE319" i="3"/>
  <c r="BL319" i="3" s="1"/>
  <c r="BM93" i="1"/>
  <c r="P155" i="1"/>
  <c r="CA155" i="1" s="1"/>
  <c r="BT159" i="1"/>
  <c r="AW159" i="1" s="1"/>
  <c r="BI190" i="1"/>
  <c r="BL190" i="1" s="1"/>
  <c r="BT65" i="1"/>
  <c r="AW65" i="1" s="1"/>
  <c r="BM152" i="1"/>
  <c r="BM46" i="1"/>
  <c r="CC22" i="1"/>
  <c r="BT81" i="1"/>
  <c r="AW81" i="1" s="1"/>
  <c r="BT106" i="1"/>
  <c r="AW106" i="1" s="1"/>
  <c r="BT133" i="1"/>
  <c r="AW133" i="1" s="1"/>
  <c r="BT195" i="1"/>
  <c r="AW195" i="1" s="1"/>
  <c r="AT109" i="1"/>
  <c r="AU109" i="1" s="1"/>
  <c r="CC160" i="1"/>
  <c r="L160" i="1" s="1"/>
  <c r="P131" i="1"/>
  <c r="CA131" i="1" s="1"/>
  <c r="BI44" i="1"/>
  <c r="BL44" i="1" s="1"/>
  <c r="BE179" i="3"/>
  <c r="BL179" i="3" s="1"/>
  <c r="BT53" i="1"/>
  <c r="AW53" i="1" s="1"/>
  <c r="BM97" i="1"/>
  <c r="BI151" i="1"/>
  <c r="BL151" i="1" s="1"/>
  <c r="BM104" i="1"/>
  <c r="BT7" i="1"/>
  <c r="AW7" i="1" s="1"/>
  <c r="AT131" i="1"/>
  <c r="AU131" i="1" s="1"/>
  <c r="BI51" i="1"/>
  <c r="BL51" i="1" s="1"/>
  <c r="BT5" i="1"/>
  <c r="AW5" i="1" s="1"/>
  <c r="AT98" i="1"/>
  <c r="AU98" i="1" s="1"/>
  <c r="P14" i="1"/>
  <c r="CA14" i="1" s="1"/>
  <c r="X19" i="1"/>
  <c r="Z19" i="1" s="1"/>
  <c r="CC186" i="1"/>
  <c r="AT81" i="1"/>
  <c r="AU81" i="1" s="1"/>
  <c r="AO103" i="1"/>
  <c r="BM94" i="1"/>
  <c r="BE311" i="3"/>
  <c r="BL311" i="3" s="1"/>
  <c r="P160" i="1"/>
  <c r="CC56" i="1"/>
  <c r="L56" i="1" s="1"/>
  <c r="BI10" i="1"/>
  <c r="BL10" i="1" s="1"/>
  <c r="BT116" i="1"/>
  <c r="AW116" i="1" s="1"/>
  <c r="BI32" i="1"/>
  <c r="BL32" i="1" s="1"/>
  <c r="AT154" i="1"/>
  <c r="AU154" i="1" s="1"/>
  <c r="P169" i="1"/>
  <c r="BT34" i="1"/>
  <c r="AW34" i="1" s="1"/>
  <c r="AT32" i="1"/>
  <c r="AU32" i="1" s="1"/>
  <c r="AT33" i="1"/>
  <c r="AU33" i="1" s="1"/>
  <c r="BT48" i="1"/>
  <c r="AW48" i="1" s="1"/>
  <c r="AT64" i="1"/>
  <c r="AU64" i="1" s="1"/>
  <c r="BI14" i="1"/>
  <c r="BL14" i="1" s="1"/>
  <c r="P74" i="1"/>
  <c r="CA74" i="1" s="1"/>
  <c r="BT101" i="1"/>
  <c r="AW101" i="1" s="1"/>
  <c r="CC96" i="1"/>
  <c r="L96" i="1" s="1"/>
  <c r="AT68" i="1"/>
  <c r="AU68" i="1" s="1"/>
  <c r="AT52" i="1"/>
  <c r="AU52" i="1" s="1"/>
  <c r="BM133" i="1"/>
  <c r="BM19" i="1"/>
  <c r="P99" i="1"/>
  <c r="X101" i="1"/>
  <c r="AA101" i="1" s="1"/>
  <c r="AT194" i="1"/>
  <c r="AU194" i="1" s="1"/>
  <c r="CC60" i="1"/>
  <c r="L60" i="1" s="1"/>
  <c r="BT114" i="1"/>
  <c r="AW114" i="1" s="1"/>
  <c r="BM79" i="1"/>
  <c r="AT22" i="1"/>
  <c r="AU22" i="1" s="1"/>
  <c r="CC5" i="1"/>
  <c r="L5" i="1" s="1"/>
  <c r="BM154" i="1"/>
  <c r="BM100" i="1"/>
  <c r="CC49" i="1"/>
  <c r="BM148" i="1"/>
  <c r="AT112" i="1"/>
  <c r="AU112" i="1" s="1"/>
  <c r="AT59" i="1"/>
  <c r="AU59" i="1" s="1"/>
  <c r="AT185" i="1"/>
  <c r="AU185" i="1" s="1"/>
  <c r="AT134" i="1"/>
  <c r="AU134" i="1" s="1"/>
  <c r="BM77" i="1"/>
  <c r="BT162" i="1"/>
  <c r="AW162" i="1" s="1"/>
  <c r="BM153" i="1"/>
  <c r="BI148" i="1"/>
  <c r="BL148" i="1" s="1"/>
  <c r="BM163" i="1"/>
  <c r="X107" i="1"/>
  <c r="Z107" i="1" s="1"/>
  <c r="BT109" i="1"/>
  <c r="AW109" i="1" s="1"/>
  <c r="X31" i="1"/>
  <c r="BM57" i="1"/>
  <c r="BT15" i="1"/>
  <c r="AW15" i="1" s="1"/>
  <c r="CC55" i="1"/>
  <c r="L55" i="1" s="1"/>
  <c r="BT63" i="1"/>
  <c r="AW63" i="1" s="1"/>
  <c r="BI16" i="1"/>
  <c r="BL16" i="1" s="1"/>
  <c r="X87" i="1"/>
  <c r="AB87" i="1" s="1"/>
  <c r="X141" i="1"/>
  <c r="K141" i="5" s="1"/>
  <c r="X33" i="1"/>
  <c r="CC99" i="1"/>
  <c r="L99" i="1" s="1"/>
  <c r="BI46" i="1"/>
  <c r="BL46" i="1" s="1"/>
  <c r="BM112" i="1"/>
  <c r="BT117" i="1"/>
  <c r="AW117" i="1" s="1"/>
  <c r="BT83" i="1"/>
  <c r="AW83" i="1" s="1"/>
  <c r="BI103" i="1"/>
  <c r="BL103" i="1" s="1"/>
  <c r="BM185" i="1"/>
  <c r="CC126" i="1"/>
  <c r="L126" i="1" s="1"/>
  <c r="BT90" i="1"/>
  <c r="AW90" i="1" s="1"/>
  <c r="AT99" i="1"/>
  <c r="AU99" i="1" s="1"/>
  <c r="P18" i="1"/>
  <c r="CA18" i="1" s="1"/>
  <c r="AT159" i="1"/>
  <c r="AU159" i="1" s="1"/>
  <c r="BT120" i="1"/>
  <c r="AW120" i="1" s="1"/>
  <c r="CC69" i="1"/>
  <c r="P66" i="1"/>
  <c r="CA66" i="1" s="1"/>
  <c r="AT24" i="1"/>
  <c r="AU24" i="1" s="1"/>
  <c r="BT56" i="1"/>
  <c r="AW56" i="1" s="1"/>
  <c r="P103" i="1"/>
  <c r="P50" i="1"/>
  <c r="CA50" i="1" s="1"/>
  <c r="BM49" i="1"/>
  <c r="BM61" i="1"/>
  <c r="BI22" i="1"/>
  <c r="BL22" i="1" s="1"/>
  <c r="BT9" i="1"/>
  <c r="AW9" i="1" s="1"/>
  <c r="BJ62" i="1"/>
  <c r="BK62" i="1" s="1"/>
  <c r="BI112" i="1"/>
  <c r="BL112" i="1" s="1"/>
  <c r="AT65" i="1"/>
  <c r="AU65" i="1" s="1"/>
  <c r="BI20" i="1"/>
  <c r="BL20" i="1" s="1"/>
  <c r="AT79" i="1"/>
  <c r="AU79" i="1" s="1"/>
  <c r="AT13" i="1"/>
  <c r="AU13" i="1" s="1"/>
  <c r="BT36" i="1"/>
  <c r="AW36" i="1" s="1"/>
  <c r="P123" i="1"/>
  <c r="CA123" i="1" s="1"/>
  <c r="BI206" i="1"/>
  <c r="BL206" i="1" s="1"/>
  <c r="BM80" i="1"/>
  <c r="BI56" i="1"/>
  <c r="BL56" i="1" s="1"/>
  <c r="BT97" i="1"/>
  <c r="AW97" i="1" s="1"/>
  <c r="BI54" i="1"/>
  <c r="BL54" i="1" s="1"/>
  <c r="AT9" i="1"/>
  <c r="AU9" i="1" s="1"/>
  <c r="AT97" i="1"/>
  <c r="AU97" i="1" s="1"/>
  <c r="P122" i="1"/>
  <c r="CA122" i="1" s="1"/>
  <c r="BT79" i="1"/>
  <c r="AW79" i="1" s="1"/>
  <c r="BI71" i="1"/>
  <c r="BL71" i="1" s="1"/>
  <c r="BT73" i="1"/>
  <c r="AW73" i="1" s="1"/>
  <c r="P170" i="1"/>
  <c r="X165" i="1"/>
  <c r="Y165" i="1" s="1"/>
  <c r="X85" i="1"/>
  <c r="AB85" i="1" s="1"/>
  <c r="BE290" i="3"/>
  <c r="BM60" i="1"/>
  <c r="BT137" i="1"/>
  <c r="AW137" i="1" s="1"/>
  <c r="BI19" i="1"/>
  <c r="BL19" i="1" s="1"/>
  <c r="AT50" i="1"/>
  <c r="AU50" i="1" s="1"/>
  <c r="P89" i="1"/>
  <c r="CA89" i="1" s="1"/>
  <c r="BT6" i="1"/>
  <c r="AW6" i="1" s="1"/>
  <c r="BI90" i="1"/>
  <c r="BL90" i="1" s="1"/>
  <c r="BT29" i="1"/>
  <c r="AW29" i="1" s="1"/>
  <c r="AT137" i="1"/>
  <c r="AU137" i="1" s="1"/>
  <c r="CC138" i="1"/>
  <c r="L138" i="1" s="1"/>
  <c r="BM151" i="1"/>
  <c r="P151" i="1"/>
  <c r="CA151" i="1" s="1"/>
  <c r="BI8" i="1"/>
  <c r="BL8" i="1" s="1"/>
  <c r="BI91" i="1"/>
  <c r="BL91" i="1" s="1"/>
  <c r="BM21" i="1"/>
  <c r="P71" i="1"/>
  <c r="CA71" i="1" s="1"/>
  <c r="CC19" i="1"/>
  <c r="L19" i="1" s="1"/>
  <c r="BM13" i="1"/>
  <c r="CC90" i="1"/>
  <c r="L90" i="1" s="1"/>
  <c r="AT40" i="1"/>
  <c r="AU40" i="1" s="1"/>
  <c r="BT74" i="1"/>
  <c r="AW74" i="1" s="1"/>
  <c r="BT154" i="1"/>
  <c r="AW154" i="1" s="1"/>
  <c r="CC48" i="1"/>
  <c r="L48" i="1" s="1"/>
  <c r="BI9" i="1"/>
  <c r="BL9" i="1" s="1"/>
  <c r="P187" i="1"/>
  <c r="CA187" i="1" s="1"/>
  <c r="BT86" i="1"/>
  <c r="AW86" i="1" s="1"/>
  <c r="BM206" i="1"/>
  <c r="CC67" i="1"/>
  <c r="BE201" i="3"/>
  <c r="BL201" i="3" s="1"/>
  <c r="X28" i="1"/>
  <c r="X159" i="1"/>
  <c r="Z159" i="1" s="1"/>
  <c r="X100" i="1"/>
  <c r="K100" i="5" s="1"/>
  <c r="AO172" i="1"/>
  <c r="BH172" i="1" s="1"/>
  <c r="AT160" i="1"/>
  <c r="AU160" i="1" s="1"/>
  <c r="P196" i="1"/>
  <c r="CA196" i="1" s="1"/>
  <c r="CC184" i="1"/>
  <c r="BM109" i="1"/>
  <c r="BT122" i="1"/>
  <c r="AW122" i="1" s="1"/>
  <c r="BM106" i="1"/>
  <c r="X5" i="1"/>
  <c r="AB5" i="1" s="1"/>
  <c r="AT155" i="1"/>
  <c r="AU155" i="1" s="1"/>
  <c r="BM9" i="1"/>
  <c r="BI68" i="1"/>
  <c r="BL68" i="1" s="1"/>
  <c r="CC17" i="1"/>
  <c r="L17" i="1" s="1"/>
  <c r="BM149" i="1"/>
  <c r="BT110" i="1"/>
  <c r="AW110" i="1" s="1"/>
  <c r="AT56" i="1"/>
  <c r="AU56" i="1" s="1"/>
  <c r="BI99" i="1"/>
  <c r="BL99" i="1" s="1"/>
  <c r="BE236" i="3"/>
  <c r="BL236" i="3" s="1"/>
  <c r="X157" i="1"/>
  <c r="K157" i="5" s="1"/>
  <c r="P203" i="1"/>
  <c r="BM41" i="1"/>
  <c r="CC86" i="1"/>
  <c r="CC85" i="1"/>
  <c r="BI133" i="1"/>
  <c r="BL133" i="1" s="1"/>
  <c r="P156" i="1"/>
  <c r="CA156" i="1" s="1"/>
  <c r="BM76" i="1"/>
  <c r="BT21" i="1"/>
  <c r="AW21" i="1" s="1"/>
  <c r="BI53" i="1"/>
  <c r="BL53" i="1" s="1"/>
  <c r="P201" i="1"/>
  <c r="BT118" i="1"/>
  <c r="AW118" i="1" s="1"/>
  <c r="AO128" i="1"/>
  <c r="AT46" i="1"/>
  <c r="AU46" i="1" s="1"/>
  <c r="AT30" i="1"/>
  <c r="AU30" i="1" s="1"/>
  <c r="BT128" i="1"/>
  <c r="AW128" i="1" s="1"/>
  <c r="BM65" i="1"/>
  <c r="P48" i="1"/>
  <c r="BI143" i="1"/>
  <c r="BL143" i="1" s="1"/>
  <c r="BM120" i="1"/>
  <c r="P19" i="1"/>
  <c r="CA19" i="1" s="1"/>
  <c r="BT104" i="1"/>
  <c r="AW104" i="1" s="1"/>
  <c r="BI74" i="1"/>
  <c r="BL74" i="1" s="1"/>
  <c r="BE295" i="3"/>
  <c r="BT131" i="1"/>
  <c r="AW131" i="1" s="1"/>
  <c r="AT37" i="1"/>
  <c r="AU37" i="1" s="1"/>
  <c r="BI80" i="1"/>
  <c r="BL80" i="1" s="1"/>
  <c r="BI142" i="1"/>
  <c r="BL142" i="1" s="1"/>
  <c r="AO5" i="1"/>
  <c r="J5" i="1" s="1"/>
  <c r="CD5" i="1" s="1"/>
  <c r="CC21" i="1"/>
  <c r="P52" i="1"/>
  <c r="CA52" i="1" s="1"/>
  <c r="BM161" i="1"/>
  <c r="AT21" i="1"/>
  <c r="AU21" i="1" s="1"/>
  <c r="P65" i="1"/>
  <c r="BT111" i="1"/>
  <c r="AW111" i="1" s="1"/>
  <c r="BT16" i="1"/>
  <c r="AW16" i="1" s="1"/>
  <c r="X134" i="1"/>
  <c r="AB134" i="1" s="1"/>
  <c r="AO158" i="1"/>
  <c r="AO18" i="1"/>
  <c r="X205" i="1"/>
  <c r="X121" i="1"/>
  <c r="K121" i="5" s="1"/>
  <c r="M121" i="5" s="1"/>
  <c r="BM12" i="1"/>
  <c r="BI36" i="1"/>
  <c r="BL36" i="1" s="1"/>
  <c r="BM108" i="1"/>
  <c r="F167" i="5"/>
  <c r="E167" i="5"/>
  <c r="AA167" i="5"/>
  <c r="X167" i="5"/>
  <c r="Y167" i="5"/>
  <c r="B167" i="5"/>
  <c r="D167" i="5" s="1"/>
  <c r="Z167" i="5"/>
  <c r="P11" i="1"/>
  <c r="CA11" i="1" s="1"/>
  <c r="P70" i="1"/>
  <c r="CA70" i="1" s="1"/>
  <c r="BI87" i="1"/>
  <c r="BL87" i="1" s="1"/>
  <c r="BT140" i="1"/>
  <c r="AW140" i="1" s="1"/>
  <c r="BT147" i="1"/>
  <c r="AW147" i="1" s="1"/>
  <c r="X22" i="1"/>
  <c r="BI78" i="1"/>
  <c r="BL78" i="1" s="1"/>
  <c r="CC81" i="1"/>
  <c r="AT57" i="1"/>
  <c r="AU57" i="1" s="1"/>
  <c r="AT101" i="1"/>
  <c r="AU101" i="1" s="1"/>
  <c r="BM147" i="1"/>
  <c r="P46" i="1"/>
  <c r="CA46" i="1" s="1"/>
  <c r="CC20" i="1"/>
  <c r="L20" i="1" s="1"/>
  <c r="BM44" i="1"/>
  <c r="BT121" i="1"/>
  <c r="AW121" i="1" s="1"/>
  <c r="P54" i="1"/>
  <c r="CA54" i="1" s="1"/>
  <c r="P113" i="1"/>
  <c r="CA113" i="1" s="1"/>
  <c r="P80" i="1"/>
  <c r="BI110" i="1"/>
  <c r="BL110" i="1" s="1"/>
  <c r="P207" i="1"/>
  <c r="AO47" i="1"/>
  <c r="S47" i="1" s="1"/>
  <c r="BM28" i="1"/>
  <c r="BM43" i="1"/>
  <c r="AO8" i="1"/>
  <c r="BM29" i="1"/>
  <c r="BE315" i="3"/>
  <c r="BI117" i="1"/>
  <c r="BL117" i="1" s="1"/>
  <c r="AT10" i="1"/>
  <c r="AU10" i="1" s="1"/>
  <c r="BI64" i="1"/>
  <c r="BL64" i="1" s="1"/>
  <c r="BT71" i="1"/>
  <c r="AW71" i="1" s="1"/>
  <c r="BI66" i="1"/>
  <c r="BL66" i="1" s="1"/>
  <c r="BM132" i="1"/>
  <c r="BT49" i="1"/>
  <c r="AW49" i="1" s="1"/>
  <c r="BJ82" i="1"/>
  <c r="BE269" i="3"/>
  <c r="BL269" i="3" s="1"/>
  <c r="BI118" i="1"/>
  <c r="BL118" i="1" s="1"/>
  <c r="P124" i="1"/>
  <c r="CA124" i="1" s="1"/>
  <c r="BI152" i="1"/>
  <c r="BL152" i="1" s="1"/>
  <c r="BT96" i="1"/>
  <c r="AW96" i="1" s="1"/>
  <c r="BT112" i="1"/>
  <c r="AW112" i="1" s="1"/>
  <c r="BT43" i="1"/>
  <c r="AW43" i="1" s="1"/>
  <c r="BM125" i="1"/>
  <c r="BM162" i="1"/>
  <c r="CC201" i="1"/>
  <c r="L201" i="1" s="1"/>
  <c r="BM98" i="1"/>
  <c r="BT40" i="1"/>
  <c r="AW40" i="1" s="1"/>
  <c r="B172" i="5"/>
  <c r="AO131" i="1"/>
  <c r="AO184" i="1"/>
  <c r="K184" i="1" s="1"/>
  <c r="AO129" i="1"/>
  <c r="J129" i="1" s="1"/>
  <c r="AO167" i="1"/>
  <c r="BD167" i="1" s="1"/>
  <c r="P6" i="1"/>
  <c r="CA6" i="1" s="1"/>
  <c r="BT91" i="1"/>
  <c r="AW91" i="1" s="1"/>
  <c r="BM52" i="1"/>
  <c r="BM10" i="1"/>
  <c r="CC101" i="1"/>
  <c r="L101" i="1" s="1"/>
  <c r="BM20" i="1"/>
  <c r="BT113" i="1"/>
  <c r="AW113" i="1" s="1"/>
  <c r="CC12" i="1"/>
  <c r="AT120" i="1"/>
  <c r="AU120" i="1" s="1"/>
  <c r="BI154" i="1"/>
  <c r="BL154" i="1" s="1"/>
  <c r="BI162" i="1"/>
  <c r="BL162" i="1" s="1"/>
  <c r="P148" i="1"/>
  <c r="CA148" i="1" s="1"/>
  <c r="P92" i="1"/>
  <c r="CA92" i="1" s="1"/>
  <c r="BE203" i="3"/>
  <c r="BL203" i="3" s="1"/>
  <c r="BI92" i="1"/>
  <c r="BL92" i="1" s="1"/>
  <c r="BJ25" i="1"/>
  <c r="AN25" i="1" s="1"/>
  <c r="P64" i="1"/>
  <c r="CA64" i="1" s="1"/>
  <c r="P112" i="1"/>
  <c r="CA112" i="1" s="1"/>
  <c r="AT41" i="1"/>
  <c r="AU41" i="1" s="1"/>
  <c r="P101" i="1"/>
  <c r="CA101" i="1" s="1"/>
  <c r="AT126" i="1"/>
  <c r="AU126" i="1" s="1"/>
  <c r="BM142" i="1"/>
  <c r="AT104" i="1"/>
  <c r="AU104" i="1" s="1"/>
  <c r="BI85" i="1"/>
  <c r="BL85" i="1" s="1"/>
  <c r="BI136" i="1"/>
  <c r="BL136" i="1" s="1"/>
  <c r="AT142" i="1"/>
  <c r="AU142" i="1" s="1"/>
  <c r="BM115" i="1"/>
  <c r="P79" i="1"/>
  <c r="CA79" i="1" s="1"/>
  <c r="P163" i="1"/>
  <c r="CA163" i="1" s="1"/>
  <c r="CC25" i="1"/>
  <c r="L25" i="1" s="1"/>
  <c r="AT132" i="1"/>
  <c r="AU132" i="1" s="1"/>
  <c r="AT148" i="1"/>
  <c r="AU148" i="1" s="1"/>
  <c r="CC61" i="1"/>
  <c r="AO138" i="1"/>
  <c r="P153" i="1"/>
  <c r="CA153" i="1" s="1"/>
  <c r="AO162" i="1"/>
  <c r="K162" i="1" s="1"/>
  <c r="AT161" i="1"/>
  <c r="AU161" i="1" s="1"/>
  <c r="BM96" i="1"/>
  <c r="BM34" i="1"/>
  <c r="BM114" i="1"/>
  <c r="CC106" i="1"/>
  <c r="BT66" i="1"/>
  <c r="AW66" i="1" s="1"/>
  <c r="BM81" i="1"/>
  <c r="BM14" i="1"/>
  <c r="BM27" i="1"/>
  <c r="AO126" i="1"/>
  <c r="AO65" i="1"/>
  <c r="AO193" i="1"/>
  <c r="BH193" i="1" s="1"/>
  <c r="X39" i="1"/>
  <c r="Y39" i="1" s="1"/>
  <c r="BE287" i="3"/>
  <c r="BL287" i="3" s="1"/>
  <c r="AT127" i="1"/>
  <c r="AU127" i="1" s="1"/>
  <c r="AO87" i="1"/>
  <c r="BE87" i="3" s="1"/>
  <c r="BL87" i="3" s="1"/>
  <c r="AO185" i="1"/>
  <c r="AP185" i="1" s="1"/>
  <c r="AO55" i="1"/>
  <c r="X198" i="5"/>
  <c r="B198" i="5"/>
  <c r="F198" i="5" s="1"/>
  <c r="AA204" i="5"/>
  <c r="B204" i="5"/>
  <c r="D204" i="5" s="1"/>
  <c r="BE327" i="3"/>
  <c r="BL327" i="3" s="1"/>
  <c r="J281" i="5" s="1"/>
  <c r="AO99" i="1"/>
  <c r="K99" i="1" s="1"/>
  <c r="AT102" i="1"/>
  <c r="AU102" i="1" s="1"/>
  <c r="BE177" i="3"/>
  <c r="BT206" i="1"/>
  <c r="AW206" i="1" s="1"/>
  <c r="P97" i="1"/>
  <c r="CA97" i="1" s="1"/>
  <c r="BT24" i="1"/>
  <c r="AW24" i="1" s="1"/>
  <c r="P77" i="1"/>
  <c r="CA77" i="1" s="1"/>
  <c r="BI101" i="1"/>
  <c r="BL101" i="1" s="1"/>
  <c r="AT162" i="1"/>
  <c r="AU162" i="1" s="1"/>
  <c r="P43" i="1"/>
  <c r="CA43" i="1" s="1"/>
  <c r="P13" i="1"/>
  <c r="CA13" i="1" s="1"/>
  <c r="P107" i="1"/>
  <c r="P21" i="1"/>
  <c r="CA21" i="1" s="1"/>
  <c r="AO102" i="1"/>
  <c r="BH102" i="1" s="1"/>
  <c r="B200" i="5"/>
  <c r="AO197" i="1"/>
  <c r="BE197" i="1" s="1"/>
  <c r="B184" i="5"/>
  <c r="AO130" i="1"/>
  <c r="D206" i="5"/>
  <c r="F206" i="5"/>
  <c r="B206" i="5"/>
  <c r="AA206" i="5" s="1"/>
  <c r="AO104" i="1"/>
  <c r="AO76" i="1"/>
  <c r="J76" i="1" s="1"/>
  <c r="AZ76" i="1" s="1"/>
  <c r="D196" i="5"/>
  <c r="X196" i="5"/>
  <c r="Y196" i="5"/>
  <c r="B196" i="5"/>
  <c r="E196" i="5"/>
  <c r="AT163" i="1"/>
  <c r="AU163" i="1" s="1"/>
  <c r="BT123" i="1"/>
  <c r="AW123" i="1" s="1"/>
  <c r="BT161" i="1"/>
  <c r="AW161" i="1" s="1"/>
  <c r="AT91" i="1"/>
  <c r="AU91" i="1" s="1"/>
  <c r="P27" i="1"/>
  <c r="AO42" i="1"/>
  <c r="AP42" i="1" s="1"/>
  <c r="AB42" i="5" s="1"/>
  <c r="P152" i="1"/>
  <c r="CA152" i="1" s="1"/>
  <c r="CC24" i="1"/>
  <c r="L24" i="1" s="1"/>
  <c r="P209" i="1"/>
  <c r="P55" i="1"/>
  <c r="P106" i="1"/>
  <c r="AT49" i="1"/>
  <c r="AU49" i="1" s="1"/>
  <c r="P7" i="1"/>
  <c r="CA7" i="1" s="1"/>
  <c r="AO12" i="1"/>
  <c r="BT64" i="1"/>
  <c r="AW64" i="1" s="1"/>
  <c r="AO17" i="1"/>
  <c r="BI93" i="1"/>
  <c r="BL93" i="1" s="1"/>
  <c r="BT3" i="1"/>
  <c r="AW3" i="1" s="1"/>
  <c r="BI106" i="1"/>
  <c r="BL106" i="1" s="1"/>
  <c r="BT47" i="1"/>
  <c r="AW47" i="1" s="1"/>
  <c r="P9" i="1"/>
  <c r="CA9" i="1" s="1"/>
  <c r="P10" i="1"/>
  <c r="CA10" i="1" s="1"/>
  <c r="AT151" i="1"/>
  <c r="AU151" i="1" s="1"/>
  <c r="BM164" i="1"/>
  <c r="AT54" i="1"/>
  <c r="AU54" i="1" s="1"/>
  <c r="BT14" i="1"/>
  <c r="AW14" i="1" s="1"/>
  <c r="BE296" i="3"/>
  <c r="BL296" i="3" s="1"/>
  <c r="BI161" i="1"/>
  <c r="BL161" i="1" s="1"/>
  <c r="BE310" i="3"/>
  <c r="BL310" i="3" s="1"/>
  <c r="P110" i="1"/>
  <c r="CA110" i="1" s="1"/>
  <c r="BM33" i="1"/>
  <c r="BT148" i="1"/>
  <c r="AW148" i="1" s="1"/>
  <c r="BT51" i="1"/>
  <c r="AW51" i="1" s="1"/>
  <c r="AO36" i="1"/>
  <c r="K36" i="1" s="1"/>
  <c r="P24" i="1"/>
  <c r="CA24" i="1" s="1"/>
  <c r="BM67" i="1"/>
  <c r="BM39" i="1"/>
  <c r="BI81" i="1"/>
  <c r="BL81" i="1" s="1"/>
  <c r="AT147" i="1"/>
  <c r="AU147" i="1" s="1"/>
  <c r="BE275" i="3"/>
  <c r="BL275" i="3" s="1"/>
  <c r="BM111" i="1"/>
  <c r="AT84" i="1"/>
  <c r="AU84" i="1" s="1"/>
  <c r="BI131" i="1"/>
  <c r="BL131" i="1" s="1"/>
  <c r="AT143" i="1"/>
  <c r="AU143" i="1" s="1"/>
  <c r="P29" i="1"/>
  <c r="AT136" i="1"/>
  <c r="AU136" i="1" s="1"/>
  <c r="BI127" i="1"/>
  <c r="BL127" i="1" s="1"/>
  <c r="AO44" i="1"/>
  <c r="AO66" i="1"/>
  <c r="S66" i="1" s="1"/>
  <c r="AO163" i="1"/>
  <c r="AO150" i="1"/>
  <c r="BE150" i="3" s="1"/>
  <c r="BL150" i="3" s="1"/>
  <c r="AO59" i="1"/>
  <c r="BM121" i="1"/>
  <c r="BI84" i="1"/>
  <c r="BL84" i="1" s="1"/>
  <c r="P33" i="1"/>
  <c r="CA33" i="1" s="1"/>
  <c r="BJ183" i="1"/>
  <c r="AN183" i="1" s="1"/>
  <c r="P28" i="1"/>
  <c r="CA28" i="1" s="1"/>
  <c r="P154" i="1"/>
  <c r="CA154" i="1" s="1"/>
  <c r="BM53" i="1"/>
  <c r="P96" i="1"/>
  <c r="CA96" i="1" s="1"/>
  <c r="P172" i="1"/>
  <c r="CC134" i="1"/>
  <c r="L134" i="1" s="1"/>
  <c r="P35" i="1"/>
  <c r="CC200" i="1"/>
  <c r="L200" i="1" s="1"/>
  <c r="P143" i="1"/>
  <c r="CA143" i="1" s="1"/>
  <c r="X164" i="1"/>
  <c r="K164" i="5" s="1"/>
  <c r="P111" i="1"/>
  <c r="CA111" i="1" s="1"/>
  <c r="BT33" i="1"/>
  <c r="AW33" i="1" s="1"/>
  <c r="BJ169" i="1"/>
  <c r="P91" i="1"/>
  <c r="CA91" i="1" s="1"/>
  <c r="BI97" i="1"/>
  <c r="BL97" i="1" s="1"/>
  <c r="BJ57" i="1"/>
  <c r="BJ108" i="1"/>
  <c r="BZ108" i="1" s="1"/>
  <c r="BE256" i="3"/>
  <c r="BL256" i="3" s="1"/>
  <c r="BE176" i="3"/>
  <c r="BL176" i="3" s="1"/>
  <c r="P116" i="1"/>
  <c r="CA116" i="1" s="1"/>
  <c r="BJ17" i="1"/>
  <c r="BE194" i="3"/>
  <c r="BL194" i="3" s="1"/>
  <c r="BC319" i="3"/>
  <c r="BM319" i="3" s="1"/>
  <c r="N259" i="5" s="1"/>
  <c r="BT163" i="1"/>
  <c r="AW163" i="1" s="1"/>
  <c r="BJ60" i="1"/>
  <c r="BT155" i="1"/>
  <c r="AW155" i="1" s="1"/>
  <c r="BJ203" i="1"/>
  <c r="BE202" i="3"/>
  <c r="BL202" i="3" s="1"/>
  <c r="BJ40" i="1"/>
  <c r="BK40" i="1" s="1"/>
  <c r="BT166" i="1"/>
  <c r="AW166" i="1" s="1"/>
  <c r="BE277" i="3"/>
  <c r="BL277" i="3" s="1"/>
  <c r="BT46" i="1"/>
  <c r="AW46" i="1" s="1"/>
  <c r="BJ80" i="1"/>
  <c r="BK80" i="1" s="1"/>
  <c r="CC206" i="1"/>
  <c r="AT122" i="1"/>
  <c r="AU122" i="1" s="1"/>
  <c r="CC116" i="1"/>
  <c r="L116" i="1" s="1"/>
  <c r="BE178" i="3"/>
  <c r="BL178" i="3" s="1"/>
  <c r="AT71" i="1"/>
  <c r="AU71" i="1" s="1"/>
  <c r="BI21" i="1"/>
  <c r="BL21" i="1" s="1"/>
  <c r="BM101" i="1"/>
  <c r="P104" i="1"/>
  <c r="AO67" i="1"/>
  <c r="BE67" i="3" s="1"/>
  <c r="BL67" i="3" s="1"/>
  <c r="BI138" i="1"/>
  <c r="BL138" i="1" s="1"/>
  <c r="BT20" i="1"/>
  <c r="AW20" i="1" s="1"/>
  <c r="P132" i="1"/>
  <c r="CA132" i="1" s="1"/>
  <c r="AT53" i="1"/>
  <c r="AU53" i="1" s="1"/>
  <c r="BI34" i="1"/>
  <c r="BL34" i="1" s="1"/>
  <c r="AT39" i="1"/>
  <c r="AU39" i="1" s="1"/>
  <c r="BI65" i="1"/>
  <c r="BL65" i="1" s="1"/>
  <c r="J169" i="1"/>
  <c r="BF169" i="1" s="1"/>
  <c r="AO118" i="1"/>
  <c r="J118" i="1" s="1"/>
  <c r="AT44" i="1"/>
  <c r="AU44" i="1" s="1"/>
  <c r="P53" i="1"/>
  <c r="CA53" i="1" s="1"/>
  <c r="AO98" i="1"/>
  <c r="P85" i="1"/>
  <c r="CA85" i="1" s="1"/>
  <c r="P164" i="1"/>
  <c r="CA164" i="1" s="1"/>
  <c r="BT22" i="1"/>
  <c r="AW22" i="1" s="1"/>
  <c r="AO56" i="1"/>
  <c r="J56" i="1" s="1"/>
  <c r="BF56" i="1" s="1"/>
  <c r="AA207" i="5"/>
  <c r="D207" i="5"/>
  <c r="Y207" i="5"/>
  <c r="Z207" i="5"/>
  <c r="B207" i="5"/>
  <c r="X207" i="5" s="1"/>
  <c r="E207" i="5"/>
  <c r="BT17" i="1"/>
  <c r="AW17" i="1" s="1"/>
  <c r="AT60" i="1"/>
  <c r="AU60" i="1" s="1"/>
  <c r="BE276" i="3"/>
  <c r="BJ106" i="1"/>
  <c r="AO169" i="1"/>
  <c r="BH169" i="1" s="1"/>
  <c r="AO108" i="1"/>
  <c r="BD108" i="1" s="1"/>
  <c r="BT144" i="1"/>
  <c r="AW144" i="1" s="1"/>
  <c r="AO119" i="1"/>
  <c r="BH119" i="1" s="1"/>
  <c r="AO133" i="1"/>
  <c r="BJ134" i="1"/>
  <c r="P108" i="1"/>
  <c r="BC224" i="3"/>
  <c r="BM224" i="3" s="1"/>
  <c r="J170" i="1"/>
  <c r="BM116" i="1"/>
  <c r="BJ46" i="1"/>
  <c r="AN46" i="1" s="1"/>
  <c r="BJ193" i="1"/>
  <c r="CC97" i="1"/>
  <c r="CC64" i="1"/>
  <c r="BC197" i="3"/>
  <c r="BM197" i="3" s="1"/>
  <c r="BJ164" i="1"/>
  <c r="BJ98" i="1"/>
  <c r="P34" i="1"/>
  <c r="CA34" i="1" s="1"/>
  <c r="AO69" i="1"/>
  <c r="BE69" i="3" s="1"/>
  <c r="BL69" i="3" s="1"/>
  <c r="BJ170" i="1"/>
  <c r="BZ170" i="1" s="1"/>
  <c r="AO101" i="1"/>
  <c r="AI101" i="1" s="1"/>
  <c r="AL101" i="1" s="1"/>
  <c r="AO116" i="1"/>
  <c r="J116" i="1" s="1"/>
  <c r="AZ116" i="1" s="1"/>
  <c r="AO22" i="1"/>
  <c r="J22" i="1" s="1"/>
  <c r="P98" i="1"/>
  <c r="CA98" i="1" s="1"/>
  <c r="AT113" i="1"/>
  <c r="AU113" i="1" s="1"/>
  <c r="AO23" i="1"/>
  <c r="K23" i="1" s="1"/>
  <c r="AO201" i="1"/>
  <c r="BE196" i="3"/>
  <c r="BL196" i="3" s="1"/>
  <c r="BJ35" i="1"/>
  <c r="AN35" i="1" s="1"/>
  <c r="AO60" i="1"/>
  <c r="J60" i="1" s="1"/>
  <c r="X200" i="1"/>
  <c r="K200" i="5" s="1"/>
  <c r="BE182" i="3"/>
  <c r="BL182" i="3" s="1"/>
  <c r="BI123" i="1"/>
  <c r="BL123" i="1" s="1"/>
  <c r="BI132" i="1"/>
  <c r="BL132" i="1" s="1"/>
  <c r="BT103" i="1"/>
  <c r="AW103" i="1" s="1"/>
  <c r="AO80" i="1"/>
  <c r="S80" i="1" s="1"/>
  <c r="BJ191" i="1"/>
  <c r="BK191" i="1" s="1"/>
  <c r="CC89" i="1"/>
  <c r="L89" i="1" s="1"/>
  <c r="P127" i="1"/>
  <c r="BM64" i="1"/>
  <c r="BT127" i="1"/>
  <c r="AW127" i="1" s="1"/>
  <c r="P202" i="1"/>
  <c r="X192" i="5"/>
  <c r="D192" i="5"/>
  <c r="AA192" i="5"/>
  <c r="B192" i="5"/>
  <c r="AC202" i="5"/>
  <c r="Y202" i="5"/>
  <c r="B202" i="5"/>
  <c r="X202" i="5" s="1"/>
  <c r="AO117" i="1"/>
  <c r="AO54" i="1"/>
  <c r="Y194" i="5"/>
  <c r="W194" i="5"/>
  <c r="D194" i="5"/>
  <c r="B194" i="5"/>
  <c r="B185" i="5"/>
  <c r="F185" i="5" s="1"/>
  <c r="AO29" i="1"/>
  <c r="BD29" i="1" s="1"/>
  <c r="AO4" i="1"/>
  <c r="BD4" i="1" s="1"/>
  <c r="AO40" i="1"/>
  <c r="BH40" i="1" s="1"/>
  <c r="AO190" i="1"/>
  <c r="Q190" i="1" s="1"/>
  <c r="R190" i="1" s="1"/>
  <c r="P40" i="1"/>
  <c r="CA40" i="1" s="1"/>
  <c r="P142" i="1"/>
  <c r="CA142" i="1" s="1"/>
  <c r="BM143" i="1"/>
  <c r="AO94" i="1"/>
  <c r="BH94" i="1" s="1"/>
  <c r="AT103" i="1"/>
  <c r="AU103" i="1" s="1"/>
  <c r="AO7" i="1"/>
  <c r="BE7" i="1" s="1"/>
  <c r="AT115" i="1"/>
  <c r="AU115" i="1" s="1"/>
  <c r="BM22" i="1"/>
  <c r="CC163" i="1"/>
  <c r="L163" i="1" s="1"/>
  <c r="BM24" i="1"/>
  <c r="AO21" i="1"/>
  <c r="P4" i="1"/>
  <c r="BJ199" i="1"/>
  <c r="J167" i="1"/>
  <c r="CC162" i="1"/>
  <c r="BE204" i="3"/>
  <c r="BL204" i="3" s="1"/>
  <c r="BE324" i="3"/>
  <c r="BL324" i="3" s="1"/>
  <c r="J323" i="5" s="1"/>
  <c r="AO186" i="1"/>
  <c r="BD186" i="1" s="1"/>
  <c r="BJ73" i="1"/>
  <c r="BM123" i="1"/>
  <c r="Y208" i="5"/>
  <c r="F208" i="5"/>
  <c r="AC208" i="5"/>
  <c r="B208" i="5"/>
  <c r="AA208" i="5" s="1"/>
  <c r="BI33" i="1"/>
  <c r="BL33" i="1" s="1"/>
  <c r="BM47" i="1"/>
  <c r="BJ97" i="1"/>
  <c r="BE309" i="3"/>
  <c r="BL309" i="3" s="1"/>
  <c r="BJ190" i="1"/>
  <c r="BM127" i="1"/>
  <c r="BJ71" i="1"/>
  <c r="BE180" i="3"/>
  <c r="BL180" i="3" s="1"/>
  <c r="CC202" i="1"/>
  <c r="BJ45" i="1"/>
  <c r="BK45" i="1" s="1"/>
  <c r="BJ173" i="1"/>
  <c r="P206" i="1"/>
  <c r="CC203" i="1"/>
  <c r="L203" i="1" s="1"/>
  <c r="BJ20" i="1"/>
  <c r="BZ20" i="1" s="1"/>
  <c r="AO68" i="1"/>
  <c r="B197" i="5"/>
  <c r="AO164" i="1"/>
  <c r="BD164" i="1" s="1"/>
  <c r="AO58" i="1"/>
  <c r="BH58" i="1" s="1"/>
  <c r="AO191" i="1"/>
  <c r="J191" i="1" s="1"/>
  <c r="BF191" i="1" s="1"/>
  <c r="AO84" i="1"/>
  <c r="AO19" i="1"/>
  <c r="AO32" i="1"/>
  <c r="BE32" i="1" s="1"/>
  <c r="BI137" i="1"/>
  <c r="BL137" i="1" s="1"/>
  <c r="P137" i="1"/>
  <c r="CA137" i="1" s="1"/>
  <c r="BI52" i="1"/>
  <c r="BL52" i="1" s="1"/>
  <c r="AO199" i="1"/>
  <c r="BH199" i="1" s="1"/>
  <c r="B170" i="5"/>
  <c r="AT73" i="1"/>
  <c r="AU73" i="1" s="1"/>
  <c r="B169" i="5"/>
  <c r="AO73" i="1"/>
  <c r="J73" i="1" s="1"/>
  <c r="BG73" i="1" s="1"/>
  <c r="AO90" i="1"/>
  <c r="BH90" i="1" s="1"/>
  <c r="B205" i="5"/>
  <c r="AO192" i="1"/>
  <c r="J192" i="1" s="1"/>
  <c r="BF192" i="1" s="1"/>
  <c r="E188" i="5"/>
  <c r="AA188" i="5"/>
  <c r="D188" i="5"/>
  <c r="B188" i="5"/>
  <c r="F188" i="5" s="1"/>
  <c r="AO198" i="1"/>
  <c r="BH198" i="1" s="1"/>
  <c r="AO81" i="1"/>
  <c r="BH81" i="1" s="1"/>
  <c r="AO85" i="1"/>
  <c r="AO106" i="1"/>
  <c r="BD106" i="1" s="1"/>
  <c r="BT31" i="1"/>
  <c r="AW31" i="1" s="1"/>
  <c r="AO196" i="1"/>
  <c r="BH196" i="1" s="1"/>
  <c r="AO46" i="1"/>
  <c r="BC46" i="3" s="1"/>
  <c r="BM46" i="3" s="1"/>
  <c r="AO10" i="1"/>
  <c r="J10" i="1" s="1"/>
  <c r="CD10" i="1" s="1"/>
  <c r="AT123" i="1"/>
  <c r="AU123" i="1" s="1"/>
  <c r="BJ81" i="1"/>
  <c r="BI163" i="1"/>
  <c r="BL163" i="1" s="1"/>
  <c r="AO89" i="1"/>
  <c r="BE89" i="3" s="1"/>
  <c r="BL89" i="3" s="1"/>
  <c r="AO53" i="1"/>
  <c r="AO160" i="1"/>
  <c r="AO34" i="1"/>
  <c r="AO122" i="1"/>
  <c r="J122" i="1" s="1"/>
  <c r="BF122" i="1" s="1"/>
  <c r="AO195" i="1"/>
  <c r="BH195" i="1" s="1"/>
  <c r="AT45" i="1"/>
  <c r="AU45" i="1" s="1"/>
  <c r="AO107" i="1"/>
  <c r="BE107" i="1" s="1"/>
  <c r="AO140" i="1"/>
  <c r="BH140" i="1" s="1"/>
  <c r="AO121" i="1"/>
  <c r="BE121" i="3" s="1"/>
  <c r="BL121" i="3" s="1"/>
  <c r="AO183" i="1"/>
  <c r="BJ50" i="1"/>
  <c r="BK50" i="1" s="1"/>
  <c r="AO86" i="1"/>
  <c r="AP86" i="1" s="1"/>
  <c r="AO173" i="1"/>
  <c r="AI173" i="1" s="1"/>
  <c r="AJ173" i="1" s="1"/>
  <c r="B209" i="5"/>
  <c r="BI126" i="1"/>
  <c r="BL126" i="1" s="1"/>
  <c r="AO189" i="1"/>
  <c r="X195" i="5"/>
  <c r="Y195" i="5"/>
  <c r="Z195" i="5"/>
  <c r="W195" i="5"/>
  <c r="E195" i="5"/>
  <c r="AA195" i="5"/>
  <c r="AC195" i="5"/>
  <c r="B195" i="5"/>
  <c r="F195" i="5" s="1"/>
  <c r="D195" i="5"/>
  <c r="F187" i="5"/>
  <c r="E187" i="5"/>
  <c r="Z187" i="5"/>
  <c r="D187" i="5"/>
  <c r="W187" i="5"/>
  <c r="B187" i="5"/>
  <c r="Y187" i="5" s="1"/>
  <c r="X187" i="5"/>
  <c r="J201" i="1"/>
  <c r="BF201" i="1" s="1"/>
  <c r="BJ38" i="1"/>
  <c r="BZ38" i="1" s="1"/>
  <c r="J80" i="1"/>
  <c r="BF80" i="1" s="1"/>
  <c r="BJ202" i="1"/>
  <c r="BJ64" i="1"/>
  <c r="AO37" i="1"/>
  <c r="BH37" i="1" s="1"/>
  <c r="AO62" i="1"/>
  <c r="AI62" i="1" s="1"/>
  <c r="AO38" i="1"/>
  <c r="J38" i="1" s="1"/>
  <c r="BF38" i="1" s="1"/>
  <c r="AO48" i="1"/>
  <c r="BH48" i="1" s="1"/>
  <c r="AO49" i="1"/>
  <c r="BJ76" i="1"/>
  <c r="AN76" i="1" s="1"/>
  <c r="BJ116" i="1"/>
  <c r="BK116" i="1" s="1"/>
  <c r="BI98" i="1"/>
  <c r="BL98" i="1" s="1"/>
  <c r="BT10" i="1"/>
  <c r="AW10" i="1" s="1"/>
  <c r="CC204" i="1"/>
  <c r="L204" i="1" s="1"/>
  <c r="BJ86" i="1"/>
  <c r="BE174" i="3"/>
  <c r="BL174" i="3" s="1"/>
  <c r="BJ94" i="1"/>
  <c r="AN94" i="1" s="1"/>
  <c r="CC196" i="1"/>
  <c r="BJ118" i="1"/>
  <c r="AO83" i="1"/>
  <c r="AI83" i="1" s="1"/>
  <c r="AO95" i="1"/>
  <c r="AP95" i="1" s="1"/>
  <c r="BJ127" i="1"/>
  <c r="BJ119" i="1"/>
  <c r="AO96" i="1"/>
  <c r="AO35" i="1"/>
  <c r="BJ23" i="1"/>
  <c r="BZ23" i="1" s="1"/>
  <c r="BJ59" i="1"/>
  <c r="P41" i="1"/>
  <c r="BJ200" i="1"/>
  <c r="J172" i="1"/>
  <c r="BF172" i="1" s="1"/>
  <c r="BJ167" i="1"/>
  <c r="AN167" i="1" s="1"/>
  <c r="BT19" i="1"/>
  <c r="AW19" i="1" s="1"/>
  <c r="BJ107" i="1"/>
  <c r="BJ55" i="1"/>
  <c r="CC36" i="1"/>
  <c r="BJ150" i="1"/>
  <c r="BZ150" i="1" s="1"/>
  <c r="J103" i="1"/>
  <c r="BM48" i="1"/>
  <c r="B199" i="5"/>
  <c r="BJ18" i="1"/>
  <c r="BZ18" i="1" s="1"/>
  <c r="BJ4" i="1"/>
  <c r="P61" i="1"/>
  <c r="BJ69" i="1"/>
  <c r="AO41" i="1"/>
  <c r="J41" i="1" s="1"/>
  <c r="BF41" i="1" s="1"/>
  <c r="BG41" i="1" s="1"/>
  <c r="BJ47" i="1"/>
  <c r="BZ47" i="1" s="1"/>
  <c r="J106" i="1"/>
  <c r="BF106" i="1" s="1"/>
  <c r="BJ7" i="1"/>
  <c r="BJ186" i="1"/>
  <c r="BK186" i="1" s="1"/>
  <c r="BJ89" i="1"/>
  <c r="AN89" i="1" s="1"/>
  <c r="BE322" i="3"/>
  <c r="BJ58" i="1"/>
  <c r="AT111" i="1"/>
  <c r="AU111" i="1" s="1"/>
  <c r="BJ131" i="1"/>
  <c r="BK131" i="1" s="1"/>
  <c r="BJ41" i="1"/>
  <c r="BK41" i="1" s="1"/>
  <c r="J183" i="1"/>
  <c r="CD183" i="1" s="1"/>
  <c r="BJ96" i="1"/>
  <c r="BJ85" i="1"/>
  <c r="BJ24" i="1"/>
  <c r="BZ24" i="1" s="1"/>
  <c r="BJ205" i="1"/>
  <c r="AO203" i="1"/>
  <c r="BH203" i="1" s="1"/>
  <c r="BJ208" i="1"/>
  <c r="BJ140" i="1"/>
  <c r="BJ101" i="1"/>
  <c r="BJ88" i="1"/>
  <c r="CC132" i="1"/>
  <c r="L132" i="1" s="1"/>
  <c r="BJ162" i="1"/>
  <c r="BJ201" i="1"/>
  <c r="BI13" i="1"/>
  <c r="BL13" i="1" s="1"/>
  <c r="BJ100" i="1"/>
  <c r="AC186" i="5"/>
  <c r="B186" i="5"/>
  <c r="W186" i="5"/>
  <c r="Y203" i="5"/>
  <c r="D203" i="5"/>
  <c r="B203" i="5"/>
  <c r="AO170" i="1"/>
  <c r="AI170" i="1" s="1"/>
  <c r="AO61" i="1"/>
  <c r="J59" i="1"/>
  <c r="P138" i="1"/>
  <c r="CA138" i="1" s="1"/>
  <c r="BJ12" i="1"/>
  <c r="P205" i="1"/>
  <c r="S99" i="1"/>
  <c r="U99" i="1" s="1"/>
  <c r="D173" i="5"/>
  <c r="W173" i="5"/>
  <c r="B173" i="5"/>
  <c r="F173" i="5" s="1"/>
  <c r="S167" i="1"/>
  <c r="AO24" i="1"/>
  <c r="BD24" i="1" s="1"/>
  <c r="BJ48" i="1"/>
  <c r="AN48" i="1" s="1"/>
  <c r="AO93" i="1"/>
  <c r="BJ37" i="1"/>
  <c r="BJ163" i="1"/>
  <c r="BJ133" i="1"/>
  <c r="AN133" i="1" s="1"/>
  <c r="BJ125" i="1"/>
  <c r="AN125" i="1" s="1"/>
  <c r="AO45" i="1"/>
  <c r="CC208" i="1"/>
  <c r="L208" i="1" s="1"/>
  <c r="P208" i="1"/>
  <c r="CC205" i="1"/>
  <c r="CC33" i="1"/>
  <c r="L33" i="1" s="1"/>
  <c r="CC127" i="1"/>
  <c r="BE34" i="3"/>
  <c r="BL34" i="3" s="1"/>
  <c r="BE326" i="3"/>
  <c r="BL326" i="3" s="1"/>
  <c r="AO64" i="1"/>
  <c r="BJ126" i="1"/>
  <c r="BJ22" i="1"/>
  <c r="AN22" i="1" s="1"/>
  <c r="BJ165" i="1"/>
  <c r="BZ165" i="1" s="1"/>
  <c r="BJ32" i="1"/>
  <c r="CC207" i="1"/>
  <c r="L207" i="1" s="1"/>
  <c r="BJ192" i="1"/>
  <c r="S124" i="1"/>
  <c r="BJ33" i="1"/>
  <c r="BJ189" i="1"/>
  <c r="BZ189" i="1" s="1"/>
  <c r="J55" i="1"/>
  <c r="BF55" i="1" s="1"/>
  <c r="BJ77" i="1"/>
  <c r="BJ104" i="1"/>
  <c r="BJ65" i="1"/>
  <c r="BO191" i="1"/>
  <c r="AY191" i="1"/>
  <c r="BA191" i="1"/>
  <c r="CH191" i="1"/>
  <c r="O191" i="1"/>
  <c r="BB191" i="1"/>
  <c r="CJ191" i="1"/>
  <c r="AS191" i="1"/>
  <c r="BZ191" i="1"/>
  <c r="AX191" i="1"/>
  <c r="BV191" i="1"/>
  <c r="BX191" i="1"/>
  <c r="L191" i="1" s="1"/>
  <c r="AC191" i="1"/>
  <c r="CB191" i="1"/>
  <c r="CF191" i="1"/>
  <c r="BC191" i="1"/>
  <c r="BY191" i="1"/>
  <c r="CE191" i="1"/>
  <c r="CG191" i="1"/>
  <c r="I191" i="1"/>
  <c r="CI191" i="1"/>
  <c r="AZ191" i="1"/>
  <c r="AV191" i="1"/>
  <c r="M191" i="1"/>
  <c r="N191" i="1"/>
  <c r="AR191" i="1"/>
  <c r="AO57" i="1"/>
  <c r="BH57" i="1" s="1"/>
  <c r="B191" i="5"/>
  <c r="E201" i="5"/>
  <c r="B201" i="5"/>
  <c r="Y189" i="5"/>
  <c r="B189" i="5"/>
  <c r="F189" i="5" s="1"/>
  <c r="AO72" i="1"/>
  <c r="B190" i="5"/>
  <c r="Y183" i="5"/>
  <c r="B183" i="5"/>
  <c r="P166" i="1"/>
  <c r="CA166" i="1" s="1"/>
  <c r="BJ84" i="1"/>
  <c r="BJ128" i="1"/>
  <c r="CC82" i="1"/>
  <c r="L82" i="1" s="1"/>
  <c r="BJ72" i="1"/>
  <c r="BK72" i="1" s="1"/>
  <c r="BJ195" i="1"/>
  <c r="BZ195" i="1" s="1"/>
  <c r="P167" i="1"/>
  <c r="BJ44" i="1"/>
  <c r="BK44" i="1" s="1"/>
  <c r="AO109" i="1"/>
  <c r="BH109" i="1" s="1"/>
  <c r="E193" i="5"/>
  <c r="D193" i="5"/>
  <c r="Z193" i="5"/>
  <c r="AA193" i="5"/>
  <c r="B193" i="5"/>
  <c r="Y193" i="5" s="1"/>
  <c r="AC193" i="5"/>
  <c r="AO50" i="1"/>
  <c r="K50" i="1" s="1"/>
  <c r="AI131" i="1"/>
  <c r="AJ131" i="1" s="1"/>
  <c r="BJ93" i="1"/>
  <c r="AO125" i="1"/>
  <c r="BD125" i="1" s="1"/>
  <c r="AO200" i="1"/>
  <c r="AO82" i="1"/>
  <c r="BE82" i="3" s="1"/>
  <c r="BL82" i="3" s="1"/>
  <c r="AO100" i="1"/>
  <c r="AP100" i="1" s="1"/>
  <c r="AB100" i="5" s="1"/>
  <c r="AO127" i="1"/>
  <c r="BJ49" i="1"/>
  <c r="J40" i="1"/>
  <c r="S109" i="1"/>
  <c r="V109" i="1" s="1"/>
  <c r="J203" i="1"/>
  <c r="CD203" i="1" s="1"/>
  <c r="J138" i="1"/>
  <c r="BW138" i="1" s="1"/>
  <c r="AI21" i="1"/>
  <c r="AM21" i="1" s="1"/>
  <c r="CC100" i="1"/>
  <c r="L100" i="1" s="1"/>
  <c r="BJ34" i="1"/>
  <c r="AO165" i="1"/>
  <c r="AO77" i="1"/>
  <c r="J160" i="1"/>
  <c r="AI121" i="1"/>
  <c r="AO134" i="1"/>
  <c r="AI134" i="1" s="1"/>
  <c r="S134" i="5" s="1"/>
  <c r="AO97" i="1"/>
  <c r="BJ209" i="1"/>
  <c r="AN209" i="1" s="1"/>
  <c r="BJ129" i="1"/>
  <c r="BZ129" i="1" s="1"/>
  <c r="S170" i="1"/>
  <c r="S207" i="1"/>
  <c r="G207" i="5" s="1"/>
  <c r="BE181" i="3"/>
  <c r="BL181" i="3" s="1"/>
  <c r="BJ83" i="1"/>
  <c r="BJ36" i="1"/>
  <c r="AN36" i="1" s="1"/>
  <c r="BJ158" i="1"/>
  <c r="AN158" i="1" s="1"/>
  <c r="BJ19" i="1"/>
  <c r="BZ19" i="1" s="1"/>
  <c r="BJ53" i="1"/>
  <c r="BK53" i="1" s="1"/>
  <c r="BJ160" i="1"/>
  <c r="BZ160" i="1" s="1"/>
  <c r="BJ5" i="1"/>
  <c r="CC45" i="1"/>
  <c r="BE279" i="3"/>
  <c r="BL279" i="3" s="1"/>
  <c r="BJ54" i="1"/>
  <c r="BK54" i="1" s="1"/>
  <c r="BA193" i="1"/>
  <c r="AC193" i="1"/>
  <c r="BY193" i="1"/>
  <c r="BB193" i="1"/>
  <c r="CH193" i="1"/>
  <c r="CB193" i="1"/>
  <c r="CF193" i="1"/>
  <c r="AR193" i="1"/>
  <c r="BO193" i="1"/>
  <c r="AX193" i="1"/>
  <c r="I193" i="1"/>
  <c r="BM193" i="1" s="1"/>
  <c r="CE193" i="1"/>
  <c r="CI193" i="1"/>
  <c r="CG193" i="1"/>
  <c r="N193" i="1"/>
  <c r="AV193" i="1"/>
  <c r="BV193" i="1"/>
  <c r="BX193" i="1"/>
  <c r="BC193" i="1"/>
  <c r="CJ193" i="1"/>
  <c r="O193" i="1"/>
  <c r="AS193" i="1"/>
  <c r="AY193" i="1"/>
  <c r="BJ197" i="1"/>
  <c r="AI52" i="1"/>
  <c r="AL52" i="1" s="1"/>
  <c r="BJ172" i="1"/>
  <c r="BK172" i="1" s="1"/>
  <c r="BJ67" i="1"/>
  <c r="BK67" i="1" s="1"/>
  <c r="BJ56" i="1"/>
  <c r="BM74" i="1"/>
  <c r="BJ198" i="1"/>
  <c r="BJ207" i="1"/>
  <c r="AN207" i="1" s="1"/>
  <c r="BC220" i="3"/>
  <c r="BM220" i="3" s="1"/>
  <c r="J185" i="1"/>
  <c r="AI166" i="1"/>
  <c r="BJ68" i="1"/>
  <c r="AN68" i="1" s="1"/>
  <c r="BJ95" i="1"/>
  <c r="BJ10" i="1"/>
  <c r="AN10" i="1" s="1"/>
  <c r="S108" i="1"/>
  <c r="W108" i="1" s="1"/>
  <c r="AI59" i="1"/>
  <c r="AM59" i="1" s="1"/>
  <c r="BJ109" i="1"/>
  <c r="AI30" i="1"/>
  <c r="AL30" i="1" s="1"/>
  <c r="CC77" i="1"/>
  <c r="S68" i="1"/>
  <c r="T68" i="1" s="1"/>
  <c r="BJ184" i="1"/>
  <c r="BK184" i="1" s="1"/>
  <c r="BJ103" i="1"/>
  <c r="BJ117" i="1"/>
  <c r="AN117" i="1" s="1"/>
  <c r="AI55" i="1"/>
  <c r="AK55" i="1" s="1"/>
  <c r="S128" i="1"/>
  <c r="G128" i="5" s="1"/>
  <c r="H128" i="5" s="1"/>
  <c r="BE259" i="3"/>
  <c r="BL259" i="3" s="1"/>
  <c r="J293" i="5" s="1"/>
  <c r="A191" i="1"/>
  <c r="A191" i="5" s="1"/>
  <c r="S191" i="1"/>
  <c r="AI58" i="1"/>
  <c r="S152" i="1"/>
  <c r="G152" i="5" s="1"/>
  <c r="J152" i="5" s="1"/>
  <c r="BJ99" i="1"/>
  <c r="BZ99" i="1" s="1"/>
  <c r="BJ21" i="1"/>
  <c r="BK21" i="1" s="1"/>
  <c r="BJ66" i="1"/>
  <c r="BJ185" i="1"/>
  <c r="BK185" i="1" s="1"/>
  <c r="S18" i="1"/>
  <c r="BJ204" i="1"/>
  <c r="BK204" i="1" s="1"/>
  <c r="AI44" i="1"/>
  <c r="BM200" i="3"/>
  <c r="BC200" i="3"/>
  <c r="BC223" i="3"/>
  <c r="AI50" i="1"/>
  <c r="AL50" i="1" s="1"/>
  <c r="S204" i="1"/>
  <c r="W204" i="1" s="1"/>
  <c r="AI139" i="1"/>
  <c r="AM139" i="1" s="1"/>
  <c r="BJ138" i="1"/>
  <c r="AI108" i="1"/>
  <c r="BE278" i="3"/>
  <c r="BL278" i="3" s="1"/>
  <c r="AO71" i="1"/>
  <c r="K71" i="1" s="1"/>
  <c r="AO208" i="1"/>
  <c r="X208" i="1" s="1"/>
  <c r="AB208" i="1" s="1"/>
  <c r="CB163" i="1"/>
  <c r="CH163" i="1"/>
  <c r="BA163" i="1"/>
  <c r="BO163" i="1"/>
  <c r="AC163" i="1"/>
  <c r="N163" i="1"/>
  <c r="BC163" i="1"/>
  <c r="CF163" i="1"/>
  <c r="BY163" i="1"/>
  <c r="O163" i="1"/>
  <c r="CE163" i="1"/>
  <c r="CG163" i="1"/>
  <c r="BB163" i="1"/>
  <c r="M163" i="1"/>
  <c r="CJ163" i="1"/>
  <c r="AR163" i="1"/>
  <c r="AZ163" i="1"/>
  <c r="AV163" i="1"/>
  <c r="AS163" i="1"/>
  <c r="AX163" i="1"/>
  <c r="CI163" i="1"/>
  <c r="BV163" i="1"/>
  <c r="AY163" i="1"/>
  <c r="I163" i="1"/>
  <c r="J95" i="1"/>
  <c r="BG95" i="1" s="1"/>
  <c r="AI209" i="1"/>
  <c r="S132" i="1"/>
  <c r="AI11" i="1"/>
  <c r="AM11" i="1" s="1"/>
  <c r="P200" i="1"/>
  <c r="AI193" i="1"/>
  <c r="J32" i="1"/>
  <c r="BF32" i="1" s="1"/>
  <c r="BJ90" i="1"/>
  <c r="S76" i="1"/>
  <c r="AI24" i="1"/>
  <c r="AI63" i="1"/>
  <c r="AM63" i="1" s="1"/>
  <c r="J128" i="1"/>
  <c r="AO206" i="1"/>
  <c r="X206" i="1" s="1"/>
  <c r="Y206" i="1" s="1"/>
  <c r="S139" i="1"/>
  <c r="V139" i="1" s="1"/>
  <c r="BJ196" i="1"/>
  <c r="BJ8" i="1"/>
  <c r="AO33" i="1"/>
  <c r="BH33" i="1" s="1"/>
  <c r="AO88" i="1"/>
  <c r="Q88" i="1" s="1"/>
  <c r="R88" i="1" s="1"/>
  <c r="AO27" i="1"/>
  <c r="S27" i="1" s="1"/>
  <c r="T27" i="1" s="1"/>
  <c r="S90" i="1"/>
  <c r="W90" i="1" s="1"/>
  <c r="BJ29" i="1"/>
  <c r="AO204" i="1"/>
  <c r="S94" i="1"/>
  <c r="BJ122" i="1"/>
  <c r="BK122" i="1" s="1"/>
  <c r="BJ206" i="1"/>
  <c r="AO202" i="1"/>
  <c r="BD202" i="1" s="1"/>
  <c r="S77" i="1"/>
  <c r="W77" i="1" s="1"/>
  <c r="CC161" i="1"/>
  <c r="L161" i="1" s="1"/>
  <c r="BC266" i="3"/>
  <c r="S136" i="1"/>
  <c r="S36" i="1"/>
  <c r="W36" i="1" s="1"/>
  <c r="AI111" i="1"/>
  <c r="AM111" i="1" s="1"/>
  <c r="CC199" i="1"/>
  <c r="BJ87" i="1"/>
  <c r="BJ102" i="1"/>
  <c r="AI56" i="1"/>
  <c r="AK56" i="1" s="1"/>
  <c r="J184" i="1"/>
  <c r="BF184" i="1" s="1"/>
  <c r="AI196" i="1"/>
  <c r="S196" i="5" s="1"/>
  <c r="U196" i="5" s="1"/>
  <c r="S201" i="1"/>
  <c r="BE167" i="3"/>
  <c r="BL167" i="3" s="1"/>
  <c r="BJ61" i="1"/>
  <c r="BK61" i="1" s="1"/>
  <c r="S203" i="1"/>
  <c r="U203" i="1" s="1"/>
  <c r="AO20" i="1"/>
  <c r="BH20" i="1" s="1"/>
  <c r="AI7" i="1"/>
  <c r="S7" i="5" s="1"/>
  <c r="BJ130" i="1"/>
  <c r="BK130" i="1" s="1"/>
  <c r="S166" i="1"/>
  <c r="S126" i="1"/>
  <c r="T126" i="1" s="1"/>
  <c r="AI148" i="1"/>
  <c r="AJ148" i="1" s="1"/>
  <c r="AO25" i="1"/>
  <c r="BD25" i="1" s="1"/>
  <c r="AI141" i="1"/>
  <c r="AJ141" i="1" s="1"/>
  <c r="AI39" i="1"/>
  <c r="J140" i="1"/>
  <c r="BF140" i="1" s="1"/>
  <c r="AI81" i="1"/>
  <c r="AK81" i="1" s="1"/>
  <c r="AI126" i="1"/>
  <c r="BJ42" i="1"/>
  <c r="BK42" i="1" s="1"/>
  <c r="A193" i="1"/>
  <c r="A193" i="5" s="1"/>
  <c r="S193" i="1"/>
  <c r="W193" i="1" s="1"/>
  <c r="S159" i="1"/>
  <c r="BC222" i="3"/>
  <c r="AI64" i="1"/>
  <c r="S64" i="5" s="1"/>
  <c r="S29" i="1"/>
  <c r="T29" i="1" s="1"/>
  <c r="BJ121" i="1"/>
  <c r="BZ121" i="1" s="1"/>
  <c r="J65" i="1"/>
  <c r="BJ114" i="1"/>
  <c r="J158" i="1"/>
  <c r="S15" i="1"/>
  <c r="W15" i="1" s="1"/>
  <c r="S200" i="1"/>
  <c r="AI100" i="1"/>
  <c r="AI73" i="1"/>
  <c r="AL73" i="1" s="1"/>
  <c r="AI60" i="1"/>
  <c r="AI5" i="1"/>
  <c r="AM5" i="1" s="1"/>
  <c r="AI69" i="1"/>
  <c r="S140" i="1"/>
  <c r="J164" i="1"/>
  <c r="AI12" i="1"/>
  <c r="AK12" i="1" s="1"/>
  <c r="AI91" i="1"/>
  <c r="AM91" i="1" s="1"/>
  <c r="S85" i="1"/>
  <c r="U85" i="1" s="1"/>
  <c r="S160" i="1"/>
  <c r="T160" i="1" s="1"/>
  <c r="AI8" i="1"/>
  <c r="AK8" i="1" s="1"/>
  <c r="S41" i="1"/>
  <c r="AI129" i="1"/>
  <c r="AJ129" i="1" s="1"/>
  <c r="AI106" i="1"/>
  <c r="AI67" i="1"/>
  <c r="AJ67" i="1" s="1"/>
  <c r="S148" i="1"/>
  <c r="U148" i="1" s="1"/>
  <c r="BE297" i="3"/>
  <c r="BL297" i="3" s="1"/>
  <c r="J282" i="5" s="1"/>
  <c r="S3" i="1"/>
  <c r="G3" i="5" s="1"/>
  <c r="H3" i="5" s="1"/>
  <c r="S86" i="1"/>
  <c r="G86" i="5" s="1"/>
  <c r="I86" i="5" s="1"/>
  <c r="AI37" i="1"/>
  <c r="AJ37" i="1" s="1"/>
  <c r="S121" i="1"/>
  <c r="S194" i="1"/>
  <c r="V194" i="1" s="1"/>
  <c r="AI13" i="1"/>
  <c r="AJ13" i="1" s="1"/>
  <c r="CC166" i="1"/>
  <c r="L166" i="1" s="1"/>
  <c r="AI76" i="1"/>
  <c r="S20" i="1"/>
  <c r="G20" i="5" s="1"/>
  <c r="BE175" i="3"/>
  <c r="BL175" i="3" s="1"/>
  <c r="BB185" i="1"/>
  <c r="AX185" i="1"/>
  <c r="BA185" i="1"/>
  <c r="CE185" i="1"/>
  <c r="AR185" i="1"/>
  <c r="AV185" i="1"/>
  <c r="BY185" i="1"/>
  <c r="I185" i="1"/>
  <c r="CB185" i="1"/>
  <c r="AS185" i="1"/>
  <c r="AY185" i="1"/>
  <c r="CG185" i="1"/>
  <c r="BX185" i="1"/>
  <c r="CF185" i="1"/>
  <c r="BC185" i="1"/>
  <c r="CH185" i="1"/>
  <c r="AC185" i="1"/>
  <c r="O185" i="1"/>
  <c r="CJ185" i="1"/>
  <c r="BO185" i="1"/>
  <c r="CI185" i="1"/>
  <c r="N185" i="1"/>
  <c r="BV185" i="1"/>
  <c r="BZ200" i="1"/>
  <c r="CJ200" i="1"/>
  <c r="AX200" i="1"/>
  <c r="BY200" i="1"/>
  <c r="AR200" i="1"/>
  <c r="BA200" i="1"/>
  <c r="CF200" i="1"/>
  <c r="AV200" i="1"/>
  <c r="BO200" i="1"/>
  <c r="AC200" i="1"/>
  <c r="BC200" i="1"/>
  <c r="CG200" i="1"/>
  <c r="BB200" i="1"/>
  <c r="BV200" i="1"/>
  <c r="CI200" i="1"/>
  <c r="CB200" i="1"/>
  <c r="I200" i="1"/>
  <c r="AS200" i="1"/>
  <c r="M200" i="1"/>
  <c r="CH200" i="1"/>
  <c r="AY200" i="1"/>
  <c r="CE200" i="1"/>
  <c r="CC27" i="1"/>
  <c r="L27" i="1" s="1"/>
  <c r="AI53" i="1"/>
  <c r="AJ53" i="1" s="1"/>
  <c r="AI164" i="1"/>
  <c r="AM164" i="1" s="1"/>
  <c r="S62" i="1"/>
  <c r="T62" i="1" s="1"/>
  <c r="BE325" i="3"/>
  <c r="BL325" i="3" s="1"/>
  <c r="S88" i="1"/>
  <c r="AI96" i="1"/>
  <c r="AI86" i="1"/>
  <c r="AL86" i="1" s="1"/>
  <c r="AI87" i="1"/>
  <c r="AD209" i="1"/>
  <c r="AH209" i="1" s="1"/>
  <c r="AI119" i="1"/>
  <c r="S119" i="5" s="1"/>
  <c r="V119" i="5" s="1"/>
  <c r="S153" i="1"/>
  <c r="S93" i="1"/>
  <c r="S102" i="1"/>
  <c r="AI118" i="1"/>
  <c r="S205" i="1"/>
  <c r="S197" i="1"/>
  <c r="V197" i="1" s="1"/>
  <c r="CI203" i="1"/>
  <c r="I203" i="1"/>
  <c r="AR203" i="1"/>
  <c r="CF203" i="1"/>
  <c r="BB203" i="1"/>
  <c r="BC203" i="1"/>
  <c r="BV203" i="1"/>
  <c r="AZ203" i="1"/>
  <c r="CE203" i="1"/>
  <c r="BY203" i="1"/>
  <c r="BA203" i="1"/>
  <c r="CB203" i="1"/>
  <c r="BZ203" i="1"/>
  <c r="AX203" i="1"/>
  <c r="AV203" i="1"/>
  <c r="N203" i="1"/>
  <c r="BO203" i="1"/>
  <c r="BQ203" i="1" s="1"/>
  <c r="M203" i="1"/>
  <c r="AC203" i="1"/>
  <c r="CJ203" i="1"/>
  <c r="CH203" i="1"/>
  <c r="CG203" i="1"/>
  <c r="AY203" i="1"/>
  <c r="O203" i="1"/>
  <c r="AS203" i="1"/>
  <c r="BC219" i="3"/>
  <c r="AO207" i="1"/>
  <c r="S206" i="1"/>
  <c r="V206" i="1" s="1"/>
  <c r="AI142" i="1"/>
  <c r="AK142" i="1" s="1"/>
  <c r="AI29" i="1"/>
  <c r="AM29" i="1" s="1"/>
  <c r="CC209" i="1"/>
  <c r="L209" i="1" s="1"/>
  <c r="S61" i="1"/>
  <c r="G61" i="5" s="1"/>
  <c r="S157" i="1"/>
  <c r="X162" i="5"/>
  <c r="B162" i="5"/>
  <c r="Y162" i="5" s="1"/>
  <c r="AI57" i="1"/>
  <c r="S57" i="5" s="1"/>
  <c r="S146" i="1"/>
  <c r="BJ27" i="1"/>
  <c r="S150" i="1"/>
  <c r="U150" i="1" s="1"/>
  <c r="S92" i="1"/>
  <c r="W92" i="1" s="1"/>
  <c r="AI110" i="1"/>
  <c r="AK110" i="1" s="1"/>
  <c r="AI70" i="1"/>
  <c r="AO205" i="1"/>
  <c r="CC41" i="1"/>
  <c r="AI169" i="1"/>
  <c r="AI47" i="1"/>
  <c r="AI197" i="1"/>
  <c r="S33" i="1"/>
  <c r="N205" i="1"/>
  <c r="AR205" i="1"/>
  <c r="AV205" i="1"/>
  <c r="BZ205" i="1"/>
  <c r="I205" i="1"/>
  <c r="AC205" i="1"/>
  <c r="CG205" i="1"/>
  <c r="L205" i="1"/>
  <c r="BB205" i="1"/>
  <c r="BY205" i="1"/>
  <c r="BO205" i="1"/>
  <c r="BC205" i="1"/>
  <c r="CI205" i="1"/>
  <c r="CB205" i="1"/>
  <c r="AX205" i="1"/>
  <c r="AS205" i="1"/>
  <c r="CF205" i="1"/>
  <c r="CH205" i="1"/>
  <c r="AY205" i="1"/>
  <c r="AZ205" i="1"/>
  <c r="BV205" i="1"/>
  <c r="M205" i="1"/>
  <c r="CE205" i="1"/>
  <c r="O205" i="1"/>
  <c r="BA205" i="1"/>
  <c r="CJ205" i="1"/>
  <c r="A205" i="1"/>
  <c r="A205" i="5" s="1"/>
  <c r="AI80" i="1"/>
  <c r="AI79" i="1"/>
  <c r="AI6" i="1"/>
  <c r="AJ6" i="1" s="1"/>
  <c r="S87" i="1"/>
  <c r="S37" i="1"/>
  <c r="U37" i="1" s="1"/>
  <c r="S30" i="1"/>
  <c r="T30" i="1" s="1"/>
  <c r="AO209" i="1"/>
  <c r="Q209" i="1" s="1"/>
  <c r="R209" i="1" s="1"/>
  <c r="AI172" i="1"/>
  <c r="AJ172" i="1" s="1"/>
  <c r="S82" i="1"/>
  <c r="G82" i="5" s="1"/>
  <c r="AI48" i="1"/>
  <c r="AJ48" i="1" s="1"/>
  <c r="AI72" i="1"/>
  <c r="AI61" i="1"/>
  <c r="W165" i="5"/>
  <c r="E165" i="5"/>
  <c r="Y165" i="5"/>
  <c r="B165" i="5"/>
  <c r="AI145" i="1"/>
  <c r="S4" i="1"/>
  <c r="AI88" i="1"/>
  <c r="AI35" i="1"/>
  <c r="AL35" i="1" s="1"/>
  <c r="S163" i="1"/>
  <c r="T163" i="1" s="1"/>
  <c r="S185" i="1"/>
  <c r="V185" i="1" s="1"/>
  <c r="AI97" i="1"/>
  <c r="AK97" i="1" s="1"/>
  <c r="AI25" i="1"/>
  <c r="S25" i="5" s="1"/>
  <c r="S40" i="1"/>
  <c r="T40" i="1" s="1"/>
  <c r="AI26" i="1"/>
  <c r="AO132" i="1"/>
  <c r="BH132" i="1" s="1"/>
  <c r="AI49" i="1"/>
  <c r="S154" i="1"/>
  <c r="G154" i="5" s="1"/>
  <c r="S59" i="1"/>
  <c r="AI10" i="1"/>
  <c r="AK10" i="1" s="1"/>
  <c r="X162" i="1"/>
  <c r="S101" i="1"/>
  <c r="W101" i="1" s="1"/>
  <c r="BO119" i="1"/>
  <c r="BQ119" i="1" s="1"/>
  <c r="CE119" i="1"/>
  <c r="BV119" i="1"/>
  <c r="CJ119" i="1"/>
  <c r="AZ119" i="1"/>
  <c r="N119" i="1"/>
  <c r="CI119" i="1"/>
  <c r="AC119" i="1"/>
  <c r="AV119" i="1"/>
  <c r="CH119" i="1"/>
  <c r="AY119" i="1"/>
  <c r="AR119" i="1"/>
  <c r="BC119" i="1"/>
  <c r="AX119" i="1"/>
  <c r="CF119" i="1"/>
  <c r="O119" i="1"/>
  <c r="BB119" i="1"/>
  <c r="CG119" i="1"/>
  <c r="CB119" i="1"/>
  <c r="BY119" i="1"/>
  <c r="BA119" i="1"/>
  <c r="I119" i="1"/>
  <c r="AS119" i="1"/>
  <c r="M119" i="1"/>
  <c r="S169" i="1"/>
  <c r="W169" i="1" s="1"/>
  <c r="AI77" i="1"/>
  <c r="S77" i="5" s="1"/>
  <c r="S114" i="1"/>
  <c r="G114" i="5" s="1"/>
  <c r="S129" i="1"/>
  <c r="T129" i="1" s="1"/>
  <c r="S83" i="1"/>
  <c r="U83" i="1" s="1"/>
  <c r="X184" i="1"/>
  <c r="AA184" i="1" s="1"/>
  <c r="S115" i="1"/>
  <c r="S23" i="1"/>
  <c r="AI112" i="1"/>
  <c r="AK112" i="1" s="1"/>
  <c r="CF165" i="1"/>
  <c r="M165" i="1"/>
  <c r="CJ165" i="1"/>
  <c r="CG165" i="1"/>
  <c r="N165" i="1"/>
  <c r="BB165" i="1"/>
  <c r="CH165" i="1"/>
  <c r="CI165" i="1"/>
  <c r="BC165" i="1"/>
  <c r="AS165" i="1"/>
  <c r="I165" i="1"/>
  <c r="BO165" i="1"/>
  <c r="AY165" i="1"/>
  <c r="AX165" i="1"/>
  <c r="AV165" i="1"/>
  <c r="BY165" i="1"/>
  <c r="AC165" i="1"/>
  <c r="BV165" i="1"/>
  <c r="AR165" i="1"/>
  <c r="CE165" i="1"/>
  <c r="O165" i="1"/>
  <c r="L165" i="1"/>
  <c r="BA165" i="1"/>
  <c r="CB165" i="1"/>
  <c r="AI185" i="1"/>
  <c r="AM185" i="1" s="1"/>
  <c r="S25" i="1"/>
  <c r="S55" i="1"/>
  <c r="BJ161" i="1"/>
  <c r="S122" i="1"/>
  <c r="BB198" i="1"/>
  <c r="AR198" i="1"/>
  <c r="AC198" i="1"/>
  <c r="CB198" i="1"/>
  <c r="BV198" i="1"/>
  <c r="BA198" i="1"/>
  <c r="AV198" i="1"/>
  <c r="N198" i="1"/>
  <c r="BY198" i="1"/>
  <c r="BC198" i="1"/>
  <c r="AS198" i="1"/>
  <c r="CF198" i="1"/>
  <c r="AX198" i="1"/>
  <c r="O198" i="1"/>
  <c r="CJ198" i="1"/>
  <c r="CI198" i="1"/>
  <c r="BO198" i="1"/>
  <c r="CH198" i="1"/>
  <c r="AZ198" i="1"/>
  <c r="AY198" i="1"/>
  <c r="CG198" i="1"/>
  <c r="CE198" i="1"/>
  <c r="BX198" i="1"/>
  <c r="I198" i="1"/>
  <c r="BC98" i="1"/>
  <c r="BY98" i="1"/>
  <c r="CG98" i="1"/>
  <c r="CI98" i="1"/>
  <c r="CH98" i="1"/>
  <c r="AY98" i="1"/>
  <c r="BV98" i="1"/>
  <c r="CB98" i="1"/>
  <c r="CJ98" i="1"/>
  <c r="AZ98" i="1"/>
  <c r="I98" i="1"/>
  <c r="AR98" i="1"/>
  <c r="AX98" i="1"/>
  <c r="AC98" i="1"/>
  <c r="AS98" i="1"/>
  <c r="BA98" i="1"/>
  <c r="CF98" i="1"/>
  <c r="BO98" i="1"/>
  <c r="M98" i="1"/>
  <c r="AV98" i="1"/>
  <c r="BB98" i="1"/>
  <c r="CE98" i="1"/>
  <c r="BH98" i="1"/>
  <c r="AI46" i="1"/>
  <c r="AM46" i="1" s="1"/>
  <c r="AI36" i="1"/>
  <c r="CG122" i="1"/>
  <c r="AY122" i="1"/>
  <c r="BB122" i="1"/>
  <c r="AC122" i="1"/>
  <c r="AS122" i="1"/>
  <c r="BY122" i="1"/>
  <c r="AX122" i="1"/>
  <c r="BA122" i="1"/>
  <c r="CJ122" i="1"/>
  <c r="BO122" i="1"/>
  <c r="BQ122" i="1" s="1"/>
  <c r="L122" i="1"/>
  <c r="AV122" i="1"/>
  <c r="CF122" i="1"/>
  <c r="CH122" i="1"/>
  <c r="BC122" i="1"/>
  <c r="I122" i="1"/>
  <c r="AR122" i="1"/>
  <c r="BV122" i="1"/>
  <c r="CI122" i="1"/>
  <c r="M122" i="1"/>
  <c r="CB122" i="1"/>
  <c r="CE122" i="1"/>
  <c r="CF99" i="1"/>
  <c r="AV99" i="1"/>
  <c r="CB99" i="1"/>
  <c r="CI99" i="1"/>
  <c r="M99" i="1"/>
  <c r="O99" i="1"/>
  <c r="I99" i="1"/>
  <c r="BC99" i="1"/>
  <c r="AZ99" i="1"/>
  <c r="BY99" i="1"/>
  <c r="BA99" i="1"/>
  <c r="N99" i="1"/>
  <c r="AV99" i="3" s="1"/>
  <c r="AY99" i="1"/>
  <c r="CG99" i="1"/>
  <c r="AS99" i="1"/>
  <c r="AX99" i="1"/>
  <c r="CE99" i="1"/>
  <c r="AR99" i="1"/>
  <c r="BO99" i="1"/>
  <c r="BQ99" i="1" s="1"/>
  <c r="BB99" i="1"/>
  <c r="CJ99" i="1"/>
  <c r="CH99" i="1"/>
  <c r="BV99" i="1"/>
  <c r="AC99" i="1"/>
  <c r="AI41" i="1"/>
  <c r="CG201" i="1"/>
  <c r="BO201" i="1"/>
  <c r="M201" i="1"/>
  <c r="AZ201" i="1"/>
  <c r="AV201" i="1"/>
  <c r="BV201" i="1"/>
  <c r="AS201" i="1"/>
  <c r="AY201" i="1"/>
  <c r="AC201" i="1"/>
  <c r="BY201" i="1"/>
  <c r="CJ201" i="1"/>
  <c r="CH201" i="1"/>
  <c r="BZ201" i="1"/>
  <c r="CB201" i="1"/>
  <c r="BC201" i="1"/>
  <c r="BB201" i="1"/>
  <c r="I201" i="1"/>
  <c r="BM201" i="1" s="1"/>
  <c r="CI201" i="1"/>
  <c r="CE201" i="1"/>
  <c r="AR201" i="1"/>
  <c r="CF201" i="1"/>
  <c r="AX201" i="1"/>
  <c r="BA201" i="1"/>
  <c r="S58" i="1"/>
  <c r="U58" i="1" s="1"/>
  <c r="S158" i="1"/>
  <c r="W158" i="1" s="1"/>
  <c r="S188" i="1"/>
  <c r="BA173" i="1"/>
  <c r="CI173" i="1"/>
  <c r="CG173" i="1"/>
  <c r="BY173" i="1"/>
  <c r="CE173" i="1"/>
  <c r="BV173" i="1"/>
  <c r="AR173" i="1"/>
  <c r="AC173" i="1"/>
  <c r="O173" i="1"/>
  <c r="BB173" i="1"/>
  <c r="AS173" i="1"/>
  <c r="BC173" i="1"/>
  <c r="BH173" i="1"/>
  <c r="N173" i="1"/>
  <c r="CF173" i="1"/>
  <c r="AX173" i="1"/>
  <c r="AV173" i="1"/>
  <c r="M173" i="1"/>
  <c r="I173" i="1"/>
  <c r="AY173" i="1"/>
  <c r="CJ173" i="1"/>
  <c r="AZ173" i="1"/>
  <c r="CH173" i="1"/>
  <c r="CB173" i="1"/>
  <c r="BO173" i="1"/>
  <c r="BQ173" i="1" s="1"/>
  <c r="CE18" i="1"/>
  <c r="L18" i="1"/>
  <c r="I18" i="1"/>
  <c r="M18" i="1"/>
  <c r="CF18" i="1"/>
  <c r="CH18" i="1"/>
  <c r="BV18" i="1"/>
  <c r="BB18" i="1"/>
  <c r="BY18" i="1"/>
  <c r="N18" i="1"/>
  <c r="AV18" i="1"/>
  <c r="BO18" i="1"/>
  <c r="BQ18" i="1" s="1"/>
  <c r="AR18" i="1"/>
  <c r="AZ18" i="1"/>
  <c r="BC18" i="1"/>
  <c r="CI18" i="1"/>
  <c r="AS18" i="1"/>
  <c r="CG18" i="1"/>
  <c r="CJ18" i="1"/>
  <c r="AX18" i="1"/>
  <c r="AC18" i="1"/>
  <c r="BA18" i="1"/>
  <c r="O18" i="1"/>
  <c r="AY18" i="1"/>
  <c r="CB18" i="1"/>
  <c r="CH87" i="1"/>
  <c r="BO87" i="1"/>
  <c r="BA87" i="1"/>
  <c r="BC87" i="1"/>
  <c r="M87" i="1"/>
  <c r="CJ87" i="1"/>
  <c r="AR87" i="1"/>
  <c r="CF87" i="1"/>
  <c r="AZ87" i="1"/>
  <c r="CI87" i="1"/>
  <c r="BY87" i="1"/>
  <c r="O87" i="1"/>
  <c r="BV87" i="1"/>
  <c r="AS87" i="1"/>
  <c r="AY87" i="1"/>
  <c r="CE87" i="1"/>
  <c r="AX87" i="1"/>
  <c r="CB87" i="1"/>
  <c r="AV87" i="1"/>
  <c r="I87" i="1"/>
  <c r="BM87" i="1" s="1"/>
  <c r="BB87" i="1"/>
  <c r="CG87" i="1"/>
  <c r="AC87" i="1"/>
  <c r="N87" i="1"/>
  <c r="BC221" i="3"/>
  <c r="BM221" i="3" s="1"/>
  <c r="A203" i="1"/>
  <c r="A203" i="5" s="1"/>
  <c r="AI203" i="1"/>
  <c r="AI92" i="1"/>
  <c r="S173" i="1"/>
  <c r="V173" i="1" s="1"/>
  <c r="S71" i="1"/>
  <c r="V71" i="1" s="1"/>
  <c r="AI14" i="1"/>
  <c r="S34" i="1"/>
  <c r="S39" i="1"/>
  <c r="S155" i="1"/>
  <c r="V155" i="1" s="1"/>
  <c r="S100" i="1"/>
  <c r="B101" i="5"/>
  <c r="AI143" i="1"/>
  <c r="S143" i="5" s="1"/>
  <c r="V143" i="5" s="1"/>
  <c r="M207" i="1"/>
  <c r="AV207" i="1"/>
  <c r="CB207" i="1"/>
  <c r="CJ207" i="1"/>
  <c r="BZ207" i="1"/>
  <c r="CF207" i="1"/>
  <c r="BA207" i="1"/>
  <c r="BC207" i="1"/>
  <c r="AY207" i="1"/>
  <c r="O207" i="1"/>
  <c r="AS207" i="1"/>
  <c r="AC207" i="1"/>
  <c r="BO207" i="1"/>
  <c r="AR207" i="1"/>
  <c r="CH207" i="1"/>
  <c r="AX207" i="1"/>
  <c r="BV207" i="1"/>
  <c r="CI207" i="1"/>
  <c r="CE207" i="1"/>
  <c r="BB207" i="1"/>
  <c r="CG207" i="1"/>
  <c r="I207" i="1"/>
  <c r="N207" i="1"/>
  <c r="BY207" i="1"/>
  <c r="AI190" i="1"/>
  <c r="AJ190" i="1" s="1"/>
  <c r="S156" i="1"/>
  <c r="W156" i="1" s="1"/>
  <c r="S69" i="1"/>
  <c r="V69" i="1" s="1"/>
  <c r="CI126" i="1"/>
  <c r="CF126" i="1"/>
  <c r="AS126" i="1"/>
  <c r="BO126" i="1"/>
  <c r="M126" i="1"/>
  <c r="BY126" i="1"/>
  <c r="CG126" i="1"/>
  <c r="AZ126" i="1"/>
  <c r="BC126" i="1"/>
  <c r="BB126" i="1"/>
  <c r="CE126" i="1"/>
  <c r="AV126" i="1"/>
  <c r="AR126" i="1"/>
  <c r="O126" i="1"/>
  <c r="AC126" i="1"/>
  <c r="N126" i="1"/>
  <c r="CJ126" i="1"/>
  <c r="AX126" i="1"/>
  <c r="BA126" i="1"/>
  <c r="I126" i="1"/>
  <c r="AY126" i="1"/>
  <c r="BV126" i="1"/>
  <c r="CB126" i="1"/>
  <c r="CH126" i="1"/>
  <c r="S183" i="1"/>
  <c r="U183" i="1" s="1"/>
  <c r="BH167" i="1"/>
  <c r="I167" i="1"/>
  <c r="BV167" i="1"/>
  <c r="CB167" i="1"/>
  <c r="CE167" i="1"/>
  <c r="CI167" i="1"/>
  <c r="AY167" i="1"/>
  <c r="BC167" i="1"/>
  <c r="BB167" i="1"/>
  <c r="AV167" i="1"/>
  <c r="AC167" i="1"/>
  <c r="AZ167" i="1"/>
  <c r="AR167" i="1"/>
  <c r="CF167" i="1"/>
  <c r="AX167" i="1"/>
  <c r="M167" i="1"/>
  <c r="BY167" i="1"/>
  <c r="BA167" i="1"/>
  <c r="CH167" i="1"/>
  <c r="AS167" i="1"/>
  <c r="BO167" i="1"/>
  <c r="BQ167" i="1" s="1"/>
  <c r="CJ167" i="1"/>
  <c r="CG167" i="1"/>
  <c r="CH84" i="1"/>
  <c r="CB84" i="1"/>
  <c r="M84" i="1"/>
  <c r="AY84" i="1"/>
  <c r="AX84" i="1"/>
  <c r="AC84" i="1"/>
  <c r="CE84" i="1"/>
  <c r="BA84" i="1"/>
  <c r="AV84" i="1"/>
  <c r="CJ84" i="1"/>
  <c r="AZ84" i="1"/>
  <c r="BB84" i="1"/>
  <c r="BO84" i="1"/>
  <c r="AS84" i="1"/>
  <c r="N84" i="1"/>
  <c r="CG84" i="1"/>
  <c r="CI84" i="1"/>
  <c r="CF84" i="1"/>
  <c r="O84" i="1"/>
  <c r="BC84" i="1"/>
  <c r="AR84" i="1"/>
  <c r="BY84" i="1"/>
  <c r="BV84" i="1"/>
  <c r="BH84" i="1"/>
  <c r="I84" i="1"/>
  <c r="BC77" i="1"/>
  <c r="BY77" i="1"/>
  <c r="AS77" i="1"/>
  <c r="CJ77" i="1"/>
  <c r="CH77" i="1"/>
  <c r="AV77" i="1"/>
  <c r="AX77" i="1"/>
  <c r="CI77" i="1"/>
  <c r="AC77" i="1"/>
  <c r="AY77" i="1"/>
  <c r="M77" i="1"/>
  <c r="I77" i="1"/>
  <c r="BV77" i="1"/>
  <c r="CF77" i="1"/>
  <c r="BB77" i="1"/>
  <c r="BO77" i="1"/>
  <c r="N77" i="1"/>
  <c r="O77" i="1"/>
  <c r="CB77" i="1"/>
  <c r="CG77" i="1"/>
  <c r="BA77" i="1"/>
  <c r="AR77" i="1"/>
  <c r="CE77" i="1"/>
  <c r="AI135" i="1"/>
  <c r="AJ135" i="1" s="1"/>
  <c r="S91" i="1"/>
  <c r="U91" i="1" s="1"/>
  <c r="AI27" i="1"/>
  <c r="AM27" i="1" s="1"/>
  <c r="S74" i="1"/>
  <c r="X196" i="1"/>
  <c r="Y196" i="1" s="1"/>
  <c r="AI51" i="1"/>
  <c r="S51" i="5" s="1"/>
  <c r="A201" i="1"/>
  <c r="A201" i="5" s="1"/>
  <c r="AI201" i="1"/>
  <c r="AA67" i="5"/>
  <c r="Y67" i="5"/>
  <c r="E67" i="5"/>
  <c r="F67" i="5"/>
  <c r="X67" i="5"/>
  <c r="D67" i="5"/>
  <c r="AC67" i="5"/>
  <c r="B67" i="5"/>
  <c r="Z67" i="5" s="1"/>
  <c r="W67" i="5"/>
  <c r="S104" i="1"/>
  <c r="U104" i="1" s="1"/>
  <c r="AI78" i="1"/>
  <c r="AL78" i="1" s="1"/>
  <c r="S28" i="1"/>
  <c r="V28" i="1" s="1"/>
  <c r="AI99" i="1"/>
  <c r="S99" i="5" s="1"/>
  <c r="V99" i="5" s="1"/>
  <c r="B164" i="5"/>
  <c r="S81" i="1"/>
  <c r="U81" i="1" s="1"/>
  <c r="AI186" i="1"/>
  <c r="AI33" i="1"/>
  <c r="AI109" i="1"/>
  <c r="S109" i="5" s="1"/>
  <c r="V109" i="5" s="1"/>
  <c r="AR172" i="1"/>
  <c r="M172" i="1"/>
  <c r="CH172" i="1"/>
  <c r="BO172" i="1"/>
  <c r="L172" i="1"/>
  <c r="BB172" i="1"/>
  <c r="AZ172" i="1"/>
  <c r="BY172" i="1"/>
  <c r="AX172" i="1"/>
  <c r="AS172" i="1"/>
  <c r="BC172" i="1"/>
  <c r="AY172" i="1"/>
  <c r="CF172" i="1"/>
  <c r="BA172" i="1"/>
  <c r="AC172" i="1"/>
  <c r="CB172" i="1"/>
  <c r="CE172" i="1"/>
  <c r="CI172" i="1"/>
  <c r="CG172" i="1"/>
  <c r="I172" i="1"/>
  <c r="CJ172" i="1"/>
  <c r="BV172" i="1"/>
  <c r="AV172" i="1"/>
  <c r="N71" i="1"/>
  <c r="BV71" i="1"/>
  <c r="BC71" i="1"/>
  <c r="AV71" i="1"/>
  <c r="AS71" i="1"/>
  <c r="CF71" i="1"/>
  <c r="CI71" i="1"/>
  <c r="O71" i="1"/>
  <c r="BA71" i="1"/>
  <c r="AX71" i="1"/>
  <c r="CH71" i="1"/>
  <c r="BB71" i="1"/>
  <c r="AC71" i="1"/>
  <c r="M71" i="1"/>
  <c r="AY71" i="1"/>
  <c r="CG71" i="1"/>
  <c r="CE71" i="1"/>
  <c r="AR71" i="1"/>
  <c r="BO71" i="1"/>
  <c r="BY71" i="1"/>
  <c r="I71" i="1"/>
  <c r="BM71" i="1" s="1"/>
  <c r="CB71" i="1"/>
  <c r="CJ71" i="1"/>
  <c r="AI66" i="1"/>
  <c r="AJ66" i="1" s="1"/>
  <c r="X198" i="1"/>
  <c r="AD208" i="1"/>
  <c r="CE196" i="1"/>
  <c r="AR196" i="1"/>
  <c r="AZ196" i="1"/>
  <c r="O196" i="1"/>
  <c r="BO196" i="1"/>
  <c r="CB196" i="1"/>
  <c r="BC196" i="1"/>
  <c r="CG196" i="1"/>
  <c r="BX196" i="1"/>
  <c r="BY196" i="1"/>
  <c r="AC196" i="1"/>
  <c r="AY196" i="1"/>
  <c r="AS196" i="1"/>
  <c r="BB196" i="1"/>
  <c r="BA196" i="1"/>
  <c r="CH196" i="1"/>
  <c r="CI196" i="1"/>
  <c r="AX196" i="1"/>
  <c r="N196" i="1"/>
  <c r="I196" i="1"/>
  <c r="BM196" i="1" s="1"/>
  <c r="BV196" i="1"/>
  <c r="CF196" i="1"/>
  <c r="AV196" i="1"/>
  <c r="CJ196" i="1"/>
  <c r="S98" i="1"/>
  <c r="G98" i="5" s="1"/>
  <c r="H98" i="5" s="1"/>
  <c r="S32" i="1"/>
  <c r="AI188" i="1"/>
  <c r="AM188" i="1" s="1"/>
  <c r="AI137" i="1"/>
  <c r="S137" i="5" s="1"/>
  <c r="A200" i="1"/>
  <c r="A200" i="5" s="1"/>
  <c r="AI200" i="1"/>
  <c r="AA22" i="5"/>
  <c r="Y22" i="5"/>
  <c r="F22" i="5"/>
  <c r="B22" i="5"/>
  <c r="AC22" i="5"/>
  <c r="S187" i="1"/>
  <c r="S149" i="1"/>
  <c r="V149" i="1" s="1"/>
  <c r="S89" i="1"/>
  <c r="S141" i="1"/>
  <c r="S60" i="1"/>
  <c r="A207" i="1"/>
  <c r="A207" i="5" s="1"/>
  <c r="AI207" i="1"/>
  <c r="S84" i="1"/>
  <c r="U84" i="1" s="1"/>
  <c r="S57" i="1"/>
  <c r="AI34" i="1"/>
  <c r="AL34" i="1" s="1"/>
  <c r="S10" i="1"/>
  <c r="T10" i="1" s="1"/>
  <c r="S120" i="1"/>
  <c r="G120" i="5" s="1"/>
  <c r="H120" i="5" s="1"/>
  <c r="AS164" i="1"/>
  <c r="AY164" i="1"/>
  <c r="AR164" i="1"/>
  <c r="BA164" i="1"/>
  <c r="CB164" i="1"/>
  <c r="I164" i="1"/>
  <c r="M164" i="1"/>
  <c r="CF164" i="1"/>
  <c r="CI164" i="1"/>
  <c r="BC164" i="1"/>
  <c r="BO164" i="1"/>
  <c r="BQ164" i="1" s="1"/>
  <c r="BB164" i="1"/>
  <c r="AV164" i="1"/>
  <c r="CE164" i="1"/>
  <c r="BY164" i="1"/>
  <c r="AX164" i="1"/>
  <c r="CG164" i="1"/>
  <c r="BV164" i="1"/>
  <c r="CH164" i="1"/>
  <c r="AC164" i="1"/>
  <c r="CJ164" i="1"/>
  <c r="O164" i="1"/>
  <c r="N164" i="1"/>
  <c r="X163" i="5"/>
  <c r="AA163" i="5"/>
  <c r="E163" i="5"/>
  <c r="B163" i="5"/>
  <c r="W163" i="5"/>
  <c r="S138" i="1"/>
  <c r="CC71" i="1"/>
  <c r="S142" i="1"/>
  <c r="U142" i="1" s="1"/>
  <c r="S56" i="1"/>
  <c r="U56" i="1" s="1"/>
  <c r="S198" i="1"/>
  <c r="G198" i="5" s="1"/>
  <c r="I198" i="5" s="1"/>
  <c r="S147" i="1"/>
  <c r="S144" i="1"/>
  <c r="W144" i="1" s="1"/>
  <c r="AI94" i="1"/>
  <c r="Z64" i="5"/>
  <c r="E64" i="5"/>
  <c r="B64" i="5"/>
  <c r="AA38" i="5"/>
  <c r="D38" i="5"/>
  <c r="F38" i="5"/>
  <c r="Y38" i="5"/>
  <c r="B38" i="5"/>
  <c r="X38" i="5"/>
  <c r="A126" i="1"/>
  <c r="B126" i="5"/>
  <c r="E116" i="5"/>
  <c r="D116" i="5"/>
  <c r="Z116" i="5"/>
  <c r="B116" i="5"/>
  <c r="W116" i="5" s="1"/>
  <c r="AC71" i="5"/>
  <c r="Y71" i="5"/>
  <c r="X71" i="5"/>
  <c r="Z71" i="5"/>
  <c r="B71" i="5"/>
  <c r="D71" i="5" s="1"/>
  <c r="B32" i="5"/>
  <c r="D32" i="5" s="1"/>
  <c r="X127" i="5"/>
  <c r="Z127" i="5"/>
  <c r="D127" i="5"/>
  <c r="AC127" i="5"/>
  <c r="B127" i="5"/>
  <c r="Y127" i="5" s="1"/>
  <c r="AI184" i="1"/>
  <c r="AM184" i="1" s="1"/>
  <c r="S131" i="1"/>
  <c r="G131" i="5" s="1"/>
  <c r="X183" i="1"/>
  <c r="A18" i="1"/>
  <c r="B18" i="5"/>
  <c r="S103" i="1"/>
  <c r="AI140" i="1"/>
  <c r="S140" i="5" s="1"/>
  <c r="V140" i="5" s="1"/>
  <c r="S24" i="1"/>
  <c r="S19" i="1"/>
  <c r="D122" i="5"/>
  <c r="AA122" i="5"/>
  <c r="X122" i="5"/>
  <c r="B122" i="5"/>
  <c r="F122" i="5" s="1"/>
  <c r="AI113" i="1"/>
  <c r="AI147" i="1"/>
  <c r="AK147" i="1" s="1"/>
  <c r="S202" i="1"/>
  <c r="V202" i="1" s="1"/>
  <c r="S78" i="1"/>
  <c r="U78" i="1" s="1"/>
  <c r="CC14" i="1"/>
  <c r="L14" i="1" s="1"/>
  <c r="O130" i="1"/>
  <c r="AX130" i="1"/>
  <c r="AC130" i="1"/>
  <c r="CI130" i="1"/>
  <c r="AS130" i="1"/>
  <c r="I130" i="1"/>
  <c r="BM130" i="1" s="1"/>
  <c r="CH130" i="1"/>
  <c r="BV130" i="1"/>
  <c r="N130" i="1"/>
  <c r="AR130" i="1"/>
  <c r="CE130" i="1"/>
  <c r="CB130" i="1"/>
  <c r="CF130" i="1"/>
  <c r="BC130" i="1"/>
  <c r="CJ130" i="1"/>
  <c r="BB130" i="1"/>
  <c r="M130" i="1"/>
  <c r="BO130" i="1"/>
  <c r="BQ130" i="1" s="1"/>
  <c r="AZ130" i="1"/>
  <c r="CG130" i="1"/>
  <c r="AY130" i="1"/>
  <c r="BA130" i="1"/>
  <c r="AV130" i="1"/>
  <c r="BY130" i="1"/>
  <c r="S107" i="1"/>
  <c r="G107" i="5" s="1"/>
  <c r="AI130" i="1"/>
  <c r="S130" i="5" s="1"/>
  <c r="S119" i="1"/>
  <c r="S127" i="1"/>
  <c r="W127" i="1" s="1"/>
  <c r="A71" i="1"/>
  <c r="AI71" i="1"/>
  <c r="AL71" i="1" s="1"/>
  <c r="A163" i="1"/>
  <c r="A163" i="5" s="1"/>
  <c r="S38" i="1"/>
  <c r="W38" i="1" s="1"/>
  <c r="AI40" i="1"/>
  <c r="S40" i="5" s="1"/>
  <c r="U40" i="5" s="1"/>
  <c r="A196" i="1"/>
  <c r="A196" i="5" s="1"/>
  <c r="S196" i="1"/>
  <c r="S134" i="1"/>
  <c r="V134" i="1" s="1"/>
  <c r="AI45" i="1"/>
  <c r="AM45" i="1" s="1"/>
  <c r="AI38" i="1"/>
  <c r="AL38" i="1" s="1"/>
  <c r="S192" i="1"/>
  <c r="A164" i="1"/>
  <c r="A164" i="5" s="1"/>
  <c r="S199" i="1"/>
  <c r="CC2" i="1"/>
  <c r="L2" i="1" s="1"/>
  <c r="BO94" i="1"/>
  <c r="M94" i="1"/>
  <c r="AC94" i="1"/>
  <c r="BA94" i="1"/>
  <c r="CG94" i="1"/>
  <c r="AV94" i="1"/>
  <c r="BB94" i="1"/>
  <c r="CB94" i="1"/>
  <c r="BC94" i="1"/>
  <c r="L94" i="1"/>
  <c r="CJ94" i="1"/>
  <c r="CH94" i="1"/>
  <c r="AX94" i="1"/>
  <c r="AY94" i="1"/>
  <c r="CE94" i="1"/>
  <c r="CI94" i="1"/>
  <c r="BV94" i="1"/>
  <c r="O94" i="1"/>
  <c r="AR94" i="1"/>
  <c r="I94" i="1"/>
  <c r="BY94" i="1"/>
  <c r="CF94" i="1"/>
  <c r="AS94" i="1"/>
  <c r="AZ94" i="1"/>
  <c r="N94" i="1"/>
  <c r="AC24" i="1"/>
  <c r="AR24" i="1"/>
  <c r="I24" i="1"/>
  <c r="BC24" i="1"/>
  <c r="CG24" i="1"/>
  <c r="CF24" i="1"/>
  <c r="BY24" i="1"/>
  <c r="M24" i="1"/>
  <c r="CB24" i="1"/>
  <c r="CJ24" i="1"/>
  <c r="O24" i="1"/>
  <c r="BV24" i="1"/>
  <c r="AS24" i="1"/>
  <c r="AY24" i="1"/>
  <c r="CE24" i="1"/>
  <c r="AV24" i="1"/>
  <c r="BO24" i="1"/>
  <c r="BQ24" i="1" s="1"/>
  <c r="BN24" i="1" s="1"/>
  <c r="AZ24" i="1"/>
  <c r="AX24" i="1"/>
  <c r="CI24" i="1"/>
  <c r="BB24" i="1"/>
  <c r="N24" i="1"/>
  <c r="AV24" i="3" s="1"/>
  <c r="BA24" i="1"/>
  <c r="CH24" i="1"/>
  <c r="BC314" i="3"/>
  <c r="AI165" i="1"/>
  <c r="AK165" i="1" s="1"/>
  <c r="AI189" i="1"/>
  <c r="AK189" i="1" s="1"/>
  <c r="BC40" i="1"/>
  <c r="BA40" i="1"/>
  <c r="BV40" i="1"/>
  <c r="I40" i="1"/>
  <c r="BM40" i="1" s="1"/>
  <c r="BO40" i="1"/>
  <c r="O40" i="1"/>
  <c r="CH40" i="1"/>
  <c r="CG40" i="1"/>
  <c r="AS40" i="1"/>
  <c r="CI40" i="1"/>
  <c r="N40" i="1"/>
  <c r="BB40" i="1"/>
  <c r="M40" i="1"/>
  <c r="AX40" i="1"/>
  <c r="AV40" i="1"/>
  <c r="CJ40" i="1"/>
  <c r="AY40" i="1"/>
  <c r="AR40" i="1"/>
  <c r="BY40" i="1"/>
  <c r="AZ40" i="1"/>
  <c r="CE40" i="1"/>
  <c r="CF40" i="1"/>
  <c r="CB40" i="1"/>
  <c r="AC40" i="1"/>
  <c r="S9" i="1"/>
  <c r="BA199" i="1"/>
  <c r="BZ199" i="1"/>
  <c r="I199" i="1"/>
  <c r="BC199" i="1"/>
  <c r="CF199" i="1"/>
  <c r="CI199" i="1"/>
  <c r="CG199" i="1"/>
  <c r="CH199" i="1"/>
  <c r="BO199" i="1"/>
  <c r="BQ199" i="1" s="1"/>
  <c r="CE199" i="1"/>
  <c r="BV199" i="1"/>
  <c r="AZ199" i="1"/>
  <c r="BB199" i="1"/>
  <c r="M199" i="1"/>
  <c r="N199" i="1"/>
  <c r="BY199" i="1"/>
  <c r="AY199" i="1"/>
  <c r="CB199" i="1"/>
  <c r="AX199" i="1"/>
  <c r="AS199" i="1"/>
  <c r="O199" i="1"/>
  <c r="AR199" i="1"/>
  <c r="CJ199" i="1"/>
  <c r="AV199" i="1"/>
  <c r="AC199" i="1"/>
  <c r="BB202" i="1"/>
  <c r="AR202" i="1"/>
  <c r="O202" i="1"/>
  <c r="AV202" i="1"/>
  <c r="CF202" i="1"/>
  <c r="BY202" i="1"/>
  <c r="M202" i="1"/>
  <c r="N202" i="1"/>
  <c r="BH202" i="1"/>
  <c r="CG202" i="1"/>
  <c r="BC202" i="1"/>
  <c r="L202" i="1"/>
  <c r="AZ202" i="1"/>
  <c r="CE202" i="1"/>
  <c r="AC202" i="1"/>
  <c r="I202" i="1"/>
  <c r="CI202" i="1"/>
  <c r="CH202" i="1"/>
  <c r="CB202" i="1"/>
  <c r="AX202" i="1"/>
  <c r="AY202" i="1"/>
  <c r="CJ202" i="1"/>
  <c r="BZ202" i="1"/>
  <c r="BV202" i="1"/>
  <c r="BA202" i="1"/>
  <c r="AS202" i="1"/>
  <c r="BO202" i="1"/>
  <c r="M170" i="1"/>
  <c r="CJ170" i="1"/>
  <c r="CI170" i="1"/>
  <c r="BV170" i="1"/>
  <c r="AX170" i="1"/>
  <c r="AC170" i="1"/>
  <c r="CG170" i="1"/>
  <c r="CE170" i="1"/>
  <c r="CH170" i="1"/>
  <c r="CB170" i="1"/>
  <c r="BY170" i="1"/>
  <c r="AS170" i="1"/>
  <c r="BO170" i="1"/>
  <c r="BQ170" i="1" s="1"/>
  <c r="CF170" i="1"/>
  <c r="BC170" i="1"/>
  <c r="AZ170" i="1"/>
  <c r="I170" i="1"/>
  <c r="BB170" i="1"/>
  <c r="AR170" i="1"/>
  <c r="BA170" i="1"/>
  <c r="AY170" i="1"/>
  <c r="AV170" i="1"/>
  <c r="L170" i="1"/>
  <c r="CH131" i="1"/>
  <c r="AR131" i="1"/>
  <c r="CI131" i="1"/>
  <c r="BO131" i="1"/>
  <c r="BY131" i="1"/>
  <c r="O131" i="1"/>
  <c r="AZ131" i="1"/>
  <c r="BC131" i="1"/>
  <c r="L131" i="1"/>
  <c r="CE131" i="1"/>
  <c r="CF131" i="1"/>
  <c r="BV131" i="1"/>
  <c r="AV131" i="1"/>
  <c r="BB131" i="1"/>
  <c r="N131" i="1"/>
  <c r="I131" i="1"/>
  <c r="AC131" i="1"/>
  <c r="AS131" i="1"/>
  <c r="CG131" i="1"/>
  <c r="AX131" i="1"/>
  <c r="CJ131" i="1"/>
  <c r="M131" i="1"/>
  <c r="BA131" i="1"/>
  <c r="AY131" i="1"/>
  <c r="CB131" i="1"/>
  <c r="BC76" i="1"/>
  <c r="CG76" i="1"/>
  <c r="CI76" i="1"/>
  <c r="BA76" i="1"/>
  <c r="BO76" i="1"/>
  <c r="CF76" i="1"/>
  <c r="CE76" i="1"/>
  <c r="AX76" i="1"/>
  <c r="AC76" i="1"/>
  <c r="AS76" i="1"/>
  <c r="CB76" i="1"/>
  <c r="M76" i="1"/>
  <c r="BB76" i="1"/>
  <c r="AR76" i="1"/>
  <c r="N76" i="1"/>
  <c r="I76" i="1"/>
  <c r="BH76" i="1"/>
  <c r="CH76" i="1"/>
  <c r="CJ76" i="1"/>
  <c r="AV76" i="1"/>
  <c r="AY76" i="1"/>
  <c r="BV76" i="1"/>
  <c r="BY76" i="1"/>
  <c r="O76" i="1"/>
  <c r="AI146" i="1"/>
  <c r="AL146" i="1" s="1"/>
  <c r="A165" i="1"/>
  <c r="A165" i="5" s="1"/>
  <c r="S165" i="1"/>
  <c r="G165" i="5" s="1"/>
  <c r="S95" i="1"/>
  <c r="AS166" i="1"/>
  <c r="BB166" i="1"/>
  <c r="I166" i="1"/>
  <c r="O166" i="1"/>
  <c r="CE166" i="1"/>
  <c r="AC166" i="1"/>
  <c r="M166" i="1"/>
  <c r="AR166" i="1"/>
  <c r="AX166" i="1"/>
  <c r="AZ166" i="1"/>
  <c r="BO166" i="1"/>
  <c r="AV166" i="1"/>
  <c r="BV166" i="1"/>
  <c r="CB166" i="1"/>
  <c r="CJ166" i="1"/>
  <c r="N166" i="1"/>
  <c r="AV166" i="3" s="1"/>
  <c r="BY166" i="1"/>
  <c r="BC166" i="1"/>
  <c r="CG166" i="1"/>
  <c r="CI166" i="1"/>
  <c r="CF166" i="1"/>
  <c r="AY166" i="1"/>
  <c r="BA166" i="1"/>
  <c r="CH166" i="1"/>
  <c r="BZ25" i="1"/>
  <c r="AV25" i="1"/>
  <c r="BA25" i="1"/>
  <c r="M25" i="1"/>
  <c r="AR25" i="1"/>
  <c r="CG25" i="1"/>
  <c r="CB25" i="1"/>
  <c r="CE25" i="1"/>
  <c r="AX25" i="1"/>
  <c r="AC25" i="1"/>
  <c r="BY25" i="1"/>
  <c r="CI25" i="1"/>
  <c r="CH25" i="1"/>
  <c r="BO25" i="1"/>
  <c r="CF25" i="1"/>
  <c r="AS25" i="1"/>
  <c r="CJ25" i="1"/>
  <c r="BC25" i="1"/>
  <c r="AY25" i="1"/>
  <c r="BV25" i="1"/>
  <c r="I25" i="1"/>
  <c r="BH25" i="1"/>
  <c r="BB25" i="1"/>
  <c r="AD169" i="1"/>
  <c r="AH169" i="1" s="1"/>
  <c r="BJ166" i="1"/>
  <c r="BA183" i="1"/>
  <c r="CB183" i="1"/>
  <c r="AY183" i="1"/>
  <c r="BY183" i="1"/>
  <c r="O183" i="1"/>
  <c r="AZ183" i="1"/>
  <c r="CG183" i="1"/>
  <c r="BX183" i="1"/>
  <c r="L183" i="1" s="1"/>
  <c r="N183" i="1"/>
  <c r="AR183" i="1"/>
  <c r="CI183" i="1"/>
  <c r="AV183" i="1"/>
  <c r="CF183" i="1"/>
  <c r="CJ183" i="1"/>
  <c r="CE183" i="1"/>
  <c r="CH183" i="1"/>
  <c r="AS183" i="1"/>
  <c r="BO183" i="1"/>
  <c r="BQ183" i="1" s="1"/>
  <c r="BN183" i="1" s="1"/>
  <c r="BV183" i="1"/>
  <c r="BB183" i="1"/>
  <c r="I183" i="1"/>
  <c r="AX183" i="1"/>
  <c r="BC183" i="1"/>
  <c r="AC183" i="1"/>
  <c r="CH89" i="1"/>
  <c r="BC89" i="1"/>
  <c r="CB89" i="1"/>
  <c r="I89" i="1"/>
  <c r="AR89" i="1"/>
  <c r="M89" i="1"/>
  <c r="CE89" i="1"/>
  <c r="CG89" i="1"/>
  <c r="BV89" i="1"/>
  <c r="CI89" i="1"/>
  <c r="N89" i="1"/>
  <c r="O89" i="1"/>
  <c r="AZ89" i="1"/>
  <c r="BH89" i="1"/>
  <c r="AS89" i="1"/>
  <c r="AV89" i="1"/>
  <c r="BB89" i="1"/>
  <c r="BA89" i="1"/>
  <c r="CJ89" i="1"/>
  <c r="CF89" i="1"/>
  <c r="AX89" i="1"/>
  <c r="AC89" i="1"/>
  <c r="BO89" i="1"/>
  <c r="AY89" i="1"/>
  <c r="BY89" i="1"/>
  <c r="A170" i="1"/>
  <c r="A170" i="5" s="1"/>
  <c r="A167" i="1"/>
  <c r="A167" i="5" s="1"/>
  <c r="AI167" i="1"/>
  <c r="AM167" i="1" s="1"/>
  <c r="BV21" i="1"/>
  <c r="BY21" i="1"/>
  <c r="AX21" i="1"/>
  <c r="CB21" i="1"/>
  <c r="AY21" i="1"/>
  <c r="CE21" i="1"/>
  <c r="CH21" i="1"/>
  <c r="CI21" i="1"/>
  <c r="L21" i="1"/>
  <c r="N21" i="1"/>
  <c r="CJ21" i="1"/>
  <c r="O21" i="1"/>
  <c r="CF21" i="1"/>
  <c r="CG21" i="1"/>
  <c r="BO21" i="1"/>
  <c r="AV21" i="1"/>
  <c r="BC21" i="1"/>
  <c r="BH21" i="1"/>
  <c r="I21" i="1"/>
  <c r="AS21" i="1"/>
  <c r="AR21" i="1"/>
  <c r="M21" i="1"/>
  <c r="BA21" i="1"/>
  <c r="BB21" i="1"/>
  <c r="AC21" i="1"/>
  <c r="Y87" i="5"/>
  <c r="D87" i="5"/>
  <c r="W87" i="5"/>
  <c r="F87" i="5"/>
  <c r="B87" i="5"/>
  <c r="AA87" i="5" s="1"/>
  <c r="BH114" i="1"/>
  <c r="CF114" i="1"/>
  <c r="BB114" i="1"/>
  <c r="BA114" i="1"/>
  <c r="CE114" i="1"/>
  <c r="CG114" i="1"/>
  <c r="O114" i="1"/>
  <c r="AS114" i="1"/>
  <c r="AY114" i="1"/>
  <c r="AV114" i="1"/>
  <c r="N114" i="1"/>
  <c r="BO114" i="1"/>
  <c r="AR114" i="1"/>
  <c r="BC114" i="1"/>
  <c r="BY114" i="1"/>
  <c r="I114" i="1"/>
  <c r="M114" i="1"/>
  <c r="AZ114" i="1"/>
  <c r="AX114" i="1"/>
  <c r="BV114" i="1"/>
  <c r="CB114" i="1"/>
  <c r="AC114" i="1"/>
  <c r="CI114" i="1"/>
  <c r="CJ114" i="1"/>
  <c r="CH114" i="1"/>
  <c r="F12" i="5"/>
  <c r="X12" i="5"/>
  <c r="D12" i="5"/>
  <c r="W12" i="5"/>
  <c r="Y12" i="5"/>
  <c r="B12" i="5"/>
  <c r="AA12" i="5" s="1"/>
  <c r="AR107" i="1"/>
  <c r="BB107" i="1"/>
  <c r="AZ107" i="1"/>
  <c r="BA107" i="1"/>
  <c r="M107" i="1"/>
  <c r="CF107" i="1"/>
  <c r="CB107" i="1"/>
  <c r="CG107" i="1"/>
  <c r="CH107" i="1"/>
  <c r="CJ107" i="1"/>
  <c r="AS107" i="1"/>
  <c r="BH107" i="1"/>
  <c r="AV107" i="1"/>
  <c r="I107" i="1"/>
  <c r="AY107" i="1"/>
  <c r="BY107" i="1"/>
  <c r="AC107" i="1"/>
  <c r="CE107" i="1"/>
  <c r="BC107" i="1"/>
  <c r="AX107" i="1"/>
  <c r="BO107" i="1"/>
  <c r="BQ107" i="1" s="1"/>
  <c r="BN107" i="1" s="1"/>
  <c r="CI107" i="1"/>
  <c r="BZ107" i="1"/>
  <c r="BV107" i="1"/>
  <c r="W77" i="5"/>
  <c r="Y77" i="5"/>
  <c r="D77" i="5"/>
  <c r="A77" i="1"/>
  <c r="B77" i="5"/>
  <c r="E98" i="5"/>
  <c r="B98" i="5"/>
  <c r="D98" i="5" s="1"/>
  <c r="CB81" i="1"/>
  <c r="L81" i="1"/>
  <c r="AY81" i="1"/>
  <c r="BA81" i="1"/>
  <c r="BY81" i="1"/>
  <c r="CH81" i="1"/>
  <c r="AX81" i="1"/>
  <c r="AS81" i="1"/>
  <c r="AR81" i="1"/>
  <c r="I81" i="1"/>
  <c r="CF81" i="1"/>
  <c r="AC81" i="1"/>
  <c r="BV81" i="1"/>
  <c r="AV81" i="1"/>
  <c r="M81" i="1"/>
  <c r="BO81" i="1"/>
  <c r="CJ81" i="1"/>
  <c r="CG81" i="1"/>
  <c r="BB81" i="1"/>
  <c r="BC81" i="1"/>
  <c r="CI81" i="1"/>
  <c r="CE81" i="1"/>
  <c r="AZ81" i="1"/>
  <c r="E46" i="5"/>
  <c r="W46" i="5"/>
  <c r="Y46" i="5"/>
  <c r="Z46" i="5"/>
  <c r="X46" i="5"/>
  <c r="B46" i="5"/>
  <c r="AA46" i="5" s="1"/>
  <c r="A198" i="1"/>
  <c r="A198" i="5" s="1"/>
  <c r="AI198" i="1"/>
  <c r="S198" i="5" s="1"/>
  <c r="AI22" i="1"/>
  <c r="AM22" i="1" s="1"/>
  <c r="A172" i="1"/>
  <c r="A172" i="5" s="1"/>
  <c r="S172" i="1"/>
  <c r="AI15" i="1"/>
  <c r="AK15" i="1" s="1"/>
  <c r="AI125" i="1"/>
  <c r="AM125" i="1" s="1"/>
  <c r="CC136" i="1"/>
  <c r="A185" i="1"/>
  <c r="A185" i="5" s="1"/>
  <c r="X185" i="1"/>
  <c r="S31" i="1"/>
  <c r="AI103" i="1"/>
  <c r="AJ103" i="1" s="1"/>
  <c r="W150" i="5"/>
  <c r="B150" i="5"/>
  <c r="B134" i="5"/>
  <c r="F134" i="5" s="1"/>
  <c r="X161" i="5"/>
  <c r="B161" i="5"/>
  <c r="Z90" i="5"/>
  <c r="AA90" i="5"/>
  <c r="X90" i="5"/>
  <c r="B90" i="5"/>
  <c r="D90" i="5" s="1"/>
  <c r="E35" i="5"/>
  <c r="Y35" i="5"/>
  <c r="B35" i="5"/>
  <c r="S17" i="1"/>
  <c r="CH19" i="1"/>
  <c r="BC19" i="1"/>
  <c r="CF19" i="1"/>
  <c r="BB19" i="1"/>
  <c r="AR19" i="1"/>
  <c r="BV19" i="1"/>
  <c r="CI19" i="1"/>
  <c r="AZ19" i="1"/>
  <c r="AY19" i="1"/>
  <c r="N19" i="1"/>
  <c r="CJ19" i="1"/>
  <c r="BY19" i="1"/>
  <c r="CB19" i="1"/>
  <c r="I19" i="1"/>
  <c r="AV19" i="1"/>
  <c r="BO19" i="1"/>
  <c r="BQ19" i="1" s="1"/>
  <c r="BN19" i="1" s="1"/>
  <c r="M19" i="1"/>
  <c r="AS19" i="1"/>
  <c r="AX19" i="1"/>
  <c r="CG19" i="1"/>
  <c r="AC19" i="1"/>
  <c r="O19" i="1"/>
  <c r="CE19" i="1"/>
  <c r="BA19" i="1"/>
  <c r="BA57" i="1"/>
  <c r="AX57" i="1"/>
  <c r="AC57" i="1"/>
  <c r="N57" i="1"/>
  <c r="AZ57" i="1"/>
  <c r="BB57" i="1"/>
  <c r="I57" i="1"/>
  <c r="AR57" i="1"/>
  <c r="M57" i="1"/>
  <c r="O57" i="1"/>
  <c r="BV57" i="1"/>
  <c r="CB57" i="1"/>
  <c r="BC57" i="1"/>
  <c r="BY57" i="1"/>
  <c r="CI57" i="1"/>
  <c r="CF57" i="1"/>
  <c r="AV57" i="1"/>
  <c r="AS57" i="1"/>
  <c r="AY57" i="1"/>
  <c r="CE57" i="1"/>
  <c r="L57" i="1"/>
  <c r="CH57" i="1"/>
  <c r="CG57" i="1"/>
  <c r="BO57" i="1"/>
  <c r="BQ57" i="1" s="1"/>
  <c r="BN57" i="1" s="1"/>
  <c r="CJ57" i="1"/>
  <c r="AI43" i="1"/>
  <c r="S35" i="1"/>
  <c r="V35" i="1" s="1"/>
  <c r="A199" i="1"/>
  <c r="AI199" i="1"/>
  <c r="S199" i="5" s="1"/>
  <c r="U199" i="5" s="1"/>
  <c r="A173" i="1"/>
  <c r="A173" i="5" s="1"/>
  <c r="P63" i="1"/>
  <c r="BJ123" i="1"/>
  <c r="BA33" i="1"/>
  <c r="CH33" i="1"/>
  <c r="BB33" i="1"/>
  <c r="O33" i="1"/>
  <c r="CF33" i="1"/>
  <c r="I33" i="1"/>
  <c r="CI33" i="1"/>
  <c r="CJ33" i="1"/>
  <c r="AV33" i="1"/>
  <c r="AS33" i="1"/>
  <c r="AY33" i="1"/>
  <c r="CG33" i="1"/>
  <c r="AR33" i="1"/>
  <c r="CB33" i="1"/>
  <c r="N33" i="1"/>
  <c r="BY33" i="1"/>
  <c r="AC33" i="1"/>
  <c r="BO33" i="1"/>
  <c r="AX33" i="1"/>
  <c r="M33" i="1"/>
  <c r="BC33" i="1"/>
  <c r="CE33" i="1"/>
  <c r="AZ33" i="1"/>
  <c r="BV33" i="1"/>
  <c r="S133" i="1"/>
  <c r="V133" i="1" s="1"/>
  <c r="AI202" i="1"/>
  <c r="S202" i="5" s="1"/>
  <c r="AI93" i="1"/>
  <c r="AO161" i="1"/>
  <c r="AP161" i="1" s="1"/>
  <c r="AI144" i="1"/>
  <c r="AM144" i="1" s="1"/>
  <c r="A202" i="1"/>
  <c r="A202" i="5" s="1"/>
  <c r="X202" i="1"/>
  <c r="X192" i="1"/>
  <c r="F166" i="5"/>
  <c r="E166" i="5"/>
  <c r="B166" i="5"/>
  <c r="Y166" i="5"/>
  <c r="B138" i="5"/>
  <c r="AA138" i="5" s="1"/>
  <c r="B108" i="5"/>
  <c r="M150" i="1"/>
  <c r="N150" i="1"/>
  <c r="AY150" i="1"/>
  <c r="AR150" i="1"/>
  <c r="CE150" i="1"/>
  <c r="BO150" i="1"/>
  <c r="AX150" i="1"/>
  <c r="BV150" i="1"/>
  <c r="BY150" i="1"/>
  <c r="CH150" i="1"/>
  <c r="O150" i="1"/>
  <c r="L150" i="1"/>
  <c r="CF150" i="1"/>
  <c r="BA150" i="1"/>
  <c r="AC150" i="1"/>
  <c r="AV150" i="1"/>
  <c r="CB150" i="1"/>
  <c r="BC150" i="1"/>
  <c r="BB150" i="1"/>
  <c r="CG150" i="1"/>
  <c r="CI150" i="1"/>
  <c r="CJ150" i="1"/>
  <c r="AZ150" i="1"/>
  <c r="I150" i="1"/>
  <c r="A150" i="1"/>
  <c r="A150" i="5" s="1"/>
  <c r="AS150" i="1"/>
  <c r="Y114" i="5"/>
  <c r="Z114" i="5"/>
  <c r="E114" i="5"/>
  <c r="AC114" i="5"/>
  <c r="D114" i="5"/>
  <c r="B114" i="5"/>
  <c r="AA114" i="5" s="1"/>
  <c r="AA89" i="5"/>
  <c r="AC89" i="5"/>
  <c r="W89" i="5"/>
  <c r="Y89" i="5"/>
  <c r="X89" i="5"/>
  <c r="D89" i="5"/>
  <c r="B89" i="5"/>
  <c r="E89" i="5" s="1"/>
  <c r="AA66" i="5"/>
  <c r="E66" i="5"/>
  <c r="W66" i="5"/>
  <c r="B66" i="5"/>
  <c r="AC66" i="5"/>
  <c r="B40" i="5"/>
  <c r="AA40" i="5" s="1"/>
  <c r="M209" i="1"/>
  <c r="BO209" i="1"/>
  <c r="BQ209" i="1" s="1"/>
  <c r="BN209" i="1" s="1"/>
  <c r="CJ209" i="1"/>
  <c r="BV209" i="1"/>
  <c r="CE209" i="1"/>
  <c r="BB209" i="1"/>
  <c r="AC209" i="1"/>
  <c r="AY209" i="1"/>
  <c r="N209" i="1"/>
  <c r="BA209" i="1"/>
  <c r="AR209" i="1"/>
  <c r="AX209" i="1"/>
  <c r="O209" i="1"/>
  <c r="AS209" i="1"/>
  <c r="CI209" i="1"/>
  <c r="BY209" i="1"/>
  <c r="CF209" i="1"/>
  <c r="CH209" i="1"/>
  <c r="I209" i="1"/>
  <c r="CG209" i="1"/>
  <c r="AV209" i="1"/>
  <c r="BZ209" i="1"/>
  <c r="BC209" i="1"/>
  <c r="CB209" i="1"/>
  <c r="D131" i="5"/>
  <c r="B131" i="5"/>
  <c r="AC104" i="5"/>
  <c r="B104" i="5"/>
  <c r="F84" i="5"/>
  <c r="A84" i="1"/>
  <c r="B84" i="5"/>
  <c r="Z84" i="5" s="1"/>
  <c r="W107" i="5"/>
  <c r="Z107" i="5"/>
  <c r="AC107" i="5"/>
  <c r="D107" i="5"/>
  <c r="B107" i="5"/>
  <c r="B86" i="5"/>
  <c r="AA62" i="5"/>
  <c r="E62" i="5"/>
  <c r="F62" i="5"/>
  <c r="Z62" i="5"/>
  <c r="B62" i="5"/>
  <c r="Z99" i="5"/>
  <c r="AA99" i="5"/>
  <c r="B99" i="5"/>
  <c r="W99" i="5" s="1"/>
  <c r="B123" i="5"/>
  <c r="W123" i="5" s="1"/>
  <c r="AA158" i="5"/>
  <c r="B158" i="5"/>
  <c r="D125" i="5"/>
  <c r="X125" i="5"/>
  <c r="Y125" i="5"/>
  <c r="W125" i="5"/>
  <c r="Z125" i="5"/>
  <c r="F125" i="5"/>
  <c r="B125" i="5"/>
  <c r="AC125" i="5" s="1"/>
  <c r="AA125" i="5"/>
  <c r="B119" i="5"/>
  <c r="O90" i="1"/>
  <c r="AV90" i="1"/>
  <c r="AC90" i="1"/>
  <c r="CF90" i="1"/>
  <c r="AY90" i="1"/>
  <c r="BA90" i="1"/>
  <c r="BY90" i="1"/>
  <c r="BB90" i="1"/>
  <c r="N90" i="1"/>
  <c r="CG90" i="1"/>
  <c r="CI90" i="1"/>
  <c r="AR90" i="1"/>
  <c r="M90" i="1"/>
  <c r="AS90" i="1"/>
  <c r="CE90" i="1"/>
  <c r="AZ90" i="1"/>
  <c r="BO90" i="1"/>
  <c r="AX90" i="1"/>
  <c r="CB90" i="1"/>
  <c r="CH90" i="1"/>
  <c r="BC90" i="1"/>
  <c r="CJ90" i="1"/>
  <c r="BV90" i="1"/>
  <c r="I90" i="1"/>
  <c r="E81" i="5"/>
  <c r="Z81" i="5"/>
  <c r="X81" i="5"/>
  <c r="D81" i="5"/>
  <c r="A81" i="1"/>
  <c r="B81" i="5"/>
  <c r="AC81" i="5" s="1"/>
  <c r="E76" i="5"/>
  <c r="Z76" i="5"/>
  <c r="A76" i="1"/>
  <c r="B76" i="5"/>
  <c r="B54" i="5"/>
  <c r="B49" i="5"/>
  <c r="AA49" i="5" s="1"/>
  <c r="AX35" i="1"/>
  <c r="AY35" i="1"/>
  <c r="CF35" i="1"/>
  <c r="BY35" i="1"/>
  <c r="CE35" i="1"/>
  <c r="AZ35" i="1"/>
  <c r="O35" i="1"/>
  <c r="AC35" i="1"/>
  <c r="BH35" i="1"/>
  <c r="BA35" i="1"/>
  <c r="BB35" i="1"/>
  <c r="CH35" i="1"/>
  <c r="M35" i="1"/>
  <c r="CB35" i="1"/>
  <c r="CG35" i="1"/>
  <c r="BC35" i="1"/>
  <c r="CI35" i="1"/>
  <c r="N35" i="1"/>
  <c r="BV35" i="1"/>
  <c r="AS35" i="1"/>
  <c r="CJ35" i="1"/>
  <c r="I35" i="1"/>
  <c r="AR35" i="1"/>
  <c r="BO35" i="1"/>
  <c r="A35" i="1"/>
  <c r="AV35" i="1"/>
  <c r="B7" i="5"/>
  <c r="B105" i="5"/>
  <c r="B132" i="5"/>
  <c r="B130" i="5"/>
  <c r="AI98" i="1"/>
  <c r="AJ98" i="1" s="1"/>
  <c r="AI149" i="1"/>
  <c r="AM149" i="1" s="1"/>
  <c r="AI9" i="1"/>
  <c r="AM9" i="1" s="1"/>
  <c r="S151" i="1"/>
  <c r="W151" i="1" s="1"/>
  <c r="AI194" i="1"/>
  <c r="AM194" i="1" s="1"/>
  <c r="AI54" i="1"/>
  <c r="AI65" i="1"/>
  <c r="S14" i="1"/>
  <c r="W19" i="5"/>
  <c r="Z19" i="5"/>
  <c r="A19" i="1"/>
  <c r="B19" i="5"/>
  <c r="F19" i="5" s="1"/>
  <c r="A21" i="1"/>
  <c r="B21" i="5"/>
  <c r="AC21" i="5" s="1"/>
  <c r="Y60" i="5"/>
  <c r="X60" i="5"/>
  <c r="W60" i="5"/>
  <c r="AC60" i="5"/>
  <c r="E60" i="5"/>
  <c r="F60" i="5"/>
  <c r="B60" i="5"/>
  <c r="AA60" i="5" s="1"/>
  <c r="A166" i="1"/>
  <c r="A166" i="5" s="1"/>
  <c r="AO166" i="1"/>
  <c r="BE166" i="3" s="1"/>
  <c r="BL166" i="3" s="1"/>
  <c r="B128" i="5"/>
  <c r="S117" i="1"/>
  <c r="V117" i="1" s="1"/>
  <c r="S195" i="1"/>
  <c r="W195" i="1" s="1"/>
  <c r="X2" i="1"/>
  <c r="X186" i="1"/>
  <c r="BE270" i="3"/>
  <c r="BL270" i="3" s="1"/>
  <c r="AC65" i="1"/>
  <c r="CH65" i="1"/>
  <c r="O65" i="1"/>
  <c r="AS65" i="1"/>
  <c r="CI65" i="1"/>
  <c r="BO65" i="1"/>
  <c r="M65" i="1"/>
  <c r="BA65" i="1"/>
  <c r="CG65" i="1"/>
  <c r="AY65" i="1"/>
  <c r="BV65" i="1"/>
  <c r="AX65" i="1"/>
  <c r="L65" i="1"/>
  <c r="CE65" i="1"/>
  <c r="AZ65" i="1"/>
  <c r="I65" i="1"/>
  <c r="CF65" i="1"/>
  <c r="BB65" i="1"/>
  <c r="AR65" i="1"/>
  <c r="BC65" i="1"/>
  <c r="AV65" i="1"/>
  <c r="BH65" i="1"/>
  <c r="CB65" i="1"/>
  <c r="CJ65" i="1"/>
  <c r="N65" i="1"/>
  <c r="BY65" i="1"/>
  <c r="CI104" i="1"/>
  <c r="BH104" i="1"/>
  <c r="BA104" i="1"/>
  <c r="BO104" i="1"/>
  <c r="M104" i="1"/>
  <c r="AR104" i="1"/>
  <c r="I104" i="1"/>
  <c r="BC104" i="1"/>
  <c r="CE104" i="1"/>
  <c r="CH104" i="1"/>
  <c r="AZ104" i="1"/>
  <c r="CJ104" i="1"/>
  <c r="BB104" i="1"/>
  <c r="AW104" i="3" s="1"/>
  <c r="AV104" i="1"/>
  <c r="CG104" i="1"/>
  <c r="BY104" i="1"/>
  <c r="CF104" i="1"/>
  <c r="AC104" i="1"/>
  <c r="AY104" i="1"/>
  <c r="BV104" i="1"/>
  <c r="AX104" i="1"/>
  <c r="AS104" i="1"/>
  <c r="CB104" i="1"/>
  <c r="BE80" i="3"/>
  <c r="BL80" i="3" s="1"/>
  <c r="CJ109" i="1"/>
  <c r="I109" i="1"/>
  <c r="CE109" i="1"/>
  <c r="BV109" i="1"/>
  <c r="AC109" i="1"/>
  <c r="AX109" i="1"/>
  <c r="CB109" i="1"/>
  <c r="CF109" i="1"/>
  <c r="O109" i="1"/>
  <c r="BY109" i="1"/>
  <c r="AY109" i="1"/>
  <c r="BB109" i="1"/>
  <c r="N109" i="1"/>
  <c r="AV109" i="1"/>
  <c r="AR109" i="1"/>
  <c r="M109" i="1"/>
  <c r="BC109" i="1"/>
  <c r="CH109" i="1"/>
  <c r="AZ109" i="1"/>
  <c r="BO109" i="1"/>
  <c r="BQ109" i="1" s="1"/>
  <c r="L109" i="1"/>
  <c r="CI109" i="1"/>
  <c r="BZ109" i="1"/>
  <c r="CG109" i="1"/>
  <c r="AS109" i="1"/>
  <c r="BA109" i="1"/>
  <c r="CC149" i="1"/>
  <c r="L149" i="1" s="1"/>
  <c r="CC155" i="1"/>
  <c r="L155" i="1" s="1"/>
  <c r="AD110" i="1"/>
  <c r="AG110" i="1" s="1"/>
  <c r="S70" i="1"/>
  <c r="V70" i="1" s="1"/>
  <c r="AC162" i="1"/>
  <c r="AX162" i="1"/>
  <c r="BO162" i="1"/>
  <c r="BA162" i="1"/>
  <c r="AV162" i="1"/>
  <c r="AR162" i="1"/>
  <c r="BB162" i="1"/>
  <c r="CB162" i="1"/>
  <c r="L162" i="1"/>
  <c r="CG162" i="1"/>
  <c r="CH162" i="1"/>
  <c r="CJ162" i="1"/>
  <c r="BV162" i="1"/>
  <c r="N162" i="1"/>
  <c r="M162" i="1"/>
  <c r="BY162" i="1"/>
  <c r="AS162" i="1"/>
  <c r="AY162" i="1"/>
  <c r="O162" i="1"/>
  <c r="CE162" i="1"/>
  <c r="CF162" i="1"/>
  <c r="I162" i="1"/>
  <c r="CI162" i="1"/>
  <c r="BC162" i="1"/>
  <c r="AR100" i="1"/>
  <c r="BC100" i="1"/>
  <c r="BA100" i="1"/>
  <c r="CI100" i="1"/>
  <c r="AV100" i="1"/>
  <c r="BY100" i="1"/>
  <c r="CF100" i="1"/>
  <c r="M100" i="1"/>
  <c r="BV100" i="1"/>
  <c r="AS100" i="1"/>
  <c r="N100" i="1"/>
  <c r="AZ100" i="1"/>
  <c r="AC100" i="1"/>
  <c r="AX100" i="1"/>
  <c r="BH100" i="1"/>
  <c r="CH100" i="1"/>
  <c r="CE100" i="1"/>
  <c r="CJ100" i="1"/>
  <c r="BB100" i="1"/>
  <c r="I100" i="1"/>
  <c r="O100" i="1"/>
  <c r="BO100" i="1"/>
  <c r="CB100" i="1"/>
  <c r="CG100" i="1"/>
  <c r="AY100" i="1"/>
  <c r="CC188" i="1"/>
  <c r="CB34" i="1"/>
  <c r="CI34" i="1"/>
  <c r="AV34" i="1"/>
  <c r="BB34" i="1"/>
  <c r="AX34" i="1"/>
  <c r="AS34" i="1"/>
  <c r="BO34" i="1"/>
  <c r="CJ34" i="1"/>
  <c r="CF34" i="1"/>
  <c r="BV34" i="1"/>
  <c r="CH34" i="1"/>
  <c r="BH34" i="1"/>
  <c r="CG34" i="1"/>
  <c r="AR34" i="1"/>
  <c r="M34" i="1"/>
  <c r="CE34" i="1"/>
  <c r="AY34" i="1"/>
  <c r="BA34" i="1"/>
  <c r="BY34" i="1"/>
  <c r="BC34" i="1"/>
  <c r="AC34" i="1"/>
  <c r="I34" i="1"/>
  <c r="BE128" i="3"/>
  <c r="BL128" i="3" s="1"/>
  <c r="S16" i="1"/>
  <c r="G16" i="5" s="1"/>
  <c r="S75" i="1"/>
  <c r="G75" i="5" s="1"/>
  <c r="CC112" i="1"/>
  <c r="BZ112" i="1" s="1"/>
  <c r="N93" i="1"/>
  <c r="I93" i="1"/>
  <c r="AY93" i="1"/>
  <c r="AC93" i="1"/>
  <c r="CH93" i="1"/>
  <c r="CB93" i="1"/>
  <c r="AS93" i="1"/>
  <c r="CE93" i="1"/>
  <c r="CI93" i="1"/>
  <c r="BV93" i="1"/>
  <c r="M93" i="1"/>
  <c r="BC93" i="1"/>
  <c r="CF93" i="1"/>
  <c r="CJ93" i="1"/>
  <c r="AR93" i="1"/>
  <c r="BO93" i="1"/>
  <c r="BQ93" i="1" s="1"/>
  <c r="AZ93" i="1"/>
  <c r="O93" i="1"/>
  <c r="CG93" i="1"/>
  <c r="BB93" i="1"/>
  <c r="AV93" i="1"/>
  <c r="BY93" i="1"/>
  <c r="L93" i="1"/>
  <c r="BA93" i="1"/>
  <c r="AX93" i="1"/>
  <c r="BJ132" i="1"/>
  <c r="BZ132" i="1" s="1"/>
  <c r="AI136" i="1"/>
  <c r="S136" i="5" s="1"/>
  <c r="A130" i="1"/>
  <c r="A130" i="5" s="1"/>
  <c r="S130" i="1"/>
  <c r="G130" i="5" s="1"/>
  <c r="E37" i="5"/>
  <c r="W37" i="5"/>
  <c r="D37" i="5"/>
  <c r="AA37" i="5"/>
  <c r="X37" i="5"/>
  <c r="B37" i="5"/>
  <c r="F37" i="5" s="1"/>
  <c r="Y37" i="5"/>
  <c r="BY73" i="1"/>
  <c r="CJ73" i="1"/>
  <c r="CB73" i="1"/>
  <c r="AZ73" i="1"/>
  <c r="CE73" i="1"/>
  <c r="CI73" i="1"/>
  <c r="BB73" i="1"/>
  <c r="CF73" i="1"/>
  <c r="BC73" i="1"/>
  <c r="AS73" i="1"/>
  <c r="CG73" i="1"/>
  <c r="BO73" i="1"/>
  <c r="BQ73" i="1" s="1"/>
  <c r="AX73" i="1"/>
  <c r="BV73" i="1"/>
  <c r="O73" i="1"/>
  <c r="BA73" i="1"/>
  <c r="M73" i="1"/>
  <c r="AV73" i="1"/>
  <c r="L73" i="1"/>
  <c r="N73" i="1"/>
  <c r="AR73" i="1"/>
  <c r="CH73" i="1"/>
  <c r="AY73" i="1"/>
  <c r="AC73" i="1"/>
  <c r="I73" i="1"/>
  <c r="BH103" i="1"/>
  <c r="BB103" i="1"/>
  <c r="AS103" i="1"/>
  <c r="AV103" i="1"/>
  <c r="BY103" i="1"/>
  <c r="CE103" i="1"/>
  <c r="CG103" i="1"/>
  <c r="CI103" i="1"/>
  <c r="AZ103" i="1"/>
  <c r="CB103" i="1"/>
  <c r="I103" i="1"/>
  <c r="AX103" i="1"/>
  <c r="BC103" i="1"/>
  <c r="AC103" i="1"/>
  <c r="BO103" i="1"/>
  <c r="M103" i="1"/>
  <c r="CH103" i="1"/>
  <c r="AY103" i="1"/>
  <c r="BA103" i="1"/>
  <c r="BV103" i="1"/>
  <c r="CF103" i="1"/>
  <c r="AR103" i="1"/>
  <c r="CJ103" i="1"/>
  <c r="CC39" i="1"/>
  <c r="L39" i="1" s="1"/>
  <c r="Z95" i="5"/>
  <c r="F95" i="5"/>
  <c r="X95" i="5"/>
  <c r="B95" i="5"/>
  <c r="AA95" i="5" s="1"/>
  <c r="B57" i="5"/>
  <c r="F57" i="5"/>
  <c r="X25" i="5"/>
  <c r="E25" i="5"/>
  <c r="F25" i="5"/>
  <c r="AC25" i="5"/>
  <c r="B25" i="5"/>
  <c r="W25" i="5"/>
  <c r="AI23" i="1"/>
  <c r="AI16" i="1"/>
  <c r="S145" i="1"/>
  <c r="V145" i="1" s="1"/>
  <c r="AI208" i="1"/>
  <c r="AI95" i="1"/>
  <c r="S161" i="1"/>
  <c r="G161" i="5" s="1"/>
  <c r="S123" i="1"/>
  <c r="BO169" i="1"/>
  <c r="BQ169" i="1" s="1"/>
  <c r="BN169" i="1" s="1"/>
  <c r="BA169" i="1"/>
  <c r="CB169" i="1"/>
  <c r="AX169" i="1"/>
  <c r="BV169" i="1"/>
  <c r="CF169" i="1"/>
  <c r="L169" i="1"/>
  <c r="AV169" i="1"/>
  <c r="AZ169" i="1"/>
  <c r="CI169" i="1"/>
  <c r="BC169" i="1"/>
  <c r="M169" i="1"/>
  <c r="CE169" i="1"/>
  <c r="BY169" i="1"/>
  <c r="I169" i="1"/>
  <c r="CH169" i="1"/>
  <c r="BB169" i="1"/>
  <c r="AC169" i="1"/>
  <c r="CJ169" i="1"/>
  <c r="AY169" i="1"/>
  <c r="AR169" i="1"/>
  <c r="CG169" i="1"/>
  <c r="A169" i="1"/>
  <c r="A169" i="5" s="1"/>
  <c r="AS169" i="1"/>
  <c r="AY208" i="1"/>
  <c r="CG208" i="1"/>
  <c r="CF208" i="1"/>
  <c r="BV208" i="1"/>
  <c r="BB208" i="1"/>
  <c r="BA208" i="1"/>
  <c r="BZ208" i="1"/>
  <c r="AS208" i="1"/>
  <c r="BO208" i="1"/>
  <c r="N208" i="1"/>
  <c r="CI208" i="1"/>
  <c r="CE208" i="1"/>
  <c r="AV208" i="1"/>
  <c r="CJ208" i="1"/>
  <c r="AC208" i="1"/>
  <c r="CH208" i="1"/>
  <c r="I208" i="1"/>
  <c r="AX208" i="1"/>
  <c r="BC208" i="1"/>
  <c r="O208" i="1"/>
  <c r="BY208" i="1"/>
  <c r="AR208" i="1"/>
  <c r="M208" i="1"/>
  <c r="A208" i="1"/>
  <c r="A208" i="5" s="1"/>
  <c r="CB208" i="1"/>
  <c r="BE114" i="3"/>
  <c r="BL114" i="3" s="1"/>
  <c r="CB204" i="1"/>
  <c r="AY204" i="1"/>
  <c r="BY204" i="1"/>
  <c r="CJ204" i="1"/>
  <c r="CH204" i="1"/>
  <c r="AS204" i="1"/>
  <c r="AX204" i="1"/>
  <c r="BA204" i="1"/>
  <c r="CI204" i="1"/>
  <c r="I204" i="1"/>
  <c r="AR204" i="1"/>
  <c r="BZ204" i="1"/>
  <c r="AV204" i="1"/>
  <c r="N204" i="1"/>
  <c r="AV188" i="3" s="1"/>
  <c r="M204" i="1"/>
  <c r="BO204" i="1"/>
  <c r="BQ204" i="1" s="1"/>
  <c r="AC204" i="1"/>
  <c r="CE204" i="1"/>
  <c r="AZ204" i="1"/>
  <c r="CG204" i="1"/>
  <c r="BV204" i="1"/>
  <c r="CF204" i="1"/>
  <c r="BB204" i="1"/>
  <c r="O204" i="1"/>
  <c r="BC204" i="1"/>
  <c r="AO123" i="1"/>
  <c r="AI107" i="1"/>
  <c r="AM107" i="1" s="1"/>
  <c r="O192" i="1"/>
  <c r="CB192" i="1"/>
  <c r="AR192" i="1"/>
  <c r="CE192" i="1"/>
  <c r="N192" i="1"/>
  <c r="BH192" i="1"/>
  <c r="AX192" i="1"/>
  <c r="AZ192" i="1"/>
  <c r="CI192" i="1"/>
  <c r="CG192" i="1"/>
  <c r="BC192" i="1"/>
  <c r="BA192" i="1"/>
  <c r="BO192" i="1"/>
  <c r="BQ192" i="1" s="1"/>
  <c r="BN192" i="1" s="1"/>
  <c r="CF192" i="1"/>
  <c r="BV192" i="1"/>
  <c r="I192" i="1"/>
  <c r="AS192" i="1"/>
  <c r="BY192" i="1"/>
  <c r="AY192" i="1"/>
  <c r="CH192" i="1"/>
  <c r="BX192" i="1"/>
  <c r="CJ192" i="1"/>
  <c r="AV192" i="1"/>
  <c r="AC192" i="1"/>
  <c r="BB192" i="1"/>
  <c r="BE35" i="3"/>
  <c r="BL35" i="3" s="1"/>
  <c r="CC88" i="1"/>
  <c r="CE132" i="1"/>
  <c r="CI132" i="1"/>
  <c r="CF132" i="1"/>
  <c r="BO132" i="1"/>
  <c r="BQ132" i="1" s="1"/>
  <c r="AC132" i="1"/>
  <c r="AX132" i="1"/>
  <c r="AS132" i="1"/>
  <c r="AR132" i="1"/>
  <c r="N132" i="1"/>
  <c r="BV132" i="1"/>
  <c r="AZ132" i="1"/>
  <c r="BY132" i="1"/>
  <c r="O132" i="1"/>
  <c r="CB132" i="1"/>
  <c r="I132" i="1"/>
  <c r="CH132" i="1"/>
  <c r="AV132" i="1"/>
  <c r="BC132" i="1"/>
  <c r="BB132" i="1"/>
  <c r="AY132" i="1"/>
  <c r="BA132" i="1"/>
  <c r="CJ132" i="1"/>
  <c r="CG132" i="1"/>
  <c r="M132" i="1"/>
  <c r="AI68" i="1"/>
  <c r="AM68" i="1" s="1"/>
  <c r="B80" i="5"/>
  <c r="Z118" i="5"/>
  <c r="B118" i="5"/>
  <c r="CC79" i="1"/>
  <c r="E42" i="5"/>
  <c r="B42" i="5"/>
  <c r="X42" i="5"/>
  <c r="AI42" i="1"/>
  <c r="M68" i="1"/>
  <c r="BY68" i="1"/>
  <c r="BA68" i="1"/>
  <c r="CH68" i="1"/>
  <c r="BV68" i="1"/>
  <c r="BO68" i="1"/>
  <c r="I68" i="1"/>
  <c r="AX68" i="1"/>
  <c r="AR68" i="1"/>
  <c r="AS68" i="1"/>
  <c r="CB68" i="1"/>
  <c r="L68" i="1"/>
  <c r="AY68" i="1"/>
  <c r="N68" i="1"/>
  <c r="BC68" i="1"/>
  <c r="AV68" i="1"/>
  <c r="AC68" i="1"/>
  <c r="O68" i="1"/>
  <c r="CE68" i="1"/>
  <c r="BB68" i="1"/>
  <c r="CF68" i="1"/>
  <c r="BZ68" i="1"/>
  <c r="CJ68" i="1"/>
  <c r="CI68" i="1"/>
  <c r="CG68" i="1"/>
  <c r="CC15" i="1"/>
  <c r="L15" i="1" s="1"/>
  <c r="A204" i="1"/>
  <c r="CG41" i="1"/>
  <c r="I41" i="1"/>
  <c r="AV41" i="1"/>
  <c r="AZ41" i="1"/>
  <c r="M41" i="1"/>
  <c r="BO41" i="1"/>
  <c r="BQ41" i="1" s="1"/>
  <c r="AR41" i="1"/>
  <c r="CI41" i="1"/>
  <c r="AS41" i="1"/>
  <c r="BB41" i="1"/>
  <c r="BA41" i="1"/>
  <c r="CB41" i="1"/>
  <c r="AY41" i="1"/>
  <c r="BY41" i="1"/>
  <c r="CJ41" i="1"/>
  <c r="CH41" i="1"/>
  <c r="O41" i="1"/>
  <c r="AX41" i="1"/>
  <c r="N41" i="1"/>
  <c r="CE41" i="1"/>
  <c r="CF41" i="1"/>
  <c r="BV41" i="1"/>
  <c r="AC41" i="1"/>
  <c r="BC41" i="1"/>
  <c r="S106" i="1"/>
  <c r="I37" i="1"/>
  <c r="L37" i="1"/>
  <c r="BV37" i="1"/>
  <c r="AS37" i="1"/>
  <c r="CB37" i="1"/>
  <c r="BO37" i="1"/>
  <c r="CE37" i="1"/>
  <c r="O37" i="1"/>
  <c r="AC37" i="1"/>
  <c r="AY37" i="1"/>
  <c r="AV37" i="1"/>
  <c r="CI37" i="1"/>
  <c r="N37" i="1"/>
  <c r="BB37" i="1"/>
  <c r="AW37" i="3" s="1"/>
  <c r="M37" i="1"/>
  <c r="BA37" i="1"/>
  <c r="BC37" i="1"/>
  <c r="CG37" i="1"/>
  <c r="CJ37" i="1"/>
  <c r="AZ37" i="1"/>
  <c r="AR37" i="1"/>
  <c r="BY37" i="1"/>
  <c r="CH37" i="1"/>
  <c r="AX37" i="1"/>
  <c r="A37" i="1"/>
  <c r="CF37" i="1"/>
  <c r="A183" i="1"/>
  <c r="A183" i="5" s="1"/>
  <c r="AI183" i="1"/>
  <c r="AJ183" i="1" s="1"/>
  <c r="A209" i="1"/>
  <c r="A209" i="5" s="1"/>
  <c r="B73" i="5"/>
  <c r="BE133" i="3"/>
  <c r="BL133" i="3" s="1"/>
  <c r="CC3" i="1"/>
  <c r="L3" i="1" s="1"/>
  <c r="AI162" i="1"/>
  <c r="AL162" i="1" s="1"/>
  <c r="F94" i="5"/>
  <c r="AC94" i="5"/>
  <c r="Y94" i="5"/>
  <c r="X94" i="5"/>
  <c r="A94" i="1"/>
  <c r="B94" i="5"/>
  <c r="E94" i="5" s="1"/>
  <c r="BY69" i="1"/>
  <c r="CB69" i="1"/>
  <c r="N69" i="1"/>
  <c r="CI69" i="1"/>
  <c r="L69" i="1"/>
  <c r="BV69" i="1"/>
  <c r="BO69" i="1"/>
  <c r="BQ69" i="1" s="1"/>
  <c r="BC69" i="1"/>
  <c r="BA69" i="1"/>
  <c r="CF69" i="1"/>
  <c r="CE69" i="1"/>
  <c r="M69" i="1"/>
  <c r="BB69" i="1"/>
  <c r="AY69" i="1"/>
  <c r="CH69" i="1"/>
  <c r="AR69" i="1"/>
  <c r="I69" i="1"/>
  <c r="CG69" i="1"/>
  <c r="AS69" i="1"/>
  <c r="O69" i="1"/>
  <c r="AV69" i="1"/>
  <c r="BZ69" i="1"/>
  <c r="AX69" i="1"/>
  <c r="AC69" i="1"/>
  <c r="CJ69" i="1"/>
  <c r="AA24" i="5"/>
  <c r="Y24" i="5"/>
  <c r="A24" i="1"/>
  <c r="B24" i="5"/>
  <c r="AS106" i="1"/>
  <c r="AY106" i="1"/>
  <c r="BB106" i="1"/>
  <c r="CG106" i="1"/>
  <c r="AR106" i="1"/>
  <c r="CB106" i="1"/>
  <c r="AX106" i="1"/>
  <c r="CI106" i="1"/>
  <c r="M106" i="1"/>
  <c r="AC106" i="1"/>
  <c r="I106" i="1"/>
  <c r="BV106" i="1"/>
  <c r="CF106" i="1"/>
  <c r="BH106" i="1"/>
  <c r="CE106" i="1"/>
  <c r="BC106" i="1"/>
  <c r="CJ106" i="1"/>
  <c r="AV106" i="1"/>
  <c r="L106" i="1"/>
  <c r="CH106" i="1"/>
  <c r="BY106" i="1"/>
  <c r="AZ106" i="1"/>
  <c r="BO106" i="1"/>
  <c r="BQ106" i="1" s="1"/>
  <c r="BN106" i="1" s="1"/>
  <c r="BA106" i="1"/>
  <c r="BY36" i="1"/>
  <c r="N36" i="1"/>
  <c r="CH36" i="1"/>
  <c r="BC36" i="1"/>
  <c r="AX36" i="1"/>
  <c r="BO36" i="1"/>
  <c r="BB36" i="1"/>
  <c r="M36" i="1"/>
  <c r="CG36" i="1"/>
  <c r="O36" i="1"/>
  <c r="I36" i="1"/>
  <c r="CI36" i="1"/>
  <c r="AZ36" i="1"/>
  <c r="AC36" i="1"/>
  <c r="CF36" i="1"/>
  <c r="BA36" i="1"/>
  <c r="AV36" i="1"/>
  <c r="CB36" i="1"/>
  <c r="BV36" i="1"/>
  <c r="AY36" i="1"/>
  <c r="AR36" i="1"/>
  <c r="CE36" i="1"/>
  <c r="AS36" i="1"/>
  <c r="CJ36" i="1"/>
  <c r="AD79" i="1"/>
  <c r="AG79" i="1" s="1"/>
  <c r="AD101" i="1"/>
  <c r="AH101" i="1" s="1"/>
  <c r="AC45" i="5"/>
  <c r="Z45" i="5"/>
  <c r="F45" i="5"/>
  <c r="B45" i="5"/>
  <c r="X45" i="5"/>
  <c r="E41" i="5"/>
  <c r="Y41" i="5"/>
  <c r="B41" i="5"/>
  <c r="W41" i="5" s="1"/>
  <c r="AI122" i="1"/>
  <c r="S143" i="1"/>
  <c r="X103" i="5"/>
  <c r="A103" i="1"/>
  <c r="A103" i="5" s="1"/>
  <c r="B103" i="5"/>
  <c r="E100" i="5"/>
  <c r="AA100" i="5"/>
  <c r="Y100" i="5"/>
  <c r="Z100" i="5"/>
  <c r="AC100" i="5"/>
  <c r="B100" i="5"/>
  <c r="E83" i="5"/>
  <c r="X83" i="5"/>
  <c r="B83" i="5"/>
  <c r="D83" i="5" s="1"/>
  <c r="Y48" i="5"/>
  <c r="Z48" i="5"/>
  <c r="D48" i="5"/>
  <c r="AA48" i="5"/>
  <c r="B48" i="5"/>
  <c r="X48" i="5"/>
  <c r="A68" i="1"/>
  <c r="B68" i="5"/>
  <c r="F68" i="5" s="1"/>
  <c r="D69" i="5"/>
  <c r="Y69" i="5"/>
  <c r="AA69" i="5"/>
  <c r="E69" i="5"/>
  <c r="B69" i="5"/>
  <c r="F69" i="5" s="1"/>
  <c r="AA56" i="5"/>
  <c r="AC56" i="5"/>
  <c r="W56" i="5"/>
  <c r="F56" i="5"/>
  <c r="D56" i="5"/>
  <c r="Y56" i="5"/>
  <c r="Z56" i="5"/>
  <c r="B56" i="5"/>
  <c r="X56" i="5" s="1"/>
  <c r="E56" i="5"/>
  <c r="B53" i="5"/>
  <c r="AA34" i="5"/>
  <c r="F34" i="5"/>
  <c r="Z34" i="5"/>
  <c r="AC34" i="5"/>
  <c r="B34" i="5"/>
  <c r="E34" i="5"/>
  <c r="Z160" i="5"/>
  <c r="W160" i="5"/>
  <c r="B160" i="5"/>
  <c r="A106" i="1"/>
  <c r="A106" i="5" s="1"/>
  <c r="B106" i="5"/>
  <c r="W106" i="5" s="1"/>
  <c r="X155" i="1"/>
  <c r="K155" i="5" s="1"/>
  <c r="N155" i="5" s="1"/>
  <c r="F36" i="5"/>
  <c r="AA36" i="5"/>
  <c r="A36" i="1"/>
  <c r="B36" i="5"/>
  <c r="F33" i="5"/>
  <c r="W33" i="5"/>
  <c r="AA33" i="5"/>
  <c r="Z33" i="5"/>
  <c r="D33" i="5"/>
  <c r="E33" i="5"/>
  <c r="A33" i="1"/>
  <c r="B33" i="5"/>
  <c r="AC33" i="5" s="1"/>
  <c r="X33" i="5"/>
  <c r="AX116" i="1"/>
  <c r="BY116" i="1"/>
  <c r="CE116" i="1"/>
  <c r="BA116" i="1"/>
  <c r="N116" i="1"/>
  <c r="CJ116" i="1"/>
  <c r="CB116" i="1"/>
  <c r="AR116" i="1"/>
  <c r="CG116" i="1"/>
  <c r="CI116" i="1"/>
  <c r="CH116" i="1"/>
  <c r="M116" i="1"/>
  <c r="AV116" i="1"/>
  <c r="BB116" i="1"/>
  <c r="AW116" i="3" s="1"/>
  <c r="O116" i="1"/>
  <c r="AC116" i="1"/>
  <c r="BC116" i="1"/>
  <c r="CF116" i="1"/>
  <c r="BV116" i="1"/>
  <c r="AY116" i="1"/>
  <c r="I116" i="1"/>
  <c r="BO116" i="1"/>
  <c r="AS116" i="1"/>
  <c r="A41" i="1"/>
  <c r="X41" i="1"/>
  <c r="AB41" i="1" s="1"/>
  <c r="A162" i="1"/>
  <c r="A162" i="5" s="1"/>
  <c r="S162" i="1"/>
  <c r="BJ39" i="1"/>
  <c r="CH160" i="1"/>
  <c r="AV160" i="1"/>
  <c r="I160" i="1"/>
  <c r="BA160" i="1"/>
  <c r="M160" i="1"/>
  <c r="BV160" i="1"/>
  <c r="CF160" i="1"/>
  <c r="AS160" i="1"/>
  <c r="AR160" i="1"/>
  <c r="AY160" i="1"/>
  <c r="CB160" i="1"/>
  <c r="BB160" i="1"/>
  <c r="BC160" i="1"/>
  <c r="CG160" i="1"/>
  <c r="AC160" i="1"/>
  <c r="BO160" i="1"/>
  <c r="BQ160" i="1" s="1"/>
  <c r="CI160" i="1"/>
  <c r="CE160" i="1"/>
  <c r="AX160" i="1"/>
  <c r="AZ160" i="1"/>
  <c r="CJ160" i="1"/>
  <c r="BY160" i="1"/>
  <c r="CG59" i="1"/>
  <c r="N59" i="1"/>
  <c r="L59" i="1"/>
  <c r="BB59" i="1"/>
  <c r="AY59" i="1"/>
  <c r="AS59" i="1"/>
  <c r="CI59" i="1"/>
  <c r="AV59" i="1"/>
  <c r="CJ59" i="1"/>
  <c r="AR59" i="1"/>
  <c r="BY59" i="1"/>
  <c r="M59" i="1"/>
  <c r="O59" i="1"/>
  <c r="AC59" i="1"/>
  <c r="CB59" i="1"/>
  <c r="BA59" i="1"/>
  <c r="CH59" i="1"/>
  <c r="BH59" i="1"/>
  <c r="BV59" i="1"/>
  <c r="BZ59" i="1"/>
  <c r="AX59" i="1"/>
  <c r="AZ59" i="1"/>
  <c r="BC59" i="1"/>
  <c r="CE59" i="1"/>
  <c r="I59" i="1"/>
  <c r="CF59" i="1"/>
  <c r="BO59" i="1"/>
  <c r="BQ59" i="1" s="1"/>
  <c r="AY134" i="1"/>
  <c r="CI134" i="1"/>
  <c r="CH134" i="1"/>
  <c r="BB134" i="1"/>
  <c r="BA134" i="1"/>
  <c r="CE134" i="1"/>
  <c r="AZ134" i="1"/>
  <c r="N134" i="1"/>
  <c r="AR134" i="1"/>
  <c r="M134" i="1"/>
  <c r="AC134" i="1"/>
  <c r="CB134" i="1"/>
  <c r="CJ134" i="1"/>
  <c r="CG134" i="1"/>
  <c r="BC134" i="1"/>
  <c r="AS134" i="1"/>
  <c r="BY134" i="1"/>
  <c r="I134" i="1"/>
  <c r="O134" i="1"/>
  <c r="CF134" i="1"/>
  <c r="AV134" i="1"/>
  <c r="AX134" i="1"/>
  <c r="BO134" i="1"/>
  <c r="BV134" i="1"/>
  <c r="I129" i="1"/>
  <c r="CH129" i="1"/>
  <c r="L129" i="1"/>
  <c r="AS129" i="1"/>
  <c r="CJ129" i="1"/>
  <c r="AC129" i="1"/>
  <c r="AX129" i="1"/>
  <c r="BV129" i="1"/>
  <c r="BA129" i="1"/>
  <c r="CG129" i="1"/>
  <c r="BC129" i="1"/>
  <c r="AR129" i="1"/>
  <c r="BY129" i="1"/>
  <c r="BH129" i="1"/>
  <c r="M129" i="1"/>
  <c r="AY129" i="1"/>
  <c r="BB129" i="1"/>
  <c r="AV129" i="1"/>
  <c r="CF129" i="1"/>
  <c r="CE129" i="1"/>
  <c r="O129" i="1"/>
  <c r="N129" i="1"/>
  <c r="BO129" i="1"/>
  <c r="CB129" i="1"/>
  <c r="CI129" i="1"/>
  <c r="CE29" i="1"/>
  <c r="BA29" i="1"/>
  <c r="BC29" i="1"/>
  <c r="AR29" i="1"/>
  <c r="O29" i="1"/>
  <c r="AS29" i="1"/>
  <c r="AV29" i="1"/>
  <c r="CJ29" i="1"/>
  <c r="I29" i="1"/>
  <c r="BB29" i="1"/>
  <c r="AY29" i="1"/>
  <c r="CI29" i="1"/>
  <c r="CB29" i="1"/>
  <c r="CH29" i="1"/>
  <c r="AC29" i="1"/>
  <c r="BH29" i="1"/>
  <c r="N29" i="1"/>
  <c r="M29" i="1"/>
  <c r="CG29" i="1"/>
  <c r="BO29" i="1"/>
  <c r="BQ29" i="1" s="1"/>
  <c r="BN29" i="1" s="1"/>
  <c r="AX29" i="1"/>
  <c r="CF29" i="1"/>
  <c r="BY29" i="1"/>
  <c r="BV29" i="1"/>
  <c r="CI123" i="1"/>
  <c r="AX123" i="1"/>
  <c r="AS123" i="1"/>
  <c r="O123" i="1"/>
  <c r="AZ123" i="1"/>
  <c r="CB123" i="1"/>
  <c r="CF123" i="1"/>
  <c r="BO123" i="1"/>
  <c r="CJ123" i="1"/>
  <c r="AC123" i="1"/>
  <c r="BC123" i="1"/>
  <c r="BV123" i="1"/>
  <c r="M123" i="1"/>
  <c r="CH123" i="1"/>
  <c r="AR123" i="1"/>
  <c r="N123" i="1"/>
  <c r="AV123" i="3" s="1"/>
  <c r="BA123" i="1"/>
  <c r="CE123" i="1"/>
  <c r="BB123" i="1"/>
  <c r="BY123" i="1"/>
  <c r="I123" i="1"/>
  <c r="CG123" i="1"/>
  <c r="AV123" i="1"/>
  <c r="AY123" i="1"/>
  <c r="AZ108" i="1"/>
  <c r="AR108" i="1"/>
  <c r="CB108" i="1"/>
  <c r="CI108" i="1"/>
  <c r="AV108" i="1"/>
  <c r="CJ108" i="1"/>
  <c r="AX108" i="1"/>
  <c r="AY108" i="1"/>
  <c r="CH108" i="1"/>
  <c r="CG108" i="1"/>
  <c r="CE108" i="1"/>
  <c r="BA108" i="1"/>
  <c r="I108" i="1"/>
  <c r="M108" i="1"/>
  <c r="BV108" i="1"/>
  <c r="CF108" i="1"/>
  <c r="BC108" i="1"/>
  <c r="AC108" i="1"/>
  <c r="BY108" i="1"/>
  <c r="BH108" i="1"/>
  <c r="AS108" i="1"/>
  <c r="BB108" i="1"/>
  <c r="BO108" i="1"/>
  <c r="CC187" i="1"/>
  <c r="BZ187" i="1" s="1"/>
  <c r="AV194" i="3"/>
  <c r="BR210" i="1" s="1"/>
  <c r="BW210" i="1" s="1"/>
  <c r="CG161" i="1"/>
  <c r="BV161" i="1"/>
  <c r="AC161" i="1"/>
  <c r="O161" i="1"/>
  <c r="CH161" i="1"/>
  <c r="M161" i="1"/>
  <c r="AZ161" i="1"/>
  <c r="I161" i="1"/>
  <c r="CJ161" i="1"/>
  <c r="CF161" i="1"/>
  <c r="BB161" i="1"/>
  <c r="CB161" i="1"/>
  <c r="N161" i="1"/>
  <c r="AS161" i="1"/>
  <c r="BO161" i="1"/>
  <c r="CE161" i="1"/>
  <c r="AY161" i="1"/>
  <c r="BA161" i="1"/>
  <c r="AR161" i="1"/>
  <c r="BY161" i="1"/>
  <c r="AV161" i="1"/>
  <c r="AX161" i="1"/>
  <c r="CI161" i="1"/>
  <c r="BC161" i="1"/>
  <c r="BE88" i="3"/>
  <c r="BL88" i="3" s="1"/>
  <c r="CC135" i="1"/>
  <c r="CC124" i="1"/>
  <c r="L124" i="1" s="1"/>
  <c r="BC49" i="3"/>
  <c r="BM49" i="3" s="1"/>
  <c r="BC56" i="1"/>
  <c r="N56" i="1"/>
  <c r="BH56" i="1"/>
  <c r="CB56" i="1"/>
  <c r="CI56" i="1"/>
  <c r="BO56" i="1"/>
  <c r="M56" i="1"/>
  <c r="AZ56" i="1"/>
  <c r="BV56" i="1"/>
  <c r="CJ56" i="1"/>
  <c r="CF56" i="1"/>
  <c r="AV56" i="1"/>
  <c r="BB56" i="1"/>
  <c r="AW56" i="3" s="1"/>
  <c r="AY56" i="1"/>
  <c r="I56" i="1"/>
  <c r="CH56" i="1"/>
  <c r="AC56" i="1"/>
  <c r="AX56" i="1"/>
  <c r="AR56" i="1"/>
  <c r="CE56" i="1"/>
  <c r="CG56" i="1"/>
  <c r="O56" i="1"/>
  <c r="BA56" i="1"/>
  <c r="AS56" i="1"/>
  <c r="BY56" i="1"/>
  <c r="X80" i="1"/>
  <c r="Z80" i="1" s="1"/>
  <c r="CH95" i="1"/>
  <c r="M95" i="1"/>
  <c r="BV95" i="1"/>
  <c r="BB95" i="1"/>
  <c r="AW95" i="3" s="1"/>
  <c r="O95" i="1"/>
  <c r="BO95" i="1"/>
  <c r="BQ95" i="1" s="1"/>
  <c r="CJ95" i="1"/>
  <c r="CB95" i="1"/>
  <c r="I95" i="1"/>
  <c r="AR95" i="1"/>
  <c r="AY95" i="1"/>
  <c r="CF95" i="1"/>
  <c r="CE95" i="1"/>
  <c r="AX95" i="1"/>
  <c r="N95" i="1"/>
  <c r="BC95" i="1"/>
  <c r="AZ95" i="1"/>
  <c r="BH95" i="1"/>
  <c r="AC95" i="1"/>
  <c r="BY95" i="1"/>
  <c r="CG95" i="1"/>
  <c r="CI95" i="1"/>
  <c r="AV95" i="1"/>
  <c r="AS95" i="1"/>
  <c r="BA95" i="1"/>
  <c r="A131" i="1"/>
  <c r="A131" i="5" s="1"/>
  <c r="BE97" i="3"/>
  <c r="BL97" i="3" s="1"/>
  <c r="A40" i="1"/>
  <c r="X40" i="1"/>
  <c r="K40" i="5" s="1"/>
  <c r="CF20" i="1"/>
  <c r="CH20" i="1"/>
  <c r="CB20" i="1"/>
  <c r="N20" i="1"/>
  <c r="CE20" i="1"/>
  <c r="AS20" i="1"/>
  <c r="BV20" i="1"/>
  <c r="AV20" i="1"/>
  <c r="M20" i="1"/>
  <c r="BB20" i="1"/>
  <c r="BC20" i="1"/>
  <c r="CI20" i="1"/>
  <c r="AZ20" i="1"/>
  <c r="AY20" i="1"/>
  <c r="BA20" i="1"/>
  <c r="O20" i="1"/>
  <c r="AV20" i="3" s="1"/>
  <c r="AC20" i="1"/>
  <c r="AR20" i="1"/>
  <c r="AX20" i="1"/>
  <c r="I20" i="1"/>
  <c r="CJ20" i="1"/>
  <c r="CG20" i="1"/>
  <c r="BY20" i="1"/>
  <c r="BO20" i="1"/>
  <c r="BJ63" i="1"/>
  <c r="BA22" i="1"/>
  <c r="M22" i="1"/>
  <c r="AV22" i="1"/>
  <c r="CF22" i="1"/>
  <c r="BY22" i="1"/>
  <c r="BC22" i="1"/>
  <c r="N22" i="1"/>
  <c r="CE22" i="1"/>
  <c r="BB22" i="1"/>
  <c r="BV22" i="1"/>
  <c r="L22" i="1"/>
  <c r="AZ22" i="1"/>
  <c r="I22" i="1"/>
  <c r="CH22" i="1"/>
  <c r="O22" i="1"/>
  <c r="AS22" i="1"/>
  <c r="CG22" i="1"/>
  <c r="AY22" i="1"/>
  <c r="AC22" i="1"/>
  <c r="CI22" i="1"/>
  <c r="CJ22" i="1"/>
  <c r="AR22" i="1"/>
  <c r="BO22" i="1"/>
  <c r="CB22" i="1"/>
  <c r="AX22" i="1"/>
  <c r="CC16" i="1"/>
  <c r="L16" i="1" s="1"/>
  <c r="BE45" i="3"/>
  <c r="BL45" i="3" s="1"/>
  <c r="BE32" i="3"/>
  <c r="BL32" i="3" s="1"/>
  <c r="AV199" i="3"/>
  <c r="BR319" i="1" s="1"/>
  <c r="CC141" i="1"/>
  <c r="L141" i="1" s="1"/>
  <c r="CH66" i="1"/>
  <c r="BB66" i="1"/>
  <c r="M66" i="1"/>
  <c r="AS66" i="1"/>
  <c r="BY66" i="1"/>
  <c r="BO66" i="1"/>
  <c r="I66" i="1"/>
  <c r="AX66" i="1"/>
  <c r="N66" i="1"/>
  <c r="BA66" i="1"/>
  <c r="AC66" i="1"/>
  <c r="O66" i="1"/>
  <c r="CJ66" i="1"/>
  <c r="AV66" i="1"/>
  <c r="CF66" i="1"/>
  <c r="CI66" i="1"/>
  <c r="BV66" i="1"/>
  <c r="AY66" i="1"/>
  <c r="AZ66" i="1"/>
  <c r="BC66" i="1"/>
  <c r="L66" i="1"/>
  <c r="AR66" i="1"/>
  <c r="CG66" i="1"/>
  <c r="CB66" i="1"/>
  <c r="CE66" i="1"/>
  <c r="Q96" i="1"/>
  <c r="R96" i="1" s="1"/>
  <c r="CE140" i="1"/>
  <c r="AR140" i="1"/>
  <c r="M140" i="1"/>
  <c r="AS140" i="1"/>
  <c r="AV140" i="1"/>
  <c r="AC140" i="1"/>
  <c r="BO140" i="1"/>
  <c r="BQ140" i="1" s="1"/>
  <c r="BY140" i="1"/>
  <c r="CH140" i="1"/>
  <c r="BC140" i="1"/>
  <c r="I140" i="1"/>
  <c r="CJ140" i="1"/>
  <c r="CF140" i="1"/>
  <c r="N140" i="1"/>
  <c r="AX140" i="1"/>
  <c r="BV140" i="1"/>
  <c r="CG140" i="1"/>
  <c r="AY140" i="1"/>
  <c r="BB140" i="1"/>
  <c r="CI140" i="1"/>
  <c r="AZ140" i="1"/>
  <c r="L140" i="1"/>
  <c r="O140" i="1"/>
  <c r="CB140" i="1"/>
  <c r="BA140" i="1"/>
  <c r="AY58" i="1"/>
  <c r="AC58" i="1"/>
  <c r="CB58" i="1"/>
  <c r="BC58" i="1"/>
  <c r="CE58" i="1"/>
  <c r="I58" i="1"/>
  <c r="BY58" i="1"/>
  <c r="AS58" i="1"/>
  <c r="AR58" i="1"/>
  <c r="BB58" i="1"/>
  <c r="CI58" i="1"/>
  <c r="CG58" i="1"/>
  <c r="M58" i="1"/>
  <c r="AX58" i="1"/>
  <c r="N58" i="1"/>
  <c r="AV58" i="1"/>
  <c r="BA58" i="1"/>
  <c r="CH58" i="1"/>
  <c r="BV58" i="1"/>
  <c r="CF58" i="1"/>
  <c r="CJ58" i="1"/>
  <c r="BO58" i="1"/>
  <c r="BQ58" i="1" s="1"/>
  <c r="BN58" i="1" s="1"/>
  <c r="AZ58" i="1"/>
  <c r="O58" i="1"/>
  <c r="X194" i="1"/>
  <c r="Z194" i="1" s="1"/>
  <c r="BE158" i="3"/>
  <c r="BL158" i="3" s="1"/>
  <c r="CI138" i="1"/>
  <c r="I138" i="1"/>
  <c r="AZ138" i="1"/>
  <c r="M138" i="1"/>
  <c r="BA138" i="1"/>
  <c r="BC138" i="1"/>
  <c r="BY138" i="1"/>
  <c r="CE138" i="1"/>
  <c r="CH138" i="1"/>
  <c r="CG138" i="1"/>
  <c r="AC138" i="1"/>
  <c r="BO138" i="1"/>
  <c r="BQ138" i="1" s="1"/>
  <c r="AY138" i="1"/>
  <c r="AV138" i="1"/>
  <c r="O138" i="1"/>
  <c r="BB138" i="1"/>
  <c r="AR138" i="1"/>
  <c r="N138" i="1"/>
  <c r="BV138" i="1"/>
  <c r="AS138" i="1"/>
  <c r="CF138" i="1"/>
  <c r="CB138" i="1"/>
  <c r="AX138" i="1"/>
  <c r="CJ138" i="1"/>
  <c r="A161" i="1"/>
  <c r="A161" i="5" s="1"/>
  <c r="CC74" i="1"/>
  <c r="L74" i="1" s="1"/>
  <c r="AD190" i="1"/>
  <c r="AE190" i="1" s="1"/>
  <c r="AD116" i="1"/>
  <c r="AE116" i="1" s="1"/>
  <c r="AO3" i="1"/>
  <c r="BE3" i="1" s="1"/>
  <c r="CE5" i="1"/>
  <c r="CJ5" i="1"/>
  <c r="M5" i="1"/>
  <c r="AR5" i="1"/>
  <c r="AS5" i="1"/>
  <c r="AV5" i="1"/>
  <c r="BA5" i="1"/>
  <c r="AC5" i="1"/>
  <c r="CI5" i="1"/>
  <c r="N5" i="1"/>
  <c r="BY5" i="1"/>
  <c r="BH5" i="1"/>
  <c r="CH5" i="1"/>
  <c r="CF5" i="1"/>
  <c r="I5" i="1"/>
  <c r="CB5" i="1"/>
  <c r="BC5" i="1"/>
  <c r="BV5" i="1"/>
  <c r="AY5" i="1"/>
  <c r="CG5" i="1"/>
  <c r="BO5" i="1"/>
  <c r="BQ5" i="1" s="1"/>
  <c r="AX5" i="1"/>
  <c r="O5" i="1"/>
  <c r="BB5" i="1"/>
  <c r="A107" i="1"/>
  <c r="A107" i="5" s="1"/>
  <c r="A89" i="1"/>
  <c r="CI128" i="1"/>
  <c r="I128" i="1"/>
  <c r="AS128" i="1"/>
  <c r="BB128" i="1"/>
  <c r="L128" i="1"/>
  <c r="BZ128" i="1"/>
  <c r="O128" i="1"/>
  <c r="AY128" i="1"/>
  <c r="BO128" i="1"/>
  <c r="CB128" i="1"/>
  <c r="AZ128" i="1"/>
  <c r="CH128" i="1"/>
  <c r="AC128" i="1"/>
  <c r="AV128" i="1"/>
  <c r="BV128" i="1"/>
  <c r="AX128" i="1"/>
  <c r="N128" i="1"/>
  <c r="CE128" i="1"/>
  <c r="CJ128" i="1"/>
  <c r="CF128" i="1"/>
  <c r="BC128" i="1"/>
  <c r="BY128" i="1"/>
  <c r="CG128" i="1"/>
  <c r="M128" i="1"/>
  <c r="BH128" i="1"/>
  <c r="BA128" i="1"/>
  <c r="AR128" i="1"/>
  <c r="CH23" i="1"/>
  <c r="CE23" i="1"/>
  <c r="BY23" i="1"/>
  <c r="AS23" i="1"/>
  <c r="AY23" i="1"/>
  <c r="CB23" i="1"/>
  <c r="M23" i="1"/>
  <c r="AX23" i="1"/>
  <c r="AR23" i="1"/>
  <c r="BH23" i="1"/>
  <c r="O23" i="1"/>
  <c r="CF23" i="1"/>
  <c r="BO23" i="1"/>
  <c r="BB23" i="1"/>
  <c r="CI23" i="1"/>
  <c r="CG23" i="1"/>
  <c r="I23" i="1"/>
  <c r="N23" i="1"/>
  <c r="AZ23" i="1"/>
  <c r="BV23" i="1"/>
  <c r="L23" i="1"/>
  <c r="AV23" i="1"/>
  <c r="BA23" i="1"/>
  <c r="BC23" i="1"/>
  <c r="CJ23" i="1"/>
  <c r="AC23" i="1"/>
  <c r="BE165" i="3"/>
  <c r="BL165" i="3" s="1"/>
  <c r="CC139" i="1"/>
  <c r="L139" i="1" s="1"/>
  <c r="BA10" i="1"/>
  <c r="M10" i="1"/>
  <c r="AY10" i="1"/>
  <c r="CF10" i="1"/>
  <c r="BO10" i="1"/>
  <c r="BQ10" i="1" s="1"/>
  <c r="BN10" i="1" s="1"/>
  <c r="L10" i="1"/>
  <c r="I10" i="1"/>
  <c r="CB10" i="1"/>
  <c r="CG10" i="1"/>
  <c r="O10" i="1"/>
  <c r="BY10" i="1"/>
  <c r="CH10" i="1"/>
  <c r="BV10" i="1"/>
  <c r="BB10" i="1"/>
  <c r="AV10" i="1"/>
  <c r="CE10" i="1"/>
  <c r="CI10" i="1"/>
  <c r="BZ10" i="1"/>
  <c r="N10" i="1"/>
  <c r="AC10" i="1"/>
  <c r="CJ10" i="1"/>
  <c r="AR10" i="1"/>
  <c r="AS10" i="1"/>
  <c r="BC10" i="1"/>
  <c r="AX10" i="1"/>
  <c r="CF121" i="1"/>
  <c r="AZ121" i="1"/>
  <c r="CE121" i="1"/>
  <c r="AC121" i="1"/>
  <c r="BO121" i="1"/>
  <c r="BQ121" i="1" s="1"/>
  <c r="BN121" i="1" s="1"/>
  <c r="BV121" i="1"/>
  <c r="N121" i="1"/>
  <c r="BB121" i="1"/>
  <c r="AX121" i="1"/>
  <c r="CH121" i="1"/>
  <c r="M121" i="1"/>
  <c r="BY121" i="1"/>
  <c r="I121" i="1"/>
  <c r="AS121" i="1"/>
  <c r="AR121" i="1"/>
  <c r="L121" i="1"/>
  <c r="AY121" i="1"/>
  <c r="AV121" i="1"/>
  <c r="O121" i="1"/>
  <c r="BA121" i="1"/>
  <c r="CI121" i="1"/>
  <c r="CJ121" i="1"/>
  <c r="BC121" i="1"/>
  <c r="CB121" i="1"/>
  <c r="CG121" i="1"/>
  <c r="CJ133" i="1"/>
  <c r="BY133" i="1"/>
  <c r="AZ133" i="1"/>
  <c r="CE133" i="1"/>
  <c r="CH133" i="1"/>
  <c r="CG133" i="1"/>
  <c r="BB133" i="1"/>
  <c r="BV133" i="1"/>
  <c r="BC133" i="1"/>
  <c r="CB133" i="1"/>
  <c r="AV133" i="1"/>
  <c r="N133" i="1"/>
  <c r="AV133" i="3" s="1"/>
  <c r="CF133" i="1"/>
  <c r="O133" i="1"/>
  <c r="AX133" i="1"/>
  <c r="AC133" i="1"/>
  <c r="AY133" i="1"/>
  <c r="AS133" i="1"/>
  <c r="L133" i="1"/>
  <c r="BA133" i="1"/>
  <c r="M133" i="1"/>
  <c r="BO133" i="1"/>
  <c r="AR133" i="1"/>
  <c r="I133" i="1"/>
  <c r="CI133" i="1"/>
  <c r="S113" i="1"/>
  <c r="W113" i="1" s="1"/>
  <c r="BV8" i="1"/>
  <c r="M8" i="1"/>
  <c r="N8" i="1"/>
  <c r="CI8" i="1"/>
  <c r="BY8" i="1"/>
  <c r="AV8" i="1"/>
  <c r="CE8" i="1"/>
  <c r="CH8" i="1"/>
  <c r="BH8" i="1"/>
  <c r="AR8" i="1"/>
  <c r="CB8" i="1"/>
  <c r="AC8" i="1"/>
  <c r="CG8" i="1"/>
  <c r="CF8" i="1"/>
  <c r="AX8" i="1"/>
  <c r="BA8" i="1"/>
  <c r="I8" i="1"/>
  <c r="AY8" i="1"/>
  <c r="BB8" i="1"/>
  <c r="AS8" i="1"/>
  <c r="CJ8" i="1"/>
  <c r="O8" i="1"/>
  <c r="BC8" i="1"/>
  <c r="BO8" i="1"/>
  <c r="BQ8" i="1" s="1"/>
  <c r="BN8" i="1" s="1"/>
  <c r="AO105" i="1"/>
  <c r="BD105" i="1" s="1"/>
  <c r="X32" i="1"/>
  <c r="AA32" i="1" s="1"/>
  <c r="BE46" i="3"/>
  <c r="BL46" i="3" s="1"/>
  <c r="AC121" i="5"/>
  <c r="A121" i="1"/>
  <c r="B121" i="5"/>
  <c r="Y121" i="5" s="1"/>
  <c r="AC65" i="5"/>
  <c r="Y65" i="5"/>
  <c r="X65" i="5"/>
  <c r="B65" i="5"/>
  <c r="W65" i="5"/>
  <c r="I4" i="1"/>
  <c r="BV4" i="1"/>
  <c r="AC4" i="1"/>
  <c r="CG4" i="1"/>
  <c r="BC4" i="1"/>
  <c r="AY4" i="1"/>
  <c r="BO4" i="1"/>
  <c r="BQ4" i="1" s="1"/>
  <c r="BA4" i="1"/>
  <c r="AV4" i="1"/>
  <c r="BB4" i="1"/>
  <c r="M4" i="1"/>
  <c r="CH4" i="1"/>
  <c r="CJ4" i="1"/>
  <c r="BH4" i="1"/>
  <c r="O4" i="1"/>
  <c r="AZ4" i="1"/>
  <c r="N4" i="1"/>
  <c r="CE4" i="1"/>
  <c r="AX4" i="1"/>
  <c r="CI4" i="1"/>
  <c r="AR4" i="1"/>
  <c r="AS4" i="1"/>
  <c r="CF4" i="1"/>
  <c r="BY4" i="1"/>
  <c r="CB4" i="1"/>
  <c r="A134" i="1"/>
  <c r="A134" i="5" s="1"/>
  <c r="AV295" i="3"/>
  <c r="BR254" i="1" s="1"/>
  <c r="BW254" i="1" s="1"/>
  <c r="AV200" i="3"/>
  <c r="BR320" i="1" s="1"/>
  <c r="BW320" i="1" s="1"/>
  <c r="BR301" i="1"/>
  <c r="BW301" i="1" s="1"/>
  <c r="A123" i="1"/>
  <c r="CC123" i="1"/>
  <c r="A73" i="1"/>
  <c r="X113" i="1"/>
  <c r="AA113" i="1" s="1"/>
  <c r="CC51" i="1"/>
  <c r="CC75" i="1"/>
  <c r="L75" i="1" s="1"/>
  <c r="AX96" i="1"/>
  <c r="CH96" i="1"/>
  <c r="BB96" i="1"/>
  <c r="CF96" i="1"/>
  <c r="M96" i="1"/>
  <c r="CE96" i="1"/>
  <c r="BC96" i="1"/>
  <c r="BA96" i="1"/>
  <c r="I96" i="1"/>
  <c r="N96" i="1"/>
  <c r="AV96" i="1"/>
  <c r="AY96" i="1"/>
  <c r="O96" i="1"/>
  <c r="CG96" i="1"/>
  <c r="AC96" i="1"/>
  <c r="AR96" i="1"/>
  <c r="BV96" i="1"/>
  <c r="CI96" i="1"/>
  <c r="AS96" i="1"/>
  <c r="BY96" i="1"/>
  <c r="CB96" i="1"/>
  <c r="BO96" i="1"/>
  <c r="CJ96" i="1"/>
  <c r="BE40" i="3"/>
  <c r="BL40" i="3" s="1"/>
  <c r="CC92" i="1"/>
  <c r="AV186" i="1"/>
  <c r="N186" i="1"/>
  <c r="BA186" i="1"/>
  <c r="BX186" i="1"/>
  <c r="L186" i="1" s="1"/>
  <c r="CF186" i="1"/>
  <c r="BB186" i="1"/>
  <c r="AC186" i="1"/>
  <c r="AR186" i="1"/>
  <c r="CH186" i="1"/>
  <c r="BC186" i="1"/>
  <c r="BO186" i="1"/>
  <c r="BQ186" i="1" s="1"/>
  <c r="BV186" i="1"/>
  <c r="CB186" i="1"/>
  <c r="O186" i="1"/>
  <c r="CJ186" i="1"/>
  <c r="AY186" i="1"/>
  <c r="BY186" i="1"/>
  <c r="CE186" i="1"/>
  <c r="I186" i="1"/>
  <c r="CG186" i="1"/>
  <c r="AS186" i="1"/>
  <c r="AX186" i="1"/>
  <c r="CI186" i="1"/>
  <c r="BY127" i="1"/>
  <c r="L127" i="1"/>
  <c r="I127" i="1"/>
  <c r="AS127" i="1"/>
  <c r="BV127" i="1"/>
  <c r="BO127" i="1"/>
  <c r="BQ127" i="1" s="1"/>
  <c r="BN127" i="1" s="1"/>
  <c r="AZ127" i="1"/>
  <c r="CB127" i="1"/>
  <c r="BH127" i="1"/>
  <c r="BC127" i="1"/>
  <c r="CG127" i="1"/>
  <c r="M127" i="1"/>
  <c r="CJ127" i="1"/>
  <c r="AY127" i="1"/>
  <c r="AC127" i="1"/>
  <c r="CF127" i="1"/>
  <c r="CH127" i="1"/>
  <c r="BA127" i="1"/>
  <c r="AX127" i="1"/>
  <c r="AV127" i="1"/>
  <c r="CI127" i="1"/>
  <c r="CE127" i="1"/>
  <c r="AR127" i="1"/>
  <c r="BB127" i="1"/>
  <c r="CB12" i="1"/>
  <c r="CF12" i="1"/>
  <c r="BO12" i="1"/>
  <c r="BQ12" i="1" s="1"/>
  <c r="M12" i="1"/>
  <c r="CE12" i="1"/>
  <c r="AR12" i="1"/>
  <c r="BY12" i="1"/>
  <c r="CI12" i="1"/>
  <c r="AX12" i="1"/>
  <c r="CH12" i="1"/>
  <c r="L12" i="1"/>
  <c r="CJ12" i="1"/>
  <c r="BA12" i="1"/>
  <c r="AS12" i="1"/>
  <c r="N12" i="1"/>
  <c r="O12" i="1"/>
  <c r="AV12" i="1"/>
  <c r="AC12" i="1"/>
  <c r="BB12" i="1"/>
  <c r="CG12" i="1"/>
  <c r="AY12" i="1"/>
  <c r="BC12" i="1"/>
  <c r="BH12" i="1"/>
  <c r="BV12" i="1"/>
  <c r="I12" i="1"/>
  <c r="P115" i="1"/>
  <c r="CC156" i="1"/>
  <c r="L156" i="1" s="1"/>
  <c r="A192" i="1"/>
  <c r="A192" i="5" s="1"/>
  <c r="AI192" i="1"/>
  <c r="AM192" i="1" s="1"/>
  <c r="D78" i="5"/>
  <c r="AC78" i="5"/>
  <c r="F78" i="5"/>
  <c r="W78" i="5"/>
  <c r="B78" i="5"/>
  <c r="AA117" i="5"/>
  <c r="W117" i="5"/>
  <c r="D117" i="5"/>
  <c r="Z117" i="5"/>
  <c r="X117" i="5"/>
  <c r="B117" i="5"/>
  <c r="Y117" i="5" s="1"/>
  <c r="AC117" i="5"/>
  <c r="D61" i="5"/>
  <c r="X61" i="5"/>
  <c r="B61" i="5"/>
  <c r="B97" i="5"/>
  <c r="X97" i="5" s="1"/>
  <c r="B72" i="5"/>
  <c r="Y72" i="5"/>
  <c r="Y50" i="5"/>
  <c r="B50" i="5"/>
  <c r="Z50" i="5" s="1"/>
  <c r="A65" i="1"/>
  <c r="S65" i="1"/>
  <c r="V65" i="1" s="1"/>
  <c r="BE33" i="3"/>
  <c r="BL33" i="3" s="1"/>
  <c r="AO70" i="1"/>
  <c r="K70" i="1" s="1"/>
  <c r="CC78" i="1"/>
  <c r="L78" i="1" s="1"/>
  <c r="A5" i="1"/>
  <c r="B5" i="5"/>
  <c r="W5" i="5" s="1"/>
  <c r="AA109" i="5"/>
  <c r="X109" i="5"/>
  <c r="W109" i="5"/>
  <c r="F109" i="5"/>
  <c r="D109" i="5"/>
  <c r="B109" i="5"/>
  <c r="B82" i="5"/>
  <c r="E82" i="5" s="1"/>
  <c r="A59" i="1"/>
  <c r="B59" i="5"/>
  <c r="Y8" i="5"/>
  <c r="AC8" i="5"/>
  <c r="E8" i="5"/>
  <c r="Z8" i="5"/>
  <c r="B8" i="5"/>
  <c r="W8" i="5" s="1"/>
  <c r="X8" i="5"/>
  <c r="AA23" i="5"/>
  <c r="B23" i="5"/>
  <c r="D23" i="5"/>
  <c r="BV102" i="1"/>
  <c r="BC102" i="1"/>
  <c r="AV102" i="1"/>
  <c r="L102" i="1"/>
  <c r="CG102" i="1"/>
  <c r="AX102" i="1"/>
  <c r="CJ102" i="1"/>
  <c r="AC102" i="1"/>
  <c r="CB102" i="1"/>
  <c r="I102" i="1"/>
  <c r="AS102" i="1"/>
  <c r="CH102" i="1"/>
  <c r="BO102" i="1"/>
  <c r="BQ102" i="1" s="1"/>
  <c r="M102" i="1"/>
  <c r="CI102" i="1"/>
  <c r="BY102" i="1"/>
  <c r="CF102" i="1"/>
  <c r="BA102" i="1"/>
  <c r="AR102" i="1"/>
  <c r="AY102" i="1"/>
  <c r="CE102" i="1"/>
  <c r="BB102" i="1"/>
  <c r="X142" i="1"/>
  <c r="Y142" i="1" s="1"/>
  <c r="A109" i="1"/>
  <c r="X109" i="1"/>
  <c r="BE65" i="3"/>
  <c r="BL65" i="3" s="1"/>
  <c r="A57" i="1"/>
  <c r="X57" i="1"/>
  <c r="K57" i="5" s="1"/>
  <c r="AO159" i="1"/>
  <c r="BE159" i="1" s="1"/>
  <c r="AO112" i="1"/>
  <c r="Q112" i="1" s="1"/>
  <c r="AO78" i="1"/>
  <c r="K78" i="1" s="1"/>
  <c r="BV27" i="1"/>
  <c r="BO27" i="1"/>
  <c r="BQ27" i="1" s="1"/>
  <c r="BN27" i="1" s="1"/>
  <c r="CE27" i="1"/>
  <c r="AZ27" i="1"/>
  <c r="AR27" i="1"/>
  <c r="CG27" i="1"/>
  <c r="CB27" i="1"/>
  <c r="CJ27" i="1"/>
  <c r="M27" i="1"/>
  <c r="AS27" i="1"/>
  <c r="CH27" i="1"/>
  <c r="BA27" i="1"/>
  <c r="AX27" i="1"/>
  <c r="AC27" i="1"/>
  <c r="BC27" i="1"/>
  <c r="CF27" i="1"/>
  <c r="I27" i="1"/>
  <c r="BY27" i="1"/>
  <c r="CI27" i="1"/>
  <c r="AV27" i="1"/>
  <c r="AY27" i="1"/>
  <c r="BB27" i="1"/>
  <c r="AA91" i="5"/>
  <c r="W91" i="5"/>
  <c r="B91" i="5"/>
  <c r="X91" i="5" s="1"/>
  <c r="S54" i="1"/>
  <c r="T54" i="1" s="1"/>
  <c r="Y10" i="5"/>
  <c r="X10" i="5"/>
  <c r="A10" i="1"/>
  <c r="B10" i="5"/>
  <c r="W10" i="5" s="1"/>
  <c r="Z140" i="5"/>
  <c r="F140" i="5"/>
  <c r="W140" i="5"/>
  <c r="E140" i="5"/>
  <c r="AA140" i="5"/>
  <c r="X140" i="5"/>
  <c r="A140" i="1"/>
  <c r="A140" i="5" s="1"/>
  <c r="B140" i="5"/>
  <c r="Y140" i="5" s="1"/>
  <c r="D140" i="5"/>
  <c r="Y129" i="5"/>
  <c r="X129" i="5"/>
  <c r="D129" i="5"/>
  <c r="AC129" i="5"/>
  <c r="F129" i="5"/>
  <c r="Z129" i="5"/>
  <c r="AA129" i="5"/>
  <c r="W129" i="5"/>
  <c r="A129" i="1"/>
  <c r="A129" i="5" s="1"/>
  <c r="B129" i="5"/>
  <c r="E129" i="5"/>
  <c r="BA117" i="1"/>
  <c r="CI117" i="1"/>
  <c r="BY117" i="1"/>
  <c r="AZ117" i="1"/>
  <c r="BV117" i="1"/>
  <c r="CJ117" i="1"/>
  <c r="I117" i="1"/>
  <c r="BO117" i="1"/>
  <c r="BQ117" i="1" s="1"/>
  <c r="AC117" i="1"/>
  <c r="AX117" i="1"/>
  <c r="BC117" i="1"/>
  <c r="AY117" i="1"/>
  <c r="AR117" i="1"/>
  <c r="N117" i="1"/>
  <c r="CF117" i="1"/>
  <c r="L117" i="1"/>
  <c r="CG117" i="1"/>
  <c r="AS117" i="1"/>
  <c r="BB117" i="1"/>
  <c r="M117" i="1"/>
  <c r="CB117" i="1"/>
  <c r="O117" i="1"/>
  <c r="AV117" i="1"/>
  <c r="CH117" i="1"/>
  <c r="CE117" i="1"/>
  <c r="AA96" i="5"/>
  <c r="E96" i="5"/>
  <c r="F96" i="5"/>
  <c r="Z96" i="5"/>
  <c r="AC96" i="5"/>
  <c r="Y96" i="5"/>
  <c r="W96" i="5"/>
  <c r="B96" i="5"/>
  <c r="D96" i="5" s="1"/>
  <c r="X96" i="5"/>
  <c r="A93" i="1"/>
  <c r="B93" i="5"/>
  <c r="D93" i="5" s="1"/>
  <c r="AC88" i="5"/>
  <c r="E88" i="5"/>
  <c r="X88" i="5"/>
  <c r="AA88" i="5"/>
  <c r="Y88" i="5"/>
  <c r="Z88" i="5"/>
  <c r="B88" i="5"/>
  <c r="W88" i="5" s="1"/>
  <c r="D88" i="5"/>
  <c r="W85" i="5"/>
  <c r="AC85" i="5"/>
  <c r="Y85" i="5"/>
  <c r="F85" i="5"/>
  <c r="E85" i="5"/>
  <c r="Z85" i="5"/>
  <c r="X85" i="5"/>
  <c r="B85" i="5"/>
  <c r="D85" i="5" s="1"/>
  <c r="AA85" i="5"/>
  <c r="CF61" i="1"/>
  <c r="BV61" i="1"/>
  <c r="AX61" i="1"/>
  <c r="CG61" i="1"/>
  <c r="I61" i="1"/>
  <c r="M61" i="1"/>
  <c r="BA61" i="1"/>
  <c r="AZ61" i="1"/>
  <c r="CI61" i="1"/>
  <c r="CJ61" i="1"/>
  <c r="L61" i="1"/>
  <c r="BZ61" i="1"/>
  <c r="AR61" i="1"/>
  <c r="BC61" i="1"/>
  <c r="CB61" i="1"/>
  <c r="CH61" i="1"/>
  <c r="BO61" i="1"/>
  <c r="N61" i="1"/>
  <c r="AY61" i="1"/>
  <c r="BY61" i="1"/>
  <c r="CE61" i="1"/>
  <c r="AS61" i="1"/>
  <c r="AV61" i="1"/>
  <c r="O61" i="1"/>
  <c r="BB61" i="1"/>
  <c r="BH61" i="1"/>
  <c r="A61" i="1"/>
  <c r="AC61" i="1"/>
  <c r="D58" i="5"/>
  <c r="AC58" i="5"/>
  <c r="B58" i="5"/>
  <c r="Z58" i="5" s="1"/>
  <c r="W29" i="5"/>
  <c r="X29" i="5"/>
  <c r="F29" i="5"/>
  <c r="A29" i="1"/>
  <c r="B29" i="5"/>
  <c r="E29" i="5" s="1"/>
  <c r="E133" i="5"/>
  <c r="F133" i="5"/>
  <c r="W133" i="5"/>
  <c r="X133" i="5"/>
  <c r="B133" i="5"/>
  <c r="Z133" i="5" s="1"/>
  <c r="W102" i="5"/>
  <c r="F102" i="5"/>
  <c r="AA102" i="5"/>
  <c r="B102" i="5"/>
  <c r="D102" i="5" s="1"/>
  <c r="B17" i="5"/>
  <c r="F17" i="5" s="1"/>
  <c r="F55" i="5"/>
  <c r="Y55" i="5"/>
  <c r="W55" i="5"/>
  <c r="B55" i="5"/>
  <c r="AA55" i="5" s="1"/>
  <c r="AC47" i="5"/>
  <c r="B47" i="5"/>
  <c r="Z47" i="5" s="1"/>
  <c r="B27" i="5"/>
  <c r="B20" i="5"/>
  <c r="AA20" i="5" s="1"/>
  <c r="A4" i="1"/>
  <c r="B4" i="5"/>
  <c r="AD137" i="1"/>
  <c r="AF137" i="1" s="1"/>
  <c r="J97" i="1"/>
  <c r="CD97" i="1" s="1"/>
  <c r="X114" i="1"/>
  <c r="K114" i="5" s="1"/>
  <c r="X154" i="1"/>
  <c r="AA154" i="1" s="1"/>
  <c r="AD53" i="1"/>
  <c r="AG53" i="1" s="1"/>
  <c r="A138" i="1"/>
  <c r="A138" i="5" s="1"/>
  <c r="AI138" i="1"/>
  <c r="AK138" i="1" s="1"/>
  <c r="CC13" i="1"/>
  <c r="AO75" i="1"/>
  <c r="CC9" i="1"/>
  <c r="L9" i="1" s="1"/>
  <c r="AS60" i="1"/>
  <c r="BY60" i="1"/>
  <c r="CJ60" i="1"/>
  <c r="CG60" i="1"/>
  <c r="CB60" i="1"/>
  <c r="CE60" i="1"/>
  <c r="CI60" i="1"/>
  <c r="BV60" i="1"/>
  <c r="CH60" i="1"/>
  <c r="N60" i="1"/>
  <c r="I60" i="1"/>
  <c r="CF60" i="1"/>
  <c r="BB60" i="1"/>
  <c r="AR60" i="1"/>
  <c r="M60" i="1"/>
  <c r="AZ60" i="1"/>
  <c r="AV60" i="1"/>
  <c r="BC60" i="1"/>
  <c r="BO60" i="1"/>
  <c r="BQ60" i="1" s="1"/>
  <c r="AY60" i="1"/>
  <c r="AC60" i="1"/>
  <c r="AX60" i="1"/>
  <c r="BA60" i="1"/>
  <c r="O60" i="1"/>
  <c r="CC30" i="1"/>
  <c r="L30" i="1" s="1"/>
  <c r="CH47" i="1"/>
  <c r="CE47" i="1"/>
  <c r="BH47" i="1"/>
  <c r="AX47" i="1"/>
  <c r="L47" i="1"/>
  <c r="M47" i="1"/>
  <c r="BO47" i="1"/>
  <c r="AC47" i="1"/>
  <c r="CB47" i="1"/>
  <c r="CJ47" i="1"/>
  <c r="CG47" i="1"/>
  <c r="O47" i="1"/>
  <c r="CI47" i="1"/>
  <c r="AS47" i="1"/>
  <c r="AY47" i="1"/>
  <c r="N47" i="1"/>
  <c r="BY47" i="1"/>
  <c r="BV47" i="1"/>
  <c r="BB47" i="1"/>
  <c r="I47" i="1"/>
  <c r="BC47" i="1"/>
  <c r="AR47" i="1"/>
  <c r="CF47" i="1"/>
  <c r="BA47" i="1"/>
  <c r="AV47" i="1"/>
  <c r="BE95" i="3"/>
  <c r="BL95" i="3" s="1"/>
  <c r="BR314" i="1"/>
  <c r="BE47" i="3"/>
  <c r="BL47" i="3" s="1"/>
  <c r="BR321" i="1"/>
  <c r="BW321" i="1" s="1"/>
  <c r="BE116" i="3"/>
  <c r="BL116" i="3" s="1"/>
  <c r="CB195" i="1"/>
  <c r="BA195" i="1"/>
  <c r="AS195" i="1"/>
  <c r="CF195" i="1"/>
  <c r="AZ195" i="1"/>
  <c r="AX195" i="1"/>
  <c r="BY195" i="1"/>
  <c r="AV195" i="1"/>
  <c r="CI195" i="1"/>
  <c r="CH195" i="1"/>
  <c r="CG195" i="1"/>
  <c r="BV195" i="1"/>
  <c r="CJ195" i="1"/>
  <c r="N195" i="1"/>
  <c r="AY195" i="1"/>
  <c r="BX195" i="1"/>
  <c r="AR195" i="1"/>
  <c r="O195" i="1"/>
  <c r="BO195" i="1"/>
  <c r="AC195" i="1"/>
  <c r="BC195" i="1"/>
  <c r="I195" i="1"/>
  <c r="BM195" i="1" s="1"/>
  <c r="BB195" i="1"/>
  <c r="CE195" i="1"/>
  <c r="X160" i="1"/>
  <c r="A160" i="1"/>
  <c r="A160" i="5" s="1"/>
  <c r="BE37" i="3"/>
  <c r="BL37" i="3" s="1"/>
  <c r="B44" i="5"/>
  <c r="A117" i="1"/>
  <c r="A56" i="1"/>
  <c r="X56" i="1"/>
  <c r="Z56" i="1" s="1"/>
  <c r="E113" i="5"/>
  <c r="AA113" i="5"/>
  <c r="Z113" i="5"/>
  <c r="N113" i="1" s="1"/>
  <c r="F113" i="5"/>
  <c r="X113" i="5"/>
  <c r="B113" i="5"/>
  <c r="Y113" i="5" s="1"/>
  <c r="W113" i="5"/>
  <c r="X92" i="1"/>
  <c r="K92" i="5" s="1"/>
  <c r="AD102" i="1"/>
  <c r="X125" i="1"/>
  <c r="AB125" i="1" s="1"/>
  <c r="A108" i="1"/>
  <c r="A108" i="5" s="1"/>
  <c r="X108" i="1"/>
  <c r="K108" i="5" s="1"/>
  <c r="L108" i="5" s="1"/>
  <c r="W14" i="5"/>
  <c r="D14" i="5"/>
  <c r="Z14" i="5"/>
  <c r="F14" i="5"/>
  <c r="AC14" i="5"/>
  <c r="B14" i="5"/>
  <c r="AA14" i="5" s="1"/>
  <c r="Y14" i="5"/>
  <c r="AA154" i="5"/>
  <c r="E154" i="5"/>
  <c r="W154" i="5"/>
  <c r="F154" i="5"/>
  <c r="X154" i="5"/>
  <c r="B154" i="5"/>
  <c r="Z154" i="5" s="1"/>
  <c r="AO151" i="1"/>
  <c r="BD151" i="1" s="1"/>
  <c r="A104" i="1"/>
  <c r="A104" i="5" s="1"/>
  <c r="AI104" i="1"/>
  <c r="S104" i="5" s="1"/>
  <c r="CH86" i="1"/>
  <c r="AR86" i="1"/>
  <c r="BA86" i="1"/>
  <c r="I86" i="1"/>
  <c r="BM86" i="1" s="1"/>
  <c r="AX86" i="1"/>
  <c r="CB86" i="1"/>
  <c r="O86" i="1"/>
  <c r="CF86" i="1"/>
  <c r="BB86" i="1"/>
  <c r="AC86" i="1"/>
  <c r="M86" i="1"/>
  <c r="CE86" i="1"/>
  <c r="CI86" i="1"/>
  <c r="AV86" i="1"/>
  <c r="AS86" i="1"/>
  <c r="CG86" i="1"/>
  <c r="BV86" i="1"/>
  <c r="BO86" i="1"/>
  <c r="BC86" i="1"/>
  <c r="L86" i="1"/>
  <c r="N86" i="1"/>
  <c r="CJ86" i="1"/>
  <c r="AZ86" i="1"/>
  <c r="BY86" i="1"/>
  <c r="AY86" i="1"/>
  <c r="X120" i="1"/>
  <c r="AA120" i="1" s="1"/>
  <c r="CF125" i="1"/>
  <c r="AY125" i="1"/>
  <c r="I125" i="1"/>
  <c r="CI125" i="1"/>
  <c r="AC125" i="1"/>
  <c r="N125" i="1"/>
  <c r="CG125" i="1"/>
  <c r="AX125" i="1"/>
  <c r="BY125" i="1"/>
  <c r="CB125" i="1"/>
  <c r="AR125" i="1"/>
  <c r="BV125" i="1"/>
  <c r="CE125" i="1"/>
  <c r="O125" i="1"/>
  <c r="CH125" i="1"/>
  <c r="L125" i="1"/>
  <c r="BA125" i="1"/>
  <c r="AS125" i="1"/>
  <c r="M125" i="1"/>
  <c r="BB125" i="1"/>
  <c r="BO125" i="1"/>
  <c r="BC125" i="1"/>
  <c r="CJ125" i="1"/>
  <c r="AV125" i="1"/>
  <c r="F141" i="5"/>
  <c r="B141" i="5"/>
  <c r="X141" i="5" s="1"/>
  <c r="D52" i="5"/>
  <c r="B52" i="5"/>
  <c r="F52" i="5" s="1"/>
  <c r="AO144" i="1"/>
  <c r="BE144" i="1" s="1"/>
  <c r="J49" i="1"/>
  <c r="Z3" i="5"/>
  <c r="B3" i="5"/>
  <c r="AC3" i="5" s="1"/>
  <c r="AO194" i="1"/>
  <c r="K194" i="1" s="1"/>
  <c r="AO156" i="1"/>
  <c r="BH156" i="1" s="1"/>
  <c r="O74" i="1"/>
  <c r="BB74" i="1"/>
  <c r="CB74" i="1"/>
  <c r="AZ74" i="1"/>
  <c r="CE74" i="1"/>
  <c r="BV74" i="1"/>
  <c r="CJ74" i="1"/>
  <c r="BO74" i="1"/>
  <c r="BQ74" i="1" s="1"/>
  <c r="N74" i="1"/>
  <c r="AS74" i="1"/>
  <c r="I74" i="1"/>
  <c r="AC74" i="1"/>
  <c r="BY74" i="1"/>
  <c r="M74" i="1"/>
  <c r="BC74" i="1"/>
  <c r="AV74" i="1"/>
  <c r="CH74" i="1"/>
  <c r="AX74" i="1"/>
  <c r="CI74" i="1"/>
  <c r="AY74" i="1"/>
  <c r="CF74" i="1"/>
  <c r="CG74" i="1"/>
  <c r="BA74" i="1"/>
  <c r="AR74" i="1"/>
  <c r="S22" i="1"/>
  <c r="W22" i="1" s="1"/>
  <c r="A128" i="1"/>
  <c r="A128" i="5" s="1"/>
  <c r="AX158" i="1"/>
  <c r="CG158" i="1"/>
  <c r="CF158" i="1"/>
  <c r="AV158" i="1"/>
  <c r="CH158" i="1"/>
  <c r="O158" i="1"/>
  <c r="CJ158" i="1"/>
  <c r="AZ158" i="1"/>
  <c r="CI158" i="1"/>
  <c r="CB158" i="1"/>
  <c r="I158" i="1"/>
  <c r="AY158" i="1"/>
  <c r="N158" i="1"/>
  <c r="BA158" i="1"/>
  <c r="AR158" i="1"/>
  <c r="BC158" i="1"/>
  <c r="CE158" i="1"/>
  <c r="BB158" i="1"/>
  <c r="AS158" i="1"/>
  <c r="BO158" i="1"/>
  <c r="BQ158" i="1" s="1"/>
  <c r="BN158" i="1" s="1"/>
  <c r="M158" i="1"/>
  <c r="AC158" i="1"/>
  <c r="BY158" i="1"/>
  <c r="BV158" i="1"/>
  <c r="A90" i="1"/>
  <c r="BE8" i="3"/>
  <c r="BL8" i="3" s="1"/>
  <c r="AR55" i="1"/>
  <c r="I55" i="1"/>
  <c r="BY55" i="1"/>
  <c r="CE55" i="1"/>
  <c r="BA55" i="1"/>
  <c r="AY55" i="1"/>
  <c r="CH55" i="1"/>
  <c r="AZ55" i="1"/>
  <c r="CI55" i="1"/>
  <c r="AX55" i="1"/>
  <c r="BO55" i="1"/>
  <c r="BQ55" i="1" s="1"/>
  <c r="BN55" i="1" s="1"/>
  <c r="BC55" i="1"/>
  <c r="O55" i="1"/>
  <c r="CG55" i="1"/>
  <c r="CB55" i="1"/>
  <c r="AS55" i="1"/>
  <c r="M55" i="1"/>
  <c r="CF55" i="1"/>
  <c r="AC55" i="1"/>
  <c r="CJ55" i="1"/>
  <c r="BV55" i="1"/>
  <c r="N55" i="1"/>
  <c r="BH55" i="1"/>
  <c r="AV55" i="1"/>
  <c r="BB55" i="1"/>
  <c r="BR326" i="1"/>
  <c r="BW326" i="1" s="1"/>
  <c r="BV85" i="1"/>
  <c r="AR85" i="1"/>
  <c r="CH85" i="1"/>
  <c r="M85" i="1"/>
  <c r="L85" i="1"/>
  <c r="BA85" i="1"/>
  <c r="AC85" i="1"/>
  <c r="BO85" i="1"/>
  <c r="AY85" i="1"/>
  <c r="AV85" i="1"/>
  <c r="CJ85" i="1"/>
  <c r="O85" i="1"/>
  <c r="BB85" i="1"/>
  <c r="CI85" i="1"/>
  <c r="CG85" i="1"/>
  <c r="BY85" i="1"/>
  <c r="N85" i="1"/>
  <c r="I85" i="1"/>
  <c r="BM85" i="1" s="1"/>
  <c r="BC85" i="1"/>
  <c r="AX85" i="1"/>
  <c r="CF85" i="1"/>
  <c r="AZ85" i="1"/>
  <c r="AS85" i="1"/>
  <c r="CB85" i="1"/>
  <c r="CE85" i="1"/>
  <c r="AX80" i="1"/>
  <c r="CG80" i="1"/>
  <c r="I80" i="1"/>
  <c r="BH80" i="1"/>
  <c r="CI80" i="1"/>
  <c r="BC80" i="1"/>
  <c r="AS80" i="1"/>
  <c r="CB80" i="1"/>
  <c r="BA80" i="1"/>
  <c r="BO80" i="1"/>
  <c r="AY80" i="1"/>
  <c r="CH80" i="1"/>
  <c r="BY80" i="1"/>
  <c r="CE80" i="1"/>
  <c r="M80" i="1"/>
  <c r="BB80" i="1"/>
  <c r="AW80" i="3" s="1"/>
  <c r="BV80" i="1"/>
  <c r="CF80" i="1"/>
  <c r="CJ80" i="1"/>
  <c r="AV80" i="1"/>
  <c r="AC80" i="1"/>
  <c r="AZ80" i="1"/>
  <c r="AR80" i="1"/>
  <c r="AC146" i="5"/>
  <c r="E146" i="5"/>
  <c r="D146" i="5"/>
  <c r="Y146" i="5"/>
  <c r="Z146" i="5"/>
  <c r="B146" i="5"/>
  <c r="W146" i="5" s="1"/>
  <c r="AD43" i="1"/>
  <c r="AF43" i="1" s="1"/>
  <c r="X15" i="5"/>
  <c r="Y15" i="5"/>
  <c r="D15" i="5"/>
  <c r="B15" i="5"/>
  <c r="AA15" i="5" s="1"/>
  <c r="BJ143" i="1"/>
  <c r="O88" i="1"/>
  <c r="BB88" i="1"/>
  <c r="AZ88" i="1"/>
  <c r="BY88" i="1"/>
  <c r="I88" i="1"/>
  <c r="BM88" i="1" s="1"/>
  <c r="AC88" i="1"/>
  <c r="CB88" i="1"/>
  <c r="CF88" i="1"/>
  <c r="BC88" i="1"/>
  <c r="CG88" i="1"/>
  <c r="AR88" i="1"/>
  <c r="N88" i="1"/>
  <c r="AY88" i="1"/>
  <c r="AS88" i="1"/>
  <c r="AV88" i="1"/>
  <c r="M88" i="1"/>
  <c r="AX88" i="1"/>
  <c r="BA88" i="1"/>
  <c r="CH88" i="1"/>
  <c r="BV88" i="1"/>
  <c r="CJ88" i="1"/>
  <c r="CE88" i="1"/>
  <c r="BO88" i="1"/>
  <c r="CI88" i="1"/>
  <c r="X26" i="5"/>
  <c r="B26" i="5"/>
  <c r="AC26" i="5" s="1"/>
  <c r="X120" i="5"/>
  <c r="AC120" i="5"/>
  <c r="F120" i="5"/>
  <c r="B120" i="5"/>
  <c r="W120" i="5" s="1"/>
  <c r="Z120" i="5"/>
  <c r="AO141" i="1"/>
  <c r="BJ155" i="1"/>
  <c r="S49" i="1"/>
  <c r="T49" i="1" s="1"/>
  <c r="A102" i="1"/>
  <c r="A102" i="5" s="1"/>
  <c r="BJ30" i="1"/>
  <c r="X105" i="1"/>
  <c r="AA105" i="1" s="1"/>
  <c r="AR62" i="1"/>
  <c r="AS62" i="1"/>
  <c r="BO62" i="1"/>
  <c r="CB62" i="1"/>
  <c r="O62" i="1"/>
  <c r="BA62" i="1"/>
  <c r="CG62" i="1"/>
  <c r="AX62" i="1"/>
  <c r="N62" i="1"/>
  <c r="BY62" i="1"/>
  <c r="AZ62" i="1"/>
  <c r="CE62" i="1"/>
  <c r="AC62" i="1"/>
  <c r="BB62" i="1"/>
  <c r="AW62" i="3" s="1"/>
  <c r="CH62" i="1"/>
  <c r="M62" i="1"/>
  <c r="CJ62" i="1"/>
  <c r="BC62" i="1"/>
  <c r="CF62" i="1"/>
  <c r="CI62" i="1"/>
  <c r="BZ62" i="1"/>
  <c r="BV62" i="1"/>
  <c r="AV62" i="1"/>
  <c r="I62" i="1"/>
  <c r="BH62" i="1"/>
  <c r="AY62" i="1"/>
  <c r="BR302" i="1"/>
  <c r="BW302" i="1" s="1"/>
  <c r="AV296" i="3"/>
  <c r="BR285" i="1" s="1"/>
  <c r="O32" i="1"/>
  <c r="AS32" i="1"/>
  <c r="BY32" i="1"/>
  <c r="CE32" i="1"/>
  <c r="L32" i="1"/>
  <c r="CB32" i="1"/>
  <c r="CG32" i="1"/>
  <c r="BV32" i="1"/>
  <c r="AX32" i="1"/>
  <c r="BC32" i="1"/>
  <c r="M32" i="1"/>
  <c r="BO32" i="1"/>
  <c r="BQ32" i="1" s="1"/>
  <c r="I32" i="1"/>
  <c r="AR32" i="1"/>
  <c r="BH32" i="1"/>
  <c r="N32" i="1"/>
  <c r="AY32" i="1"/>
  <c r="CH32" i="1"/>
  <c r="AZ32" i="1"/>
  <c r="BA32" i="1"/>
  <c r="AV32" i="1"/>
  <c r="CJ32" i="1"/>
  <c r="AC32" i="1"/>
  <c r="CI32" i="1"/>
  <c r="BB32" i="1"/>
  <c r="CF32" i="1"/>
  <c r="CH82" i="1"/>
  <c r="CF82" i="1"/>
  <c r="CG82" i="1"/>
  <c r="AC82" i="1"/>
  <c r="BV82" i="1"/>
  <c r="CI82" i="1"/>
  <c r="CE82" i="1"/>
  <c r="BO82" i="1"/>
  <c r="M82" i="1"/>
  <c r="AV82" i="1"/>
  <c r="N82" i="1"/>
  <c r="AY82" i="1"/>
  <c r="BB82" i="1"/>
  <c r="CJ82" i="1"/>
  <c r="AX82" i="1"/>
  <c r="CB82" i="1"/>
  <c r="BY82" i="1"/>
  <c r="I82" i="1"/>
  <c r="O82" i="1"/>
  <c r="AZ82" i="1"/>
  <c r="AR82" i="1"/>
  <c r="BA82" i="1"/>
  <c r="AS82" i="1"/>
  <c r="BH82" i="1"/>
  <c r="BC82" i="1"/>
  <c r="BA3" i="1"/>
  <c r="BY3" i="1"/>
  <c r="CG3" i="1"/>
  <c r="N3" i="1"/>
  <c r="AZ3" i="1"/>
  <c r="O3" i="1"/>
  <c r="BC3" i="1"/>
  <c r="M3" i="1"/>
  <c r="CB3" i="1"/>
  <c r="AC3" i="1"/>
  <c r="CI3" i="1"/>
  <c r="AR3" i="1"/>
  <c r="CH3" i="1"/>
  <c r="I3" i="1"/>
  <c r="AY3" i="1"/>
  <c r="CJ3" i="1"/>
  <c r="BO3" i="1"/>
  <c r="BQ3" i="1" s="1"/>
  <c r="BN3" i="1" s="1"/>
  <c r="AV3" i="1"/>
  <c r="AS3" i="1"/>
  <c r="BV3" i="1"/>
  <c r="CE3" i="1"/>
  <c r="BB3" i="1"/>
  <c r="AX3" i="1"/>
  <c r="CF3" i="1"/>
  <c r="CC148" i="1"/>
  <c r="CC111" i="1"/>
  <c r="L111" i="1" s="1"/>
  <c r="X70" i="1"/>
  <c r="Y70" i="1" s="1"/>
  <c r="A116" i="1"/>
  <c r="AI116" i="1"/>
  <c r="AK116" i="1" s="1"/>
  <c r="B112" i="5"/>
  <c r="B13" i="5"/>
  <c r="E13" i="5" s="1"/>
  <c r="AC30" i="5"/>
  <c r="B30" i="5"/>
  <c r="D145" i="5"/>
  <c r="Z145" i="5"/>
  <c r="X145" i="5"/>
  <c r="AA145" i="5"/>
  <c r="F145" i="5"/>
  <c r="W145" i="5"/>
  <c r="B145" i="5"/>
  <c r="Y145" i="5" s="1"/>
  <c r="AC145" i="5"/>
  <c r="A195" i="1"/>
  <c r="A195" i="5" s="1"/>
  <c r="CC146" i="1"/>
  <c r="L146" i="1" s="1"/>
  <c r="AO115" i="1"/>
  <c r="AP115" i="1" s="1"/>
  <c r="AO6" i="1"/>
  <c r="BH6" i="1" s="1"/>
  <c r="S125" i="1"/>
  <c r="AA79" i="5"/>
  <c r="Y79" i="5"/>
  <c r="F79" i="5"/>
  <c r="B79" i="5"/>
  <c r="Z79" i="5" s="1"/>
  <c r="B74" i="5"/>
  <c r="X74" i="5" s="1"/>
  <c r="Z74" i="5"/>
  <c r="Y63" i="5"/>
  <c r="E63" i="5"/>
  <c r="W63" i="5"/>
  <c r="B63" i="5"/>
  <c r="Z63" i="5" s="1"/>
  <c r="F63" i="5"/>
  <c r="AO111" i="1"/>
  <c r="J111" i="1" s="1"/>
  <c r="BF111" i="1" s="1"/>
  <c r="A66" i="1"/>
  <c r="AX148" i="1"/>
  <c r="CJ148" i="1"/>
  <c r="N148" i="1"/>
  <c r="CI148" i="1"/>
  <c r="O148" i="1"/>
  <c r="AY148" i="1"/>
  <c r="AZ148" i="1"/>
  <c r="CF148" i="1"/>
  <c r="CB148" i="1"/>
  <c r="AR148" i="1"/>
  <c r="I148" i="1"/>
  <c r="AC148" i="1"/>
  <c r="BC148" i="1"/>
  <c r="BV148" i="1"/>
  <c r="CE148" i="1"/>
  <c r="BY148" i="1"/>
  <c r="M148" i="1"/>
  <c r="BO148" i="1"/>
  <c r="CG148" i="1"/>
  <c r="BB148" i="1"/>
  <c r="AV148" i="1"/>
  <c r="AS148" i="1"/>
  <c r="BA148" i="1"/>
  <c r="CH148" i="1"/>
  <c r="CC52" i="1"/>
  <c r="CC143" i="1"/>
  <c r="CC137" i="1"/>
  <c r="L137" i="1" s="1"/>
  <c r="AO143" i="1"/>
  <c r="AP143" i="1" s="1"/>
  <c r="AV292" i="3"/>
  <c r="BR243" i="1" s="1"/>
  <c r="BW243" i="1" s="1"/>
  <c r="BJ16" i="1"/>
  <c r="AO153" i="1"/>
  <c r="K153" i="1" s="1"/>
  <c r="AO154" i="1"/>
  <c r="AP154" i="1" s="1"/>
  <c r="BO105" i="1"/>
  <c r="BQ105" i="1" s="1"/>
  <c r="AC105" i="1"/>
  <c r="CB105" i="1"/>
  <c r="AR105" i="1"/>
  <c r="CG105" i="1"/>
  <c r="M105" i="1"/>
  <c r="AY105" i="1"/>
  <c r="I105" i="1"/>
  <c r="BB105" i="1"/>
  <c r="BC105" i="1"/>
  <c r="AX105" i="1"/>
  <c r="CH105" i="1"/>
  <c r="CF105" i="1"/>
  <c r="AZ105" i="1"/>
  <c r="BV105" i="1"/>
  <c r="AV105" i="1"/>
  <c r="AS105" i="1"/>
  <c r="CE105" i="1"/>
  <c r="CI105" i="1"/>
  <c r="BY105" i="1"/>
  <c r="CJ105" i="1"/>
  <c r="BA105" i="1"/>
  <c r="X67" i="1"/>
  <c r="K67" i="5" s="1"/>
  <c r="AD97" i="1"/>
  <c r="AF97" i="1" s="1"/>
  <c r="Q53" i="1"/>
  <c r="R53" i="1" s="1"/>
  <c r="BE84" i="3"/>
  <c r="BL84" i="3" s="1"/>
  <c r="A133" i="1"/>
  <c r="A133" i="5"/>
  <c r="CC31" i="1"/>
  <c r="L31" i="1" s="1"/>
  <c r="CC154" i="1"/>
  <c r="CG39" i="1"/>
  <c r="M39" i="1"/>
  <c r="AX39" i="1"/>
  <c r="AR39" i="1"/>
  <c r="CE39" i="1"/>
  <c r="CF39" i="1"/>
  <c r="AZ39" i="1"/>
  <c r="BC39" i="1"/>
  <c r="AV39" i="1"/>
  <c r="CB39" i="1"/>
  <c r="AC39" i="1"/>
  <c r="I39" i="1"/>
  <c r="AS39" i="1"/>
  <c r="BV39" i="1"/>
  <c r="BO39" i="1"/>
  <c r="N39" i="1"/>
  <c r="O39" i="1"/>
  <c r="BY39" i="1"/>
  <c r="CJ39" i="1"/>
  <c r="BB39" i="1"/>
  <c r="AY39" i="1"/>
  <c r="CI39" i="1"/>
  <c r="BA39" i="1"/>
  <c r="CH39" i="1"/>
  <c r="I64" i="1"/>
  <c r="BA64" i="1"/>
  <c r="AV64" i="1"/>
  <c r="BO64" i="1"/>
  <c r="BQ64" i="1" s="1"/>
  <c r="AC64" i="1"/>
  <c r="BY64" i="1"/>
  <c r="O64" i="1"/>
  <c r="CH64" i="1"/>
  <c r="AR64" i="1"/>
  <c r="CE64" i="1"/>
  <c r="M64" i="1"/>
  <c r="AZ64" i="1"/>
  <c r="AS64" i="1"/>
  <c r="BV64" i="1"/>
  <c r="BB64" i="1"/>
  <c r="BC64" i="1"/>
  <c r="CG64" i="1"/>
  <c r="L64" i="1"/>
  <c r="N64" i="1"/>
  <c r="AY64" i="1"/>
  <c r="CJ64" i="1"/>
  <c r="CI64" i="1"/>
  <c r="CB64" i="1"/>
  <c r="AX64" i="1"/>
  <c r="CF64" i="1"/>
  <c r="CC26" i="1"/>
  <c r="AO139" i="1"/>
  <c r="A74" i="1"/>
  <c r="AO74" i="1"/>
  <c r="BE74" i="3" s="1"/>
  <c r="BL74" i="3" s="1"/>
  <c r="A127" i="1"/>
  <c r="A127" i="5" s="1"/>
  <c r="X127" i="1"/>
  <c r="AA127" i="1" s="1"/>
  <c r="AO148" i="1"/>
  <c r="BH148" i="1" s="1"/>
  <c r="X158" i="1"/>
  <c r="Z158" i="1" s="1"/>
  <c r="AC101" i="1"/>
  <c r="BV101" i="1"/>
  <c r="BA101" i="1"/>
  <c r="AR101" i="1"/>
  <c r="AS101" i="1"/>
  <c r="CJ101" i="1"/>
  <c r="M101" i="1"/>
  <c r="CF101" i="1"/>
  <c r="BO101" i="1"/>
  <c r="AV101" i="1"/>
  <c r="CI101" i="1"/>
  <c r="AY101" i="1"/>
  <c r="I101" i="1"/>
  <c r="BB101" i="1"/>
  <c r="CH101" i="1"/>
  <c r="CE101" i="1"/>
  <c r="CG101" i="1"/>
  <c r="AX101" i="1"/>
  <c r="BY101" i="1"/>
  <c r="CB101" i="1"/>
  <c r="A101" i="1"/>
  <c r="A101" i="5" s="1"/>
  <c r="BC101" i="1"/>
  <c r="AD51" i="1"/>
  <c r="AH51" i="1" s="1"/>
  <c r="X115" i="5"/>
  <c r="B115" i="5"/>
  <c r="AA115" i="5" s="1"/>
  <c r="F115" i="5"/>
  <c r="B110" i="5"/>
  <c r="AC110" i="5" s="1"/>
  <c r="A34" i="1"/>
  <c r="X34" i="1"/>
  <c r="AB34" i="1" s="1"/>
  <c r="F148" i="5"/>
  <c r="D148" i="5"/>
  <c r="B148" i="5"/>
  <c r="B151" i="5"/>
  <c r="W151" i="5" s="1"/>
  <c r="W153" i="5"/>
  <c r="B153" i="5"/>
  <c r="AA153" i="5" s="1"/>
  <c r="W135" i="5"/>
  <c r="X135" i="5"/>
  <c r="AC135" i="5"/>
  <c r="D135" i="5"/>
  <c r="E135" i="5"/>
  <c r="Z135" i="5"/>
  <c r="B135" i="5"/>
  <c r="AA135" i="5" s="1"/>
  <c r="F135" i="5"/>
  <c r="B147" i="5"/>
  <c r="AA156" i="5"/>
  <c r="F156" i="5"/>
  <c r="AC156" i="5"/>
  <c r="B156" i="5"/>
  <c r="AA6" i="5"/>
  <c r="AC6" i="5"/>
  <c r="B6" i="5"/>
  <c r="X6" i="5" s="1"/>
  <c r="Y75" i="5"/>
  <c r="W75" i="5"/>
  <c r="F75" i="5"/>
  <c r="B75" i="5"/>
  <c r="Z75" i="5" s="1"/>
  <c r="D75" i="5"/>
  <c r="Y157" i="5"/>
  <c r="X157" i="5"/>
  <c r="E157" i="5"/>
  <c r="F157" i="5"/>
  <c r="Z157" i="5"/>
  <c r="W157" i="5"/>
  <c r="B157" i="5"/>
  <c r="AO39" i="1"/>
  <c r="AO51" i="1"/>
  <c r="S51" i="1" s="1"/>
  <c r="T51" i="1" s="1"/>
  <c r="BB49" i="1"/>
  <c r="AW49" i="3" s="1"/>
  <c r="CE49" i="1"/>
  <c r="CI49" i="1"/>
  <c r="M49" i="1"/>
  <c r="BV49" i="1"/>
  <c r="BA49" i="1"/>
  <c r="AX49" i="1"/>
  <c r="AV49" i="1"/>
  <c r="CB49" i="1"/>
  <c r="AC49" i="1"/>
  <c r="BC49" i="1"/>
  <c r="BH49" i="1"/>
  <c r="AS49" i="1"/>
  <c r="AY49" i="1"/>
  <c r="O49" i="1"/>
  <c r="BY49" i="1"/>
  <c r="CF49" i="1"/>
  <c r="CJ49" i="1"/>
  <c r="I49" i="1"/>
  <c r="AR49" i="1"/>
  <c r="CH49" i="1"/>
  <c r="L49" i="1"/>
  <c r="N49" i="1"/>
  <c r="CG49" i="1"/>
  <c r="BO49" i="1"/>
  <c r="B16" i="5"/>
  <c r="W16" i="5" s="1"/>
  <c r="B137" i="5"/>
  <c r="AA137" i="5" s="1"/>
  <c r="Y155" i="5"/>
  <c r="B155" i="5"/>
  <c r="X111" i="5"/>
  <c r="B111" i="5"/>
  <c r="AA111" i="5" s="1"/>
  <c r="D144" i="5"/>
  <c r="X144" i="5"/>
  <c r="Z144" i="5"/>
  <c r="B144" i="5"/>
  <c r="Y144" i="5" s="1"/>
  <c r="X136" i="5"/>
  <c r="B136" i="5"/>
  <c r="AA136" i="5" s="1"/>
  <c r="AO43" i="1"/>
  <c r="BE43" i="1" s="1"/>
  <c r="AO2" i="1"/>
  <c r="AO145" i="1"/>
  <c r="K145" i="1" s="1"/>
  <c r="AO188" i="1"/>
  <c r="AP188" i="1" s="1"/>
  <c r="AB188" i="5" s="1"/>
  <c r="A95" i="1"/>
  <c r="X95" i="1"/>
  <c r="K95" i="5" s="1"/>
  <c r="A62" i="1"/>
  <c r="X62" i="1"/>
  <c r="J44" i="1"/>
  <c r="BF44" i="1" s="1"/>
  <c r="BJ159" i="1"/>
  <c r="AV290" i="3"/>
  <c r="BR237" i="1" s="1"/>
  <c r="BW237" i="1" s="1"/>
  <c r="BE4" i="3"/>
  <c r="BL4" i="3" s="1"/>
  <c r="CC70" i="1"/>
  <c r="B149" i="5"/>
  <c r="X149" i="5" s="1"/>
  <c r="B159" i="5"/>
  <c r="D31" i="5"/>
  <c r="W31" i="5"/>
  <c r="X31" i="5"/>
  <c r="B31" i="5"/>
  <c r="AA31" i="5" s="1"/>
  <c r="B139" i="5"/>
  <c r="X139" i="5" s="1"/>
  <c r="B124" i="5"/>
  <c r="D70" i="5"/>
  <c r="E70" i="5"/>
  <c r="F70" i="5"/>
  <c r="Z70" i="5"/>
  <c r="X70" i="5"/>
  <c r="Y70" i="5"/>
  <c r="W70" i="5"/>
  <c r="B70" i="5"/>
  <c r="AA70" i="5" s="1"/>
  <c r="AC70" i="5"/>
  <c r="AA143" i="5"/>
  <c r="D143" i="5"/>
  <c r="B143" i="5"/>
  <c r="F143" i="5"/>
  <c r="AO14" i="1"/>
  <c r="K14" i="1" s="1"/>
  <c r="AO152" i="1"/>
  <c r="BH152" i="1" s="1"/>
  <c r="AO124" i="1"/>
  <c r="BH124" i="1" s="1"/>
  <c r="AO155" i="1"/>
  <c r="BH155" i="1" s="1"/>
  <c r="AO11" i="1"/>
  <c r="BD11" i="1" s="1"/>
  <c r="AO147" i="1"/>
  <c r="AO13" i="1"/>
  <c r="BH13" i="1" s="1"/>
  <c r="AX72" i="1"/>
  <c r="BO72" i="1"/>
  <c r="BQ72" i="1" s="1"/>
  <c r="CG72" i="1"/>
  <c r="I72" i="1"/>
  <c r="AY72" i="1"/>
  <c r="BV72" i="1"/>
  <c r="L72" i="1"/>
  <c r="BA72" i="1"/>
  <c r="AC72" i="1"/>
  <c r="CJ72" i="1"/>
  <c r="BB72" i="1"/>
  <c r="O72" i="1"/>
  <c r="AR72" i="1"/>
  <c r="M72" i="1"/>
  <c r="N72" i="1"/>
  <c r="CE72" i="1"/>
  <c r="BY72" i="1"/>
  <c r="CF72" i="1"/>
  <c r="AV72" i="1"/>
  <c r="AS72" i="1"/>
  <c r="CH72" i="1"/>
  <c r="CB72" i="1"/>
  <c r="CI72" i="1"/>
  <c r="BC72" i="1"/>
  <c r="A96" i="1"/>
  <c r="AD96" i="1"/>
  <c r="O96" i="5" s="1"/>
  <c r="P96" i="5" s="1"/>
  <c r="AD112" i="1"/>
  <c r="AH112" i="1" s="1"/>
  <c r="CE54" i="1"/>
  <c r="BZ54" i="1"/>
  <c r="BB54" i="1"/>
  <c r="N54" i="1"/>
  <c r="AS54" i="1"/>
  <c r="CH54" i="1"/>
  <c r="BV54" i="1"/>
  <c r="CF54" i="1"/>
  <c r="AY54" i="1"/>
  <c r="BH54" i="1"/>
  <c r="AX54" i="1"/>
  <c r="BY54" i="1"/>
  <c r="BC54" i="1"/>
  <c r="CJ54" i="1"/>
  <c r="AC54" i="1"/>
  <c r="L54" i="1"/>
  <c r="M54" i="1"/>
  <c r="CG54" i="1"/>
  <c r="CB54" i="1"/>
  <c r="O54" i="1"/>
  <c r="BA54" i="1"/>
  <c r="BO54" i="1"/>
  <c r="BQ54" i="1" s="1"/>
  <c r="I54" i="1"/>
  <c r="CI54" i="1"/>
  <c r="AR54" i="1"/>
  <c r="AV54" i="1"/>
  <c r="S50" i="1"/>
  <c r="BJ26" i="1"/>
  <c r="BK26" i="1" s="1"/>
  <c r="BJ157" i="1"/>
  <c r="CH197" i="1"/>
  <c r="CI197" i="1"/>
  <c r="AC197" i="1"/>
  <c r="BZ197" i="1"/>
  <c r="AX197" i="1"/>
  <c r="BB197" i="1"/>
  <c r="AZ197" i="1"/>
  <c r="O197" i="1"/>
  <c r="BX197" i="1"/>
  <c r="M197" i="1" s="1"/>
  <c r="BC197" i="1"/>
  <c r="AY197" i="1"/>
  <c r="AV197" i="1"/>
  <c r="BY197" i="1"/>
  <c r="CB197" i="1"/>
  <c r="CJ197" i="1"/>
  <c r="N197" i="1"/>
  <c r="CE197" i="1"/>
  <c r="I197" i="1"/>
  <c r="BM197" i="1" s="1"/>
  <c r="BA197" i="1"/>
  <c r="BV197" i="1"/>
  <c r="CF197" i="1"/>
  <c r="BO197" i="1"/>
  <c r="CG197" i="1"/>
  <c r="AR197" i="1"/>
  <c r="AS197" i="1"/>
  <c r="X115" i="1"/>
  <c r="BJ91" i="1"/>
  <c r="BZ91" i="1" s="1"/>
  <c r="AD54" i="1"/>
  <c r="AH54" i="1" s="1"/>
  <c r="A186" i="1"/>
  <c r="A186" i="5" s="1"/>
  <c r="AS143" i="1"/>
  <c r="AY143" i="1"/>
  <c r="BY143" i="1"/>
  <c r="CF143" i="1"/>
  <c r="AZ143" i="1"/>
  <c r="BO143" i="1"/>
  <c r="O143" i="1"/>
  <c r="I143" i="1"/>
  <c r="CH143" i="1"/>
  <c r="AR143" i="1"/>
  <c r="BA143" i="1"/>
  <c r="CJ143" i="1"/>
  <c r="CB143" i="1"/>
  <c r="BC143" i="1"/>
  <c r="AX143" i="1"/>
  <c r="CI143" i="1"/>
  <c r="CE143" i="1"/>
  <c r="AC143" i="1"/>
  <c r="BB143" i="1"/>
  <c r="CG143" i="1"/>
  <c r="N143" i="1"/>
  <c r="AV143" i="1"/>
  <c r="BV143" i="1"/>
  <c r="A143" i="1"/>
  <c r="A143" i="5" s="1"/>
  <c r="M143" i="1"/>
  <c r="BJ111" i="1"/>
  <c r="AD50" i="1"/>
  <c r="CC144" i="1"/>
  <c r="L144" i="1" s="1"/>
  <c r="BE29" i="3"/>
  <c r="BL29" i="3" s="1"/>
  <c r="A69" i="1"/>
  <c r="A69" i="14" s="1"/>
  <c r="BR337" i="1"/>
  <c r="CJ67" i="1"/>
  <c r="O67" i="1"/>
  <c r="CI67" i="1"/>
  <c r="CG67" i="1"/>
  <c r="AX67" i="1"/>
  <c r="BZ67" i="1"/>
  <c r="BY67" i="1"/>
  <c r="BH67" i="1"/>
  <c r="BA67" i="1"/>
  <c r="AC67" i="1"/>
  <c r="CF67" i="1"/>
  <c r="CH67" i="1"/>
  <c r="I67" i="1"/>
  <c r="AV67" i="1"/>
  <c r="CB67" i="1"/>
  <c r="AR67" i="1"/>
  <c r="BO67" i="1"/>
  <c r="BQ67" i="1" s="1"/>
  <c r="L67" i="1"/>
  <c r="BB67" i="1"/>
  <c r="AW67" i="3" s="1"/>
  <c r="BV67" i="1"/>
  <c r="AS67" i="1"/>
  <c r="BC67" i="1"/>
  <c r="AY67" i="1"/>
  <c r="N67" i="1"/>
  <c r="CE67" i="1"/>
  <c r="M67" i="1"/>
  <c r="AC6" i="1"/>
  <c r="CG6" i="1"/>
  <c r="BA6" i="1"/>
  <c r="O6" i="1"/>
  <c r="CI6" i="1"/>
  <c r="N6" i="1"/>
  <c r="CE6" i="1"/>
  <c r="BO6" i="1"/>
  <c r="BQ6" i="1" s="1"/>
  <c r="CB6" i="1"/>
  <c r="BB6" i="1"/>
  <c r="CF6" i="1"/>
  <c r="I6" i="1"/>
  <c r="BY6" i="1"/>
  <c r="AX6" i="1"/>
  <c r="AS6" i="1"/>
  <c r="BV6" i="1"/>
  <c r="CJ6" i="1"/>
  <c r="AY6" i="1"/>
  <c r="AR6" i="1"/>
  <c r="AV6" i="1"/>
  <c r="BC6" i="1"/>
  <c r="CH6" i="1"/>
  <c r="M6" i="1"/>
  <c r="BJ79" i="1"/>
  <c r="AN79" i="1" s="1"/>
  <c r="CE136" i="1"/>
  <c r="BV136" i="1"/>
  <c r="AY136" i="1"/>
  <c r="BO136" i="1"/>
  <c r="BA136" i="1"/>
  <c r="AS136" i="1"/>
  <c r="O136" i="1"/>
  <c r="BY136" i="1"/>
  <c r="AC136" i="1"/>
  <c r="AZ136" i="1"/>
  <c r="AV136" i="1"/>
  <c r="CF136" i="1"/>
  <c r="N136" i="1"/>
  <c r="CH136" i="1"/>
  <c r="AR136" i="1"/>
  <c r="BB136" i="1"/>
  <c r="CG136" i="1"/>
  <c r="I136" i="1"/>
  <c r="BM136" i="1" s="1"/>
  <c r="CI136" i="1"/>
  <c r="CJ136" i="1"/>
  <c r="AX136" i="1"/>
  <c r="CB136" i="1"/>
  <c r="M136" i="1"/>
  <c r="BC136" i="1"/>
  <c r="CC43" i="1"/>
  <c r="L43" i="1" s="1"/>
  <c r="AV201" i="3"/>
  <c r="BR307" i="1" s="1"/>
  <c r="X51" i="5"/>
  <c r="F51" i="5"/>
  <c r="AA51" i="5"/>
  <c r="E51" i="5"/>
  <c r="AC51" i="5"/>
  <c r="B51" i="5"/>
  <c r="D51" i="5" s="1"/>
  <c r="E92" i="5"/>
  <c r="Y92" i="5"/>
  <c r="AC92" i="5"/>
  <c r="B92" i="5"/>
  <c r="F92" i="5" s="1"/>
  <c r="X92" i="5"/>
  <c r="BB97" i="1"/>
  <c r="L97" i="1"/>
  <c r="N97" i="1"/>
  <c r="BY97" i="1"/>
  <c r="AC97" i="1"/>
  <c r="AY97" i="1"/>
  <c r="CJ97" i="1"/>
  <c r="BO97" i="1"/>
  <c r="BQ97" i="1" s="1"/>
  <c r="BN97" i="1" s="1"/>
  <c r="I97" i="1"/>
  <c r="CI97" i="1"/>
  <c r="BC97" i="1"/>
  <c r="CB97" i="1"/>
  <c r="CG97" i="1"/>
  <c r="AV97" i="1"/>
  <c r="CH97" i="1"/>
  <c r="CE97" i="1"/>
  <c r="AS97" i="1"/>
  <c r="AX97" i="1"/>
  <c r="BV97" i="1"/>
  <c r="CF97" i="1"/>
  <c r="M97" i="1"/>
  <c r="BA97" i="1"/>
  <c r="AR97" i="1"/>
  <c r="O97" i="1"/>
  <c r="AO110" i="1"/>
  <c r="BH110" i="1" s="1"/>
  <c r="AO92" i="1"/>
  <c r="AP92" i="1" s="1"/>
  <c r="A20" i="1"/>
  <c r="AO16" i="1"/>
  <c r="BE16" i="1" s="1"/>
  <c r="BJ110" i="1"/>
  <c r="BK110" i="1" s="1"/>
  <c r="Q197" i="1"/>
  <c r="R197" i="1" s="1"/>
  <c r="BJ6" i="1"/>
  <c r="A55" i="1"/>
  <c r="X55" i="1"/>
  <c r="K55" i="5" s="1"/>
  <c r="AD88" i="1"/>
  <c r="AG88" i="1" s="1"/>
  <c r="CG38" i="1"/>
  <c r="BO38" i="1"/>
  <c r="BQ38" i="1" s="1"/>
  <c r="AR38" i="1"/>
  <c r="CI38" i="1"/>
  <c r="M38" i="1"/>
  <c r="AY38" i="1"/>
  <c r="CF38" i="1"/>
  <c r="L38" i="1"/>
  <c r="AV38" i="1"/>
  <c r="N38" i="1"/>
  <c r="BV38" i="1"/>
  <c r="AX38" i="1"/>
  <c r="O38" i="1"/>
  <c r="CH38" i="1"/>
  <c r="AC38" i="1"/>
  <c r="AS38" i="1"/>
  <c r="BA38" i="1"/>
  <c r="BC38" i="1"/>
  <c r="BY38" i="1"/>
  <c r="CE38" i="1"/>
  <c r="CJ38" i="1"/>
  <c r="BB38" i="1"/>
  <c r="CB38" i="1"/>
  <c r="AZ38" i="1"/>
  <c r="I38" i="1"/>
  <c r="AV197" i="3"/>
  <c r="BR336" i="1" s="1"/>
  <c r="CC145" i="1"/>
  <c r="L145" i="1" s="1"/>
  <c r="CC142" i="1"/>
  <c r="AV315" i="3"/>
  <c r="BR305" i="1" s="1"/>
  <c r="A72" i="1"/>
  <c r="Q72" i="1"/>
  <c r="CC153" i="1"/>
  <c r="L153" i="1" s="1"/>
  <c r="AD52" i="1"/>
  <c r="BJ51" i="1"/>
  <c r="AV293" i="3"/>
  <c r="BR328" i="1" s="1"/>
  <c r="BW328" i="1" s="1"/>
  <c r="A122" i="1"/>
  <c r="AV196" i="3"/>
  <c r="BR212" i="1" s="1"/>
  <c r="BW212" i="1" s="1"/>
  <c r="A38" i="1"/>
  <c r="A38" i="5" s="1"/>
  <c r="A98" i="1"/>
  <c r="A98" i="5" s="1"/>
  <c r="BV152" i="1"/>
  <c r="BO152" i="1"/>
  <c r="BQ152" i="1" s="1"/>
  <c r="I152" i="1"/>
  <c r="L152" i="1"/>
  <c r="BC152" i="1"/>
  <c r="AS152" i="1"/>
  <c r="O152" i="1"/>
  <c r="AC152" i="1"/>
  <c r="CB152" i="1"/>
  <c r="AY152" i="1"/>
  <c r="AR152" i="1"/>
  <c r="M152" i="1"/>
  <c r="AZ152" i="1"/>
  <c r="BA152" i="1"/>
  <c r="CF152" i="1"/>
  <c r="CE152" i="1"/>
  <c r="N152" i="1"/>
  <c r="BY152" i="1"/>
  <c r="CH152" i="1"/>
  <c r="CI152" i="1"/>
  <c r="AX152" i="1"/>
  <c r="BB152" i="1"/>
  <c r="AV152" i="1"/>
  <c r="CJ152" i="1"/>
  <c r="CG152" i="1"/>
  <c r="A67" i="1"/>
  <c r="S67" i="1"/>
  <c r="V67" i="1" s="1"/>
  <c r="AD26" i="1"/>
  <c r="AF26" i="1" s="1"/>
  <c r="AO113" i="1"/>
  <c r="K113" i="1" s="1"/>
  <c r="X48" i="1"/>
  <c r="Y48" i="1" s="1"/>
  <c r="BJ151" i="1"/>
  <c r="CG48" i="1"/>
  <c r="CJ48" i="1"/>
  <c r="I48" i="1"/>
  <c r="O48" i="1"/>
  <c r="AV48" i="1"/>
  <c r="BY48" i="1"/>
  <c r="BO48" i="1"/>
  <c r="BQ48" i="1" s="1"/>
  <c r="CH48" i="1"/>
  <c r="AS48" i="1"/>
  <c r="BB48" i="1"/>
  <c r="N48" i="1"/>
  <c r="BZ48" i="1"/>
  <c r="M48" i="1"/>
  <c r="CI48" i="1"/>
  <c r="BC48" i="1"/>
  <c r="AY48" i="1"/>
  <c r="BA48" i="1"/>
  <c r="CF48" i="1"/>
  <c r="BV48" i="1"/>
  <c r="AR48" i="1"/>
  <c r="CB48" i="1"/>
  <c r="CE48" i="1"/>
  <c r="AC48" i="1"/>
  <c r="AX48" i="1"/>
  <c r="X42" i="1"/>
  <c r="AB42" i="1" s="1"/>
  <c r="BJ124" i="1"/>
  <c r="O75" i="1"/>
  <c r="M75" i="1"/>
  <c r="BA75" i="1"/>
  <c r="CI75" i="1"/>
  <c r="AZ75" i="1"/>
  <c r="AX75" i="1"/>
  <c r="CB75" i="1"/>
  <c r="CH75" i="1"/>
  <c r="N75" i="1"/>
  <c r="AS75" i="1"/>
  <c r="AY75" i="1"/>
  <c r="CG75" i="1"/>
  <c r="BV75" i="1"/>
  <c r="BO75" i="1"/>
  <c r="BQ75" i="1" s="1"/>
  <c r="BY75" i="1"/>
  <c r="CF75" i="1"/>
  <c r="BB75" i="1"/>
  <c r="AV75" i="1"/>
  <c r="AC75" i="1"/>
  <c r="CJ75" i="1"/>
  <c r="CE75" i="1"/>
  <c r="BC75" i="1"/>
  <c r="AR75" i="1"/>
  <c r="I75" i="1"/>
  <c r="CC157" i="1"/>
  <c r="L157" i="1" s="1"/>
  <c r="BR330" i="1"/>
  <c r="BW330" i="1" s="1"/>
  <c r="CH16" i="1"/>
  <c r="AZ16" i="1"/>
  <c r="BO16" i="1"/>
  <c r="BQ16" i="1" s="1"/>
  <c r="CB16" i="1"/>
  <c r="CE16" i="1"/>
  <c r="AR16" i="1"/>
  <c r="AX16" i="1"/>
  <c r="CG16" i="1"/>
  <c r="AS16" i="1"/>
  <c r="BC16" i="1"/>
  <c r="AC16" i="1"/>
  <c r="CF16" i="1"/>
  <c r="CI16" i="1"/>
  <c r="I16" i="1"/>
  <c r="O16" i="1"/>
  <c r="BV16" i="1"/>
  <c r="AY16" i="1"/>
  <c r="BA16" i="1"/>
  <c r="N16" i="1"/>
  <c r="BB16" i="1"/>
  <c r="AV16" i="1"/>
  <c r="BY16" i="1"/>
  <c r="M16" i="1"/>
  <c r="CJ16" i="1"/>
  <c r="BJ154" i="1"/>
  <c r="CB43" i="1"/>
  <c r="M43" i="1"/>
  <c r="I43" i="1"/>
  <c r="AY43" i="1"/>
  <c r="CE43" i="1"/>
  <c r="BA43" i="1"/>
  <c r="CF43" i="1"/>
  <c r="AC43" i="1"/>
  <c r="AS43" i="1"/>
  <c r="CJ43" i="1"/>
  <c r="BY43" i="1"/>
  <c r="N43" i="1"/>
  <c r="AV43" i="1"/>
  <c r="CH43" i="1"/>
  <c r="AX43" i="1"/>
  <c r="O43" i="1"/>
  <c r="BV43" i="1"/>
  <c r="CI43" i="1"/>
  <c r="BC43" i="1"/>
  <c r="AR43" i="1"/>
  <c r="BB43" i="1"/>
  <c r="BO43" i="1"/>
  <c r="BQ43" i="1" s="1"/>
  <c r="CG43" i="1"/>
  <c r="S2" i="1"/>
  <c r="T2" i="1" s="1"/>
  <c r="BJ153" i="1"/>
  <c r="CC159" i="1"/>
  <c r="A99" i="1"/>
  <c r="A99" i="5" s="1"/>
  <c r="N147" i="1"/>
  <c r="BA147" i="1"/>
  <c r="AR147" i="1"/>
  <c r="CJ147" i="1"/>
  <c r="M147" i="1"/>
  <c r="CI147" i="1"/>
  <c r="BC147" i="1"/>
  <c r="AZ147" i="1"/>
  <c r="AV147" i="1"/>
  <c r="I147" i="1"/>
  <c r="BB147" i="1"/>
  <c r="BV147" i="1"/>
  <c r="BY147" i="1"/>
  <c r="AS147" i="1"/>
  <c r="AC147" i="1"/>
  <c r="CB147" i="1"/>
  <c r="AX147" i="1"/>
  <c r="CG147" i="1"/>
  <c r="AY147" i="1"/>
  <c r="CE147" i="1"/>
  <c r="CF147" i="1"/>
  <c r="BO147" i="1"/>
  <c r="BQ147" i="1" s="1"/>
  <c r="CH147" i="1"/>
  <c r="O147" i="1"/>
  <c r="BR332" i="1"/>
  <c r="A75" i="1"/>
  <c r="BJ75" i="1"/>
  <c r="AN75" i="1" s="1"/>
  <c r="BJ92" i="1"/>
  <c r="BZ92" i="1" s="1"/>
  <c r="BB52" i="1"/>
  <c r="CG52" i="1"/>
  <c r="N52" i="1"/>
  <c r="CE52" i="1"/>
  <c r="AX52" i="1"/>
  <c r="AC52" i="1"/>
  <c r="M52" i="1"/>
  <c r="BO52" i="1"/>
  <c r="BY52" i="1"/>
  <c r="AV52" i="1"/>
  <c r="BV52" i="1"/>
  <c r="BC52" i="1"/>
  <c r="AS52" i="1"/>
  <c r="CF52" i="1"/>
  <c r="CB52" i="1"/>
  <c r="O52" i="1"/>
  <c r="AY52" i="1"/>
  <c r="CI52" i="1"/>
  <c r="AR52" i="1"/>
  <c r="CH52" i="1"/>
  <c r="BA52" i="1"/>
  <c r="I52" i="1"/>
  <c r="CJ52" i="1"/>
  <c r="A64" i="1"/>
  <c r="J50" i="1"/>
  <c r="BG50" i="1" s="1"/>
  <c r="BR325" i="1"/>
  <c r="BW325" i="1" s="1"/>
  <c r="BB153" i="1"/>
  <c r="AW153" i="3" s="1"/>
  <c r="BO153" i="1"/>
  <c r="CH153" i="1"/>
  <c r="CE153" i="1"/>
  <c r="AR153" i="1"/>
  <c r="N153" i="1"/>
  <c r="CI153" i="1"/>
  <c r="CB153" i="1"/>
  <c r="CF153" i="1"/>
  <c r="CJ153" i="1"/>
  <c r="AS153" i="1"/>
  <c r="O153" i="1"/>
  <c r="BV153" i="1"/>
  <c r="AY153" i="1"/>
  <c r="AZ153" i="1"/>
  <c r="AX153" i="1"/>
  <c r="BC153" i="1"/>
  <c r="AC153" i="1"/>
  <c r="BA153" i="1"/>
  <c r="BY153" i="1"/>
  <c r="CG153" i="1"/>
  <c r="AV153" i="1"/>
  <c r="I153" i="1"/>
  <c r="A153" i="1"/>
  <c r="A153" i="5" s="1"/>
  <c r="M153" i="1"/>
  <c r="A60" i="1"/>
  <c r="X60" i="1"/>
  <c r="K60" i="5" s="1"/>
  <c r="CC63" i="1"/>
  <c r="BZ63" i="1" s="1"/>
  <c r="BI2" i="1"/>
  <c r="BL2" i="1" s="1"/>
  <c r="BR311" i="1"/>
  <c r="BW311" i="1" s="1"/>
  <c r="W142" i="5"/>
  <c r="AC142" i="5"/>
  <c r="E142" i="5"/>
  <c r="Z142" i="5"/>
  <c r="X142" i="5"/>
  <c r="F142" i="5"/>
  <c r="D142" i="5"/>
  <c r="AA142" i="5"/>
  <c r="B142" i="5"/>
  <c r="Y142" i="5"/>
  <c r="AO187" i="1"/>
  <c r="BD187" i="1" s="1"/>
  <c r="AD45" i="1"/>
  <c r="AH45" i="1" s="1"/>
  <c r="AR146" i="1"/>
  <c r="BV146" i="1"/>
  <c r="BC146" i="1"/>
  <c r="AC146" i="1"/>
  <c r="CI146" i="1"/>
  <c r="I146" i="1"/>
  <c r="AX146" i="1"/>
  <c r="AY146" i="1"/>
  <c r="CF146" i="1"/>
  <c r="CH146" i="1"/>
  <c r="BY146" i="1"/>
  <c r="AS146" i="1"/>
  <c r="AV146" i="1"/>
  <c r="N146" i="1"/>
  <c r="BO146" i="1"/>
  <c r="CB146" i="1"/>
  <c r="CE146" i="1"/>
  <c r="CG146" i="1"/>
  <c r="BB146" i="1"/>
  <c r="M146" i="1"/>
  <c r="CJ146" i="1"/>
  <c r="O146" i="1"/>
  <c r="BA146" i="1"/>
  <c r="AZ146" i="1"/>
  <c r="A105" i="1"/>
  <c r="A105" i="5" s="1"/>
  <c r="A197" i="1"/>
  <c r="A197" i="5" s="1"/>
  <c r="AD197" i="1"/>
  <c r="BO9" i="1"/>
  <c r="AS9" i="1"/>
  <c r="BY9" i="1"/>
  <c r="BC9" i="1"/>
  <c r="AX9" i="1"/>
  <c r="AC9" i="1"/>
  <c r="CI9" i="1"/>
  <c r="O9" i="1"/>
  <c r="CH9" i="1"/>
  <c r="M9" i="1"/>
  <c r="CJ9" i="1"/>
  <c r="CE9" i="1"/>
  <c r="I9" i="1"/>
  <c r="BA9" i="1"/>
  <c r="CB9" i="1"/>
  <c r="AV9" i="1"/>
  <c r="CG9" i="1"/>
  <c r="AY9" i="1"/>
  <c r="CF9" i="1"/>
  <c r="AR9" i="1"/>
  <c r="N9" i="1"/>
  <c r="BB9" i="1"/>
  <c r="BV9" i="1"/>
  <c r="BV145" i="1"/>
  <c r="CH145" i="1"/>
  <c r="AX145" i="1"/>
  <c r="BB145" i="1"/>
  <c r="AR145" i="1"/>
  <c r="CE145" i="1"/>
  <c r="AZ145" i="1"/>
  <c r="M145" i="1"/>
  <c r="BY145" i="1"/>
  <c r="AC145" i="1"/>
  <c r="O145" i="1"/>
  <c r="BO145" i="1"/>
  <c r="BQ145" i="1" s="1"/>
  <c r="AV145" i="1"/>
  <c r="AY145" i="1"/>
  <c r="CI145" i="1"/>
  <c r="BA145" i="1"/>
  <c r="CJ145" i="1"/>
  <c r="CB145" i="1"/>
  <c r="N145" i="1"/>
  <c r="I145" i="1"/>
  <c r="AS145" i="1"/>
  <c r="CF145" i="1"/>
  <c r="BC145" i="1"/>
  <c r="CG145" i="1"/>
  <c r="BJ135" i="1"/>
  <c r="BE129" i="3"/>
  <c r="BL129" i="3" s="1"/>
  <c r="A148" i="1"/>
  <c r="A148" i="5" s="1"/>
  <c r="X148" i="1"/>
  <c r="K148" i="5" s="1"/>
  <c r="A158" i="1"/>
  <c r="A158" i="5" s="1"/>
  <c r="AY83" i="1"/>
  <c r="BC83" i="1"/>
  <c r="AX83" i="1"/>
  <c r="CB83" i="1"/>
  <c r="BB83" i="1"/>
  <c r="BY83" i="1"/>
  <c r="CH83" i="1"/>
  <c r="CJ83" i="1"/>
  <c r="BV83" i="1"/>
  <c r="AC83" i="1"/>
  <c r="N83" i="1"/>
  <c r="CI83" i="1"/>
  <c r="AR83" i="1"/>
  <c r="AS83" i="1"/>
  <c r="AV83" i="1"/>
  <c r="AZ83" i="1"/>
  <c r="CG83" i="1"/>
  <c r="CE83" i="1"/>
  <c r="I83" i="1"/>
  <c r="BA83" i="1"/>
  <c r="CF83" i="1"/>
  <c r="M83" i="1"/>
  <c r="BO83" i="1"/>
  <c r="BQ83" i="1" s="1"/>
  <c r="O83" i="1"/>
  <c r="BE49" i="3"/>
  <c r="BL49" i="3" s="1"/>
  <c r="CC28" i="1"/>
  <c r="L28" i="1" s="1"/>
  <c r="AV314" i="3"/>
  <c r="BR304" i="1" s="1"/>
  <c r="BW304" i="1" s="1"/>
  <c r="AV251" i="3"/>
  <c r="BR287" i="1" s="1"/>
  <c r="BW287" i="1" s="1"/>
  <c r="AO26" i="1"/>
  <c r="BE26" i="3" s="1"/>
  <c r="BL26" i="3" s="1"/>
  <c r="CC151" i="1"/>
  <c r="BJ141" i="1"/>
  <c r="AO120" i="1"/>
  <c r="AP120" i="1" s="1"/>
  <c r="X82" i="1"/>
  <c r="Z82" i="1" s="1"/>
  <c r="BJ15" i="1"/>
  <c r="BZ15" i="1" s="1"/>
  <c r="BV44" i="1"/>
  <c r="BA44" i="1"/>
  <c r="I44" i="1"/>
  <c r="AR44" i="1"/>
  <c r="AC44" i="1"/>
  <c r="M44" i="1"/>
  <c r="CJ44" i="1"/>
  <c r="CG44" i="1"/>
  <c r="BY44" i="1"/>
  <c r="BC44" i="1"/>
  <c r="CI44" i="1"/>
  <c r="N44" i="1"/>
  <c r="BZ44" i="1"/>
  <c r="AS44" i="1"/>
  <c r="AY44" i="1"/>
  <c r="O44" i="1"/>
  <c r="CH44" i="1"/>
  <c r="CB44" i="1"/>
  <c r="AX44" i="1"/>
  <c r="AV44" i="1"/>
  <c r="CF44" i="1"/>
  <c r="BO44" i="1"/>
  <c r="BQ44" i="1" s="1"/>
  <c r="CE44" i="1"/>
  <c r="L44" i="1"/>
  <c r="BB44" i="1"/>
  <c r="BE22" i="3"/>
  <c r="BL22" i="3" s="1"/>
  <c r="A85" i="1"/>
  <c r="CC6" i="1"/>
  <c r="L6" i="1" s="1"/>
  <c r="A86" i="1"/>
  <c r="X86" i="1"/>
  <c r="Z86" i="1" s="1"/>
  <c r="BR318" i="1"/>
  <c r="BW318" i="1" s="1"/>
  <c r="BE68" i="3"/>
  <c r="BL68" i="3" s="1"/>
  <c r="BJ142" i="1"/>
  <c r="AZ159" i="1"/>
  <c r="AX159" i="1"/>
  <c r="BV159" i="1"/>
  <c r="BB159" i="1"/>
  <c r="AV159" i="1"/>
  <c r="AC159" i="1"/>
  <c r="BO159" i="1"/>
  <c r="BQ159" i="1" s="1"/>
  <c r="O159" i="1"/>
  <c r="CF159" i="1"/>
  <c r="M159" i="1"/>
  <c r="N159" i="1"/>
  <c r="CH159" i="1"/>
  <c r="I159" i="1"/>
  <c r="AR159" i="1"/>
  <c r="BA159" i="1"/>
  <c r="CB159" i="1"/>
  <c r="CI159" i="1"/>
  <c r="CJ159" i="1"/>
  <c r="AS159" i="1"/>
  <c r="CE159" i="1"/>
  <c r="AY159" i="1"/>
  <c r="BC159" i="1"/>
  <c r="CG159" i="1"/>
  <c r="BY159" i="1"/>
  <c r="BV79" i="1"/>
  <c r="AS79" i="1"/>
  <c r="M79" i="1"/>
  <c r="CE79" i="1"/>
  <c r="CH79" i="1"/>
  <c r="CG79" i="1"/>
  <c r="AY79" i="1"/>
  <c r="CI79" i="1"/>
  <c r="AV79" i="1"/>
  <c r="AX79" i="1"/>
  <c r="O79" i="1"/>
  <c r="BB79" i="1"/>
  <c r="AZ79" i="1"/>
  <c r="L79" i="1"/>
  <c r="BO79" i="1"/>
  <c r="BQ79" i="1" s="1"/>
  <c r="BN79" i="1" s="1"/>
  <c r="CF79" i="1"/>
  <c r="I79" i="1"/>
  <c r="CB79" i="1"/>
  <c r="BC79" i="1"/>
  <c r="BY79" i="1"/>
  <c r="N79" i="1"/>
  <c r="AR79" i="1"/>
  <c r="CJ79" i="1"/>
  <c r="AC79" i="1"/>
  <c r="BA79" i="1"/>
  <c r="B11" i="5"/>
  <c r="W43" i="5"/>
  <c r="B43" i="5"/>
  <c r="B152" i="5"/>
  <c r="Z152" i="5" s="1"/>
  <c r="A47" i="1"/>
  <c r="A136" i="1"/>
  <c r="A136" i="5" s="1"/>
  <c r="AO136" i="1"/>
  <c r="BH136" i="1" s="1"/>
  <c r="AO15" i="1"/>
  <c r="BD15" i="1" s="1"/>
  <c r="AO146" i="1"/>
  <c r="A79" i="1"/>
  <c r="AO79" i="1"/>
  <c r="BH79" i="1" s="1"/>
  <c r="CF189" i="1"/>
  <c r="CI189" i="1"/>
  <c r="I189" i="1"/>
  <c r="BO189" i="1"/>
  <c r="BQ189" i="1" s="1"/>
  <c r="AY189" i="1"/>
  <c r="BY189" i="1"/>
  <c r="AV189" i="1"/>
  <c r="CG189" i="1"/>
  <c r="O189" i="1"/>
  <c r="BX189" i="1"/>
  <c r="L189" i="1" s="1"/>
  <c r="BV189" i="1"/>
  <c r="AX189" i="1"/>
  <c r="BB189" i="1"/>
  <c r="CE189" i="1"/>
  <c r="AR189" i="1"/>
  <c r="CJ189" i="1"/>
  <c r="N189" i="1"/>
  <c r="AC189" i="1"/>
  <c r="AS189" i="1"/>
  <c r="CB189" i="1"/>
  <c r="BC189" i="1"/>
  <c r="BA189" i="1"/>
  <c r="CH189" i="1"/>
  <c r="BH189" i="1"/>
  <c r="A132" i="1"/>
  <c r="A132" i="5" s="1"/>
  <c r="X132" i="1"/>
  <c r="K132" i="5" s="1"/>
  <c r="AO149" i="1"/>
  <c r="BH149" i="1" s="1"/>
  <c r="AC39" i="5"/>
  <c r="A39" i="1"/>
  <c r="A39" i="5" s="1"/>
  <c r="B39" i="5"/>
  <c r="Z39" i="5" s="1"/>
  <c r="Y39" i="5"/>
  <c r="AC9" i="5"/>
  <c r="Y9" i="5"/>
  <c r="AA9" i="5"/>
  <c r="B9" i="5"/>
  <c r="X9" i="5" s="1"/>
  <c r="AC28" i="5"/>
  <c r="B28" i="5"/>
  <c r="A12" i="1"/>
  <c r="A145" i="1"/>
  <c r="A145" i="5" s="1"/>
  <c r="BJ145" i="1"/>
  <c r="AO9" i="1"/>
  <c r="A88" i="1"/>
  <c r="J88" i="1"/>
  <c r="AD42" i="1"/>
  <c r="O42" i="5" s="1"/>
  <c r="Q42" i="5" s="1"/>
  <c r="AO142" i="1"/>
  <c r="K142" i="1" s="1"/>
  <c r="A146" i="1"/>
  <c r="A146" i="5" s="1"/>
  <c r="BJ146" i="1"/>
  <c r="BJ137" i="1"/>
  <c r="AN137" i="1" s="1"/>
  <c r="A48" i="1"/>
  <c r="A3" i="1"/>
  <c r="A9" i="1"/>
  <c r="BJ9" i="1"/>
  <c r="AN9" i="1" s="1"/>
  <c r="BZ144" i="1"/>
  <c r="CI144" i="1"/>
  <c r="BC144" i="1"/>
  <c r="CH144" i="1"/>
  <c r="CE144" i="1"/>
  <c r="AS144" i="1"/>
  <c r="BB144" i="1"/>
  <c r="AX144" i="1"/>
  <c r="AC144" i="1"/>
  <c r="BY144" i="1"/>
  <c r="O144" i="1"/>
  <c r="I144" i="1"/>
  <c r="CF144" i="1"/>
  <c r="AY144" i="1"/>
  <c r="M144" i="1"/>
  <c r="CB144" i="1"/>
  <c r="BO144" i="1"/>
  <c r="BQ144" i="1" s="1"/>
  <c r="BN144" i="1" s="1"/>
  <c r="AZ144" i="1"/>
  <c r="CG144" i="1"/>
  <c r="AV144" i="1"/>
  <c r="CJ144" i="1"/>
  <c r="N144" i="1"/>
  <c r="BV144" i="1"/>
  <c r="AR144" i="1"/>
  <c r="BA144" i="1"/>
  <c r="BY184" i="1"/>
  <c r="BA184" i="1"/>
  <c r="BB184" i="1"/>
  <c r="AY184" i="1"/>
  <c r="AC184" i="1"/>
  <c r="I184" i="1"/>
  <c r="BH184" i="1"/>
  <c r="AX184" i="1"/>
  <c r="CI184" i="1"/>
  <c r="CH184" i="1"/>
  <c r="CE184" i="1"/>
  <c r="CG184" i="1"/>
  <c r="AS184" i="1"/>
  <c r="BO184" i="1"/>
  <c r="BQ184" i="1" s="1"/>
  <c r="BN184" i="1" s="1"/>
  <c r="CB184" i="1"/>
  <c r="AV184" i="1"/>
  <c r="BZ184" i="1"/>
  <c r="CJ184" i="1"/>
  <c r="O184" i="1"/>
  <c r="BC184" i="1"/>
  <c r="BV184" i="1"/>
  <c r="N184" i="1"/>
  <c r="AR184" i="1"/>
  <c r="CF184" i="1"/>
  <c r="BX184" i="1"/>
  <c r="M184" i="1" s="1"/>
  <c r="BJ149" i="1"/>
  <c r="CC110" i="1"/>
  <c r="Q49" i="1"/>
  <c r="R49" i="1" s="1"/>
  <c r="O135" i="1"/>
  <c r="AX135" i="1"/>
  <c r="CI135" i="1"/>
  <c r="AV135" i="1"/>
  <c r="CG135" i="1"/>
  <c r="AS135" i="1"/>
  <c r="CJ135" i="1"/>
  <c r="CF135" i="1"/>
  <c r="BB135" i="1"/>
  <c r="M135" i="1"/>
  <c r="AC135" i="1"/>
  <c r="AY135" i="1"/>
  <c r="CH135" i="1"/>
  <c r="CB135" i="1"/>
  <c r="BA135" i="1"/>
  <c r="BO135" i="1"/>
  <c r="BQ135" i="1" s="1"/>
  <c r="CE135" i="1"/>
  <c r="BY135" i="1"/>
  <c r="I135" i="1"/>
  <c r="BC135" i="1"/>
  <c r="N135" i="1"/>
  <c r="L135" i="1"/>
  <c r="AR135" i="1"/>
  <c r="BV135" i="1"/>
  <c r="A100" i="1"/>
  <c r="A100" i="5" s="1"/>
  <c r="CC113" i="1"/>
  <c r="L113" i="1" s="1"/>
  <c r="AV266" i="3"/>
  <c r="BR265" i="1" s="1"/>
  <c r="AO63" i="1"/>
  <c r="BH63" i="1" s="1"/>
  <c r="A32" i="1"/>
  <c r="AI32" i="1"/>
  <c r="S189" i="1"/>
  <c r="A22" i="1"/>
  <c r="BV190" i="1"/>
  <c r="BO190" i="1"/>
  <c r="BQ190" i="1" s="1"/>
  <c r="AS190" i="1"/>
  <c r="BA190" i="1"/>
  <c r="CI190" i="1"/>
  <c r="BC190" i="1"/>
  <c r="CE190" i="1"/>
  <c r="AX190" i="1"/>
  <c r="O190" i="1"/>
  <c r="AR190" i="1"/>
  <c r="I190" i="1"/>
  <c r="CJ190" i="1"/>
  <c r="CG190" i="1"/>
  <c r="CH190" i="1"/>
  <c r="AC190" i="1"/>
  <c r="BY190" i="1"/>
  <c r="N190" i="1"/>
  <c r="BB190" i="1"/>
  <c r="AY190" i="1"/>
  <c r="BX190" i="1"/>
  <c r="L190" i="1" s="1"/>
  <c r="CB190" i="1"/>
  <c r="AV190" i="1"/>
  <c r="CF190" i="1"/>
  <c r="BH190" i="1"/>
  <c r="A54" i="1"/>
  <c r="CB188" i="1"/>
  <c r="BA188" i="1"/>
  <c r="CG188" i="1"/>
  <c r="BC188" i="1"/>
  <c r="BV188" i="1"/>
  <c r="CE188" i="1"/>
  <c r="AY188" i="1"/>
  <c r="BY188" i="1"/>
  <c r="CI188" i="1"/>
  <c r="AV188" i="1"/>
  <c r="AZ188" i="1"/>
  <c r="BB188" i="1"/>
  <c r="BO188" i="1"/>
  <c r="CH188" i="1"/>
  <c r="AS188" i="1"/>
  <c r="BX188" i="1"/>
  <c r="CF188" i="1"/>
  <c r="AR188" i="1"/>
  <c r="AX188" i="1"/>
  <c r="AC188" i="1"/>
  <c r="CJ188" i="1"/>
  <c r="I188" i="1"/>
  <c r="BM188" i="1" s="1"/>
  <c r="AZ124" i="1"/>
  <c r="BB124" i="1"/>
  <c r="AR124" i="1"/>
  <c r="CI124" i="1"/>
  <c r="BO124" i="1"/>
  <c r="AY124" i="1"/>
  <c r="BA124" i="1"/>
  <c r="BY124" i="1"/>
  <c r="CB124" i="1"/>
  <c r="BV124" i="1"/>
  <c r="CJ124" i="1"/>
  <c r="BC124" i="1"/>
  <c r="AV124" i="1"/>
  <c r="AS124" i="1"/>
  <c r="CE124" i="1"/>
  <c r="M124" i="1"/>
  <c r="N124" i="1"/>
  <c r="I124" i="1"/>
  <c r="CG124" i="1"/>
  <c r="CH124" i="1"/>
  <c r="O124" i="1"/>
  <c r="AC124" i="1"/>
  <c r="CF124" i="1"/>
  <c r="AX124" i="1"/>
  <c r="CC120" i="1"/>
  <c r="M31" i="1"/>
  <c r="BY31" i="1"/>
  <c r="I31" i="1"/>
  <c r="BV31" i="1"/>
  <c r="CH31" i="1"/>
  <c r="AC31" i="1"/>
  <c r="AR31" i="1"/>
  <c r="N31" i="1"/>
  <c r="BC31" i="1"/>
  <c r="AS31" i="1"/>
  <c r="BB31" i="1"/>
  <c r="CG31" i="1"/>
  <c r="CF31" i="1"/>
  <c r="CE31" i="1"/>
  <c r="AY31" i="1"/>
  <c r="CJ31" i="1"/>
  <c r="CB31" i="1"/>
  <c r="AZ31" i="1"/>
  <c r="CI31" i="1"/>
  <c r="AX31" i="1"/>
  <c r="BO31" i="1"/>
  <c r="BQ31" i="1" s="1"/>
  <c r="BA31" i="1"/>
  <c r="AV31" i="1"/>
  <c r="O31" i="1"/>
  <c r="BB113" i="1"/>
  <c r="CG113" i="1"/>
  <c r="BC113" i="1"/>
  <c r="CE113" i="1"/>
  <c r="AR113" i="1"/>
  <c r="CI113" i="1"/>
  <c r="AZ113" i="1"/>
  <c r="AV113" i="1"/>
  <c r="AC113" i="1"/>
  <c r="AS113" i="1"/>
  <c r="CB113" i="1"/>
  <c r="AX113" i="1"/>
  <c r="BO113" i="1"/>
  <c r="I113" i="1"/>
  <c r="BM113" i="1" s="1"/>
  <c r="BV113" i="1"/>
  <c r="BA113" i="1"/>
  <c r="M113" i="1"/>
  <c r="CH113" i="1"/>
  <c r="CJ113" i="1"/>
  <c r="CF113" i="1"/>
  <c r="AY113" i="1"/>
  <c r="BY113" i="1"/>
  <c r="BR327" i="1"/>
  <c r="BJ147" i="1"/>
  <c r="AD189" i="1"/>
  <c r="O189" i="5" s="1"/>
  <c r="A58" i="1"/>
  <c r="BT2" i="1"/>
  <c r="AW2" i="1" s="1"/>
  <c r="BJ152" i="1"/>
  <c r="BK152" i="1" s="1"/>
  <c r="N112" i="1"/>
  <c r="I112" i="1"/>
  <c r="M112" i="1"/>
  <c r="BY112" i="1"/>
  <c r="AS112" i="1"/>
  <c r="AX112" i="1"/>
  <c r="BB112" i="1"/>
  <c r="BO112" i="1"/>
  <c r="BQ112" i="1" s="1"/>
  <c r="BN112" i="1" s="1"/>
  <c r="AY112" i="1"/>
  <c r="CI112" i="1"/>
  <c r="CE112" i="1"/>
  <c r="CB112" i="1"/>
  <c r="CH112" i="1"/>
  <c r="BC112" i="1"/>
  <c r="AR112" i="1"/>
  <c r="O112" i="1"/>
  <c r="AC112" i="1"/>
  <c r="AV112" i="1"/>
  <c r="CF112" i="1"/>
  <c r="CG112" i="1"/>
  <c r="L112" i="1"/>
  <c r="BV112" i="1"/>
  <c r="BA112" i="1"/>
  <c r="CJ112" i="1"/>
  <c r="AS118" i="1"/>
  <c r="L118" i="1"/>
  <c r="BA118" i="1"/>
  <c r="BO118" i="1"/>
  <c r="BB118" i="1"/>
  <c r="CH118" i="1"/>
  <c r="M118" i="1"/>
  <c r="BC118" i="1"/>
  <c r="AZ118" i="1"/>
  <c r="AV118" i="1"/>
  <c r="CG118" i="1"/>
  <c r="AX118" i="1"/>
  <c r="CB118" i="1"/>
  <c r="AY118" i="1"/>
  <c r="BV118" i="1"/>
  <c r="CF118" i="1"/>
  <c r="I118" i="1"/>
  <c r="BM118" i="1" s="1"/>
  <c r="N118" i="1"/>
  <c r="O118" i="1"/>
  <c r="CJ118" i="1"/>
  <c r="AC118" i="1"/>
  <c r="CI118" i="1"/>
  <c r="CE118" i="1"/>
  <c r="AR118" i="1"/>
  <c r="BZ118" i="1"/>
  <c r="BY118" i="1"/>
  <c r="BV91" i="1"/>
  <c r="BA91" i="1"/>
  <c r="AR91" i="1"/>
  <c r="BO91" i="1"/>
  <c r="BC91" i="1"/>
  <c r="BB91" i="1"/>
  <c r="CG91" i="1"/>
  <c r="AX91" i="1"/>
  <c r="CB91" i="1"/>
  <c r="AZ91" i="1"/>
  <c r="AC91" i="1"/>
  <c r="BY91" i="1"/>
  <c r="CH91" i="1"/>
  <c r="AY91" i="1"/>
  <c r="CE91" i="1"/>
  <c r="AS91" i="1"/>
  <c r="CI91" i="1"/>
  <c r="L91" i="1"/>
  <c r="M91" i="1"/>
  <c r="CF91" i="1"/>
  <c r="I91" i="1"/>
  <c r="BM91" i="1" s="1"/>
  <c r="CJ91" i="1"/>
  <c r="AV91" i="1"/>
  <c r="BC120" i="1"/>
  <c r="BO120" i="1"/>
  <c r="BQ120" i="1" s="1"/>
  <c r="AS120" i="1"/>
  <c r="AX120" i="1"/>
  <c r="CE120" i="1"/>
  <c r="CH120" i="1"/>
  <c r="M120" i="1"/>
  <c r="CI120" i="1"/>
  <c r="I120" i="1"/>
  <c r="CJ120" i="1"/>
  <c r="BA120" i="1"/>
  <c r="AC120" i="1"/>
  <c r="CB120" i="1"/>
  <c r="BY120" i="1"/>
  <c r="AY120" i="1"/>
  <c r="O120" i="1"/>
  <c r="BB120" i="1"/>
  <c r="BH120" i="1"/>
  <c r="AZ120" i="1"/>
  <c r="AV120" i="1"/>
  <c r="BV120" i="1"/>
  <c r="CF120" i="1"/>
  <c r="N120" i="1"/>
  <c r="AR120" i="1"/>
  <c r="CG120" i="1"/>
  <c r="A120" i="1"/>
  <c r="BA139" i="1"/>
  <c r="AY139" i="1"/>
  <c r="CI139" i="1"/>
  <c r="CB139" i="1"/>
  <c r="CJ139" i="1"/>
  <c r="AC139" i="1"/>
  <c r="BO139" i="1"/>
  <c r="BQ139" i="1" s="1"/>
  <c r="BN139" i="1" s="1"/>
  <c r="AS139" i="1"/>
  <c r="AX139" i="1"/>
  <c r="I139" i="1"/>
  <c r="AZ139" i="1"/>
  <c r="BV139" i="1"/>
  <c r="AV139" i="1"/>
  <c r="M139" i="1"/>
  <c r="O139" i="1"/>
  <c r="CF139" i="1"/>
  <c r="CH139" i="1"/>
  <c r="N139" i="1"/>
  <c r="BB139" i="1"/>
  <c r="AR139" i="1"/>
  <c r="CE139" i="1"/>
  <c r="BC139" i="1"/>
  <c r="CG139" i="1"/>
  <c r="BY139" i="1"/>
  <c r="A113" i="1"/>
  <c r="BJ113" i="1"/>
  <c r="A124" i="1"/>
  <c r="BJ70" i="1"/>
  <c r="AN70" i="1" s="1"/>
  <c r="CJ206" i="1"/>
  <c r="CF206" i="1"/>
  <c r="AY206" i="1"/>
  <c r="CI206" i="1"/>
  <c r="AR206" i="1"/>
  <c r="CG206" i="1"/>
  <c r="AZ206" i="1"/>
  <c r="BZ206" i="1"/>
  <c r="L206" i="1"/>
  <c r="CH206" i="1"/>
  <c r="BB206" i="1"/>
  <c r="BV206" i="1"/>
  <c r="CE206" i="1"/>
  <c r="M206" i="1"/>
  <c r="BC206" i="1"/>
  <c r="CB206" i="1"/>
  <c r="I206" i="1"/>
  <c r="BA206" i="1"/>
  <c r="AC206" i="1"/>
  <c r="BY206" i="1"/>
  <c r="AV206" i="1"/>
  <c r="AX206" i="1"/>
  <c r="AS206" i="1"/>
  <c r="BO206" i="1"/>
  <c r="BQ206" i="1" s="1"/>
  <c r="BR341" i="1"/>
  <c r="BY46" i="1"/>
  <c r="CH46" i="1"/>
  <c r="CI46" i="1"/>
  <c r="CJ46" i="1"/>
  <c r="AS46" i="1"/>
  <c r="L46" i="1"/>
  <c r="BC46" i="1"/>
  <c r="CE46" i="1"/>
  <c r="I46" i="1"/>
  <c r="BB46" i="1"/>
  <c r="CG46" i="1"/>
  <c r="AY46" i="1"/>
  <c r="AR46" i="1"/>
  <c r="BV46" i="1"/>
  <c r="BO46" i="1"/>
  <c r="BQ46" i="1" s="1"/>
  <c r="BN46" i="1" s="1"/>
  <c r="AC46" i="1"/>
  <c r="CB46" i="1"/>
  <c r="BZ46" i="1"/>
  <c r="AV46" i="1"/>
  <c r="CF46" i="1"/>
  <c r="N46" i="1"/>
  <c r="BA46" i="1"/>
  <c r="O46" i="1"/>
  <c r="AX46" i="1"/>
  <c r="M46" i="1"/>
  <c r="A52" i="1"/>
  <c r="AO52" i="1"/>
  <c r="BH52" i="1" s="1"/>
  <c r="S46" i="1"/>
  <c r="W46" i="1" s="1"/>
  <c r="BJ28" i="1"/>
  <c r="AN28" i="1" s="1"/>
  <c r="AO31" i="1"/>
  <c r="K31" i="1" s="1"/>
  <c r="J188" i="1"/>
  <c r="BF188" i="1" s="1"/>
  <c r="A189" i="1"/>
  <c r="A189" i="5" s="1"/>
  <c r="X189" i="1"/>
  <c r="Y189" i="1" s="1"/>
  <c r="CH111" i="1"/>
  <c r="AC111" i="1"/>
  <c r="AV111" i="1"/>
  <c r="BB111" i="1"/>
  <c r="CF111" i="1"/>
  <c r="M111" i="1"/>
  <c r="I111" i="1"/>
  <c r="CJ111" i="1"/>
  <c r="BC111" i="1"/>
  <c r="N111" i="1"/>
  <c r="BO111" i="1"/>
  <c r="BQ111" i="1" s="1"/>
  <c r="BN111" i="1" s="1"/>
  <c r="CB111" i="1"/>
  <c r="AY111" i="1"/>
  <c r="AR111" i="1"/>
  <c r="CE111" i="1"/>
  <c r="BA111" i="1"/>
  <c r="AX111" i="1"/>
  <c r="BY111" i="1"/>
  <c r="CG111" i="1"/>
  <c r="AS111" i="1"/>
  <c r="O111" i="1"/>
  <c r="BV111" i="1"/>
  <c r="CI111" i="1"/>
  <c r="A206" i="1"/>
  <c r="A206" i="5" s="1"/>
  <c r="Q206" i="1"/>
  <c r="BJ31" i="1"/>
  <c r="A23" i="1"/>
  <c r="A23" i="5" s="1"/>
  <c r="I13" i="1"/>
  <c r="AR13" i="1"/>
  <c r="CJ13" i="1"/>
  <c r="CI13" i="1"/>
  <c r="AV13" i="1"/>
  <c r="AY13" i="1"/>
  <c r="BA13" i="1"/>
  <c r="BY13" i="1"/>
  <c r="CF13" i="1"/>
  <c r="BV13" i="1"/>
  <c r="CG13" i="1"/>
  <c r="CE13" i="1"/>
  <c r="AS13" i="1"/>
  <c r="CH13" i="1"/>
  <c r="M13" i="1"/>
  <c r="O13" i="1"/>
  <c r="BC13" i="1"/>
  <c r="CB13" i="1"/>
  <c r="AX13" i="1"/>
  <c r="AC13" i="1"/>
  <c r="BO13" i="1"/>
  <c r="BQ13" i="1" s="1"/>
  <c r="BN13" i="1" s="1"/>
  <c r="N13" i="1"/>
  <c r="BB13" i="1"/>
  <c r="BJ11" i="1"/>
  <c r="AN11" i="1" s="1"/>
  <c r="BC154" i="1"/>
  <c r="CB154" i="1"/>
  <c r="AC154" i="1"/>
  <c r="AZ154" i="1"/>
  <c r="BB154" i="1"/>
  <c r="CF154" i="1"/>
  <c r="BA154" i="1"/>
  <c r="BY154" i="1"/>
  <c r="N154" i="1"/>
  <c r="CH154" i="1"/>
  <c r="BO154" i="1"/>
  <c r="CG154" i="1"/>
  <c r="AX154" i="1"/>
  <c r="AY154" i="1"/>
  <c r="CE154" i="1"/>
  <c r="CJ154" i="1"/>
  <c r="AV154" i="1"/>
  <c r="I154" i="1"/>
  <c r="AS154" i="1"/>
  <c r="AR154" i="1"/>
  <c r="M154" i="1"/>
  <c r="O154" i="1"/>
  <c r="CI154" i="1"/>
  <c r="BV154" i="1"/>
  <c r="X15" i="1"/>
  <c r="AB15" i="1" s="1"/>
  <c r="A125" i="1"/>
  <c r="A125" i="5" s="1"/>
  <c r="A119" i="1"/>
  <c r="BJ78" i="1"/>
  <c r="AN78" i="1" s="1"/>
  <c r="A8" i="1"/>
  <c r="A46" i="1"/>
  <c r="AD46" i="1"/>
  <c r="AG46" i="1" s="1"/>
  <c r="AO135" i="1"/>
  <c r="J135" i="1" s="1"/>
  <c r="BO14" i="1"/>
  <c r="BQ14" i="1" s="1"/>
  <c r="BN14" i="1" s="1"/>
  <c r="BA14" i="1"/>
  <c r="BY14" i="1"/>
  <c r="CG14" i="1"/>
  <c r="CI14" i="1"/>
  <c r="N14" i="1"/>
  <c r="CE14" i="1"/>
  <c r="I14" i="1"/>
  <c r="AC14" i="1"/>
  <c r="CH14" i="1"/>
  <c r="CF14" i="1"/>
  <c r="O14" i="1"/>
  <c r="BV14" i="1"/>
  <c r="AV14" i="1"/>
  <c r="AS14" i="1"/>
  <c r="CB14" i="1"/>
  <c r="AZ14" i="1"/>
  <c r="CJ14" i="1"/>
  <c r="M14" i="1"/>
  <c r="AY14" i="1"/>
  <c r="BC14" i="1"/>
  <c r="AX14" i="1"/>
  <c r="AR14" i="1"/>
  <c r="BB14" i="1"/>
  <c r="BY63" i="1"/>
  <c r="M63" i="1"/>
  <c r="BB63" i="1"/>
  <c r="CE63" i="1"/>
  <c r="AV63" i="1"/>
  <c r="BO63" i="1"/>
  <c r="BQ63" i="1" s="1"/>
  <c r="BC63" i="1"/>
  <c r="CG63" i="1"/>
  <c r="AY63" i="1"/>
  <c r="AS63" i="1"/>
  <c r="CB63" i="1"/>
  <c r="O63" i="1"/>
  <c r="CH63" i="1"/>
  <c r="BV63" i="1"/>
  <c r="AC63" i="1"/>
  <c r="CJ63" i="1"/>
  <c r="AX63" i="1"/>
  <c r="CF63" i="1"/>
  <c r="BA63" i="1"/>
  <c r="AR63" i="1"/>
  <c r="CI63" i="1"/>
  <c r="I63" i="1"/>
  <c r="N63" i="1"/>
  <c r="A63" i="1"/>
  <c r="AZ63" i="1"/>
  <c r="A118" i="1"/>
  <c r="BE2" i="3"/>
  <c r="BL2" i="3" s="1"/>
  <c r="A87" i="1"/>
  <c r="A87" i="5" s="1"/>
  <c r="AV198" i="3"/>
  <c r="BR284" i="1" s="1"/>
  <c r="BW284" i="1" s="1"/>
  <c r="A16" i="1"/>
  <c r="A27" i="1"/>
  <c r="AD27" i="1"/>
  <c r="AH27" i="1" s="1"/>
  <c r="A91" i="1"/>
  <c r="AO91" i="1"/>
  <c r="A190" i="1"/>
  <c r="A190" i="5" s="1"/>
  <c r="CE137" i="1"/>
  <c r="BA137" i="1"/>
  <c r="I137" i="1"/>
  <c r="BB137" i="1"/>
  <c r="AV137" i="1"/>
  <c r="O137" i="1"/>
  <c r="CG137" i="1"/>
  <c r="AC137" i="1"/>
  <c r="BY137" i="1"/>
  <c r="CF137" i="1"/>
  <c r="BO137" i="1"/>
  <c r="BQ137" i="1" s="1"/>
  <c r="CJ137" i="1"/>
  <c r="N137" i="1"/>
  <c r="AY137" i="1"/>
  <c r="CB137" i="1"/>
  <c r="AS137" i="1"/>
  <c r="AZ137" i="1"/>
  <c r="AX137" i="1"/>
  <c r="AR137" i="1"/>
  <c r="BC137" i="1"/>
  <c r="M137" i="1"/>
  <c r="CH137" i="1"/>
  <c r="CI137" i="1"/>
  <c r="BV137" i="1"/>
  <c r="A184" i="1"/>
  <c r="A184" i="5" s="1"/>
  <c r="S184" i="1"/>
  <c r="V184" i="1" s="1"/>
  <c r="AR149" i="1"/>
  <c r="BB149" i="1"/>
  <c r="BV149" i="1"/>
  <c r="O149" i="1"/>
  <c r="BO149" i="1"/>
  <c r="BQ149" i="1" s="1"/>
  <c r="N149" i="1"/>
  <c r="CJ149" i="1"/>
  <c r="BY149" i="1"/>
  <c r="AX149" i="1"/>
  <c r="CG149" i="1"/>
  <c r="AZ149" i="1"/>
  <c r="AS149" i="1"/>
  <c r="M149" i="1"/>
  <c r="CB149" i="1"/>
  <c r="AY149" i="1"/>
  <c r="I149" i="1"/>
  <c r="CE149" i="1"/>
  <c r="BA149" i="1"/>
  <c r="CI149" i="1"/>
  <c r="AC149" i="1"/>
  <c r="CF149" i="1"/>
  <c r="AV149" i="1"/>
  <c r="BC149" i="1"/>
  <c r="CH149" i="1"/>
  <c r="AY115" i="1"/>
  <c r="AV115" i="1"/>
  <c r="BO115" i="1"/>
  <c r="BQ115" i="1" s="1"/>
  <c r="CF115" i="1"/>
  <c r="AS115" i="1"/>
  <c r="I115" i="1"/>
  <c r="O115" i="1"/>
  <c r="CB115" i="1"/>
  <c r="BV115" i="1"/>
  <c r="N115" i="1"/>
  <c r="AR115" i="1"/>
  <c r="BB115" i="1"/>
  <c r="BC115" i="1"/>
  <c r="BA115" i="1"/>
  <c r="AC115" i="1"/>
  <c r="CI115" i="1"/>
  <c r="AZ115" i="1"/>
  <c r="CJ115" i="1"/>
  <c r="CE115" i="1"/>
  <c r="M115" i="1"/>
  <c r="AX115" i="1"/>
  <c r="CH115" i="1"/>
  <c r="CG115" i="1"/>
  <c r="BY115" i="1"/>
  <c r="AV195" i="3"/>
  <c r="BR211" i="1" s="1"/>
  <c r="AV7" i="1"/>
  <c r="I7" i="1"/>
  <c r="O7" i="1"/>
  <c r="CE7" i="1"/>
  <c r="M7" i="1"/>
  <c r="AR7" i="1"/>
  <c r="CH7" i="1"/>
  <c r="BV7" i="1"/>
  <c r="N7" i="1"/>
  <c r="BB7" i="1"/>
  <c r="AX7" i="1"/>
  <c r="CB7" i="1"/>
  <c r="CG7" i="1"/>
  <c r="AY7" i="1"/>
  <c r="BA7" i="1"/>
  <c r="CI7" i="1"/>
  <c r="L7" i="1"/>
  <c r="BC7" i="1"/>
  <c r="CJ7" i="1"/>
  <c r="BY7" i="1"/>
  <c r="BH7" i="1"/>
  <c r="AC7" i="1"/>
  <c r="BO7" i="1"/>
  <c r="BQ7" i="1" s="1"/>
  <c r="BN7" i="1" s="1"/>
  <c r="CF7" i="1"/>
  <c r="AS7" i="1"/>
  <c r="M30" i="1"/>
  <c r="N30" i="1"/>
  <c r="CH30" i="1"/>
  <c r="AX30" i="1"/>
  <c r="O30" i="1"/>
  <c r="CI30" i="1"/>
  <c r="I30" i="1"/>
  <c r="CE30" i="1"/>
  <c r="AC30" i="1"/>
  <c r="BC30" i="1"/>
  <c r="CF30" i="1"/>
  <c r="AV30" i="1"/>
  <c r="CJ30" i="1"/>
  <c r="BB30" i="1"/>
  <c r="BA30" i="1"/>
  <c r="BV30" i="1"/>
  <c r="CG30" i="1"/>
  <c r="BY30" i="1"/>
  <c r="CB30" i="1"/>
  <c r="AS30" i="1"/>
  <c r="AY30" i="1"/>
  <c r="BO30" i="1"/>
  <c r="BQ30" i="1" s="1"/>
  <c r="AR30" i="1"/>
  <c r="O51" i="1"/>
  <c r="AY51" i="1"/>
  <c r="CF51" i="1"/>
  <c r="CE51" i="1"/>
  <c r="CH51" i="1"/>
  <c r="BY51" i="1"/>
  <c r="AV51" i="1"/>
  <c r="BO51" i="1"/>
  <c r="BQ51" i="1" s="1"/>
  <c r="BC51" i="1"/>
  <c r="AS51" i="1"/>
  <c r="BA51" i="1"/>
  <c r="N51" i="1"/>
  <c r="L51" i="1"/>
  <c r="AC51" i="1"/>
  <c r="M51" i="1"/>
  <c r="CB51" i="1"/>
  <c r="CJ51" i="1"/>
  <c r="AX51" i="1"/>
  <c r="BB51" i="1"/>
  <c r="CG51" i="1"/>
  <c r="AR51" i="1"/>
  <c r="CI51" i="1"/>
  <c r="BV51" i="1"/>
  <c r="I51" i="1"/>
  <c r="BY17" i="1"/>
  <c r="CE17" i="1"/>
  <c r="BB17" i="1"/>
  <c r="O17" i="1"/>
  <c r="AR17" i="1"/>
  <c r="CJ17" i="1"/>
  <c r="N17" i="1"/>
  <c r="CG17" i="1"/>
  <c r="CF17" i="1"/>
  <c r="AX17" i="1"/>
  <c r="M17" i="1"/>
  <c r="AC17" i="1"/>
  <c r="BA17" i="1"/>
  <c r="AY17" i="1"/>
  <c r="CH17" i="1"/>
  <c r="AZ17" i="1"/>
  <c r="AV17" i="1"/>
  <c r="BH17" i="1"/>
  <c r="BV17" i="1"/>
  <c r="CI17" i="1"/>
  <c r="BC17" i="1"/>
  <c r="CB17" i="1"/>
  <c r="BO17" i="1"/>
  <c r="BQ17" i="1" s="1"/>
  <c r="BN17" i="1" s="1"/>
  <c r="I17" i="1"/>
  <c r="AS17" i="1"/>
  <c r="A111" i="1"/>
  <c r="CH156" i="1"/>
  <c r="AC156" i="1"/>
  <c r="BY156" i="1"/>
  <c r="BB156" i="1"/>
  <c r="M156" i="1"/>
  <c r="CB156" i="1"/>
  <c r="CI156" i="1"/>
  <c r="BC156" i="1"/>
  <c r="AV156" i="1"/>
  <c r="AX156" i="1"/>
  <c r="CJ156" i="1"/>
  <c r="BA156" i="1"/>
  <c r="O156" i="1"/>
  <c r="BO156" i="1"/>
  <c r="BQ156" i="1" s="1"/>
  <c r="CE156" i="1"/>
  <c r="N156" i="1"/>
  <c r="AS156" i="1"/>
  <c r="BV156" i="1"/>
  <c r="CG156" i="1"/>
  <c r="AY156" i="1"/>
  <c r="AR156" i="1"/>
  <c r="CF156" i="1"/>
  <c r="I156" i="1"/>
  <c r="AZ156" i="1"/>
  <c r="A135" i="1"/>
  <c r="A135" i="5" s="1"/>
  <c r="X11" i="1"/>
  <c r="K11" i="5" s="1"/>
  <c r="BE23" i="3"/>
  <c r="BL23" i="3" s="1"/>
  <c r="AV42" i="1"/>
  <c r="AX42" i="1"/>
  <c r="BV42" i="1"/>
  <c r="AC42" i="1"/>
  <c r="CB42" i="1"/>
  <c r="N42" i="1"/>
  <c r="CJ42" i="1"/>
  <c r="O42" i="1"/>
  <c r="AY42" i="1"/>
  <c r="BO42" i="1"/>
  <c r="AS42" i="1"/>
  <c r="AR42" i="1"/>
  <c r="CE42" i="1"/>
  <c r="BB42" i="1"/>
  <c r="BC42" i="1"/>
  <c r="I42" i="1"/>
  <c r="CI42" i="1"/>
  <c r="BA42" i="1"/>
  <c r="CH42" i="1"/>
  <c r="M42" i="1"/>
  <c r="BY42" i="1"/>
  <c r="CG42" i="1"/>
  <c r="CF42" i="1"/>
  <c r="A82" i="1"/>
  <c r="AI82" i="1"/>
  <c r="S82" i="5" s="1"/>
  <c r="V82" i="5" s="1"/>
  <c r="BV151" i="1"/>
  <c r="AS151" i="1"/>
  <c r="AX151" i="1"/>
  <c r="BC151" i="1"/>
  <c r="CE151" i="1"/>
  <c r="AV151" i="1"/>
  <c r="O151" i="1"/>
  <c r="CB151" i="1"/>
  <c r="BA151" i="1"/>
  <c r="BB151" i="1"/>
  <c r="CF151" i="1"/>
  <c r="CG151" i="1"/>
  <c r="AC151" i="1"/>
  <c r="I151" i="1"/>
  <c r="CJ151" i="1"/>
  <c r="M151" i="1"/>
  <c r="AY151" i="1"/>
  <c r="BO151" i="1"/>
  <c r="AZ151" i="1"/>
  <c r="BY151" i="1"/>
  <c r="N151" i="1"/>
  <c r="CH151" i="1"/>
  <c r="CI151" i="1"/>
  <c r="A151" i="1"/>
  <c r="A151" i="5" s="1"/>
  <c r="AR151" i="1"/>
  <c r="AO30" i="1"/>
  <c r="AP30" i="1" s="1"/>
  <c r="A6" i="1"/>
  <c r="X6" i="1"/>
  <c r="AA6" i="1" s="1"/>
  <c r="AC110" i="1"/>
  <c r="CH110" i="1"/>
  <c r="CI110" i="1"/>
  <c r="AV110" i="1"/>
  <c r="BO110" i="1"/>
  <c r="BQ110" i="1" s="1"/>
  <c r="O110" i="1"/>
  <c r="BV110" i="1"/>
  <c r="CG110" i="1"/>
  <c r="CB110" i="1"/>
  <c r="I110" i="1"/>
  <c r="CE110" i="1"/>
  <c r="BB110" i="1"/>
  <c r="AY110" i="1"/>
  <c r="AX110" i="1"/>
  <c r="BA110" i="1"/>
  <c r="AR110" i="1"/>
  <c r="BC110" i="1"/>
  <c r="CJ110" i="1"/>
  <c r="M110" i="1"/>
  <c r="CF110" i="1"/>
  <c r="AS110" i="1"/>
  <c r="N110" i="1"/>
  <c r="A110" i="1"/>
  <c r="BY110" i="1"/>
  <c r="AO157" i="1"/>
  <c r="AP157" i="1" s="1"/>
  <c r="X45" i="1"/>
  <c r="K45" i="5" s="1"/>
  <c r="L45" i="5" s="1"/>
  <c r="AO28" i="1"/>
  <c r="K28" i="1" s="1"/>
  <c r="A83" i="1"/>
  <c r="S7" i="1"/>
  <c r="G7" i="5" s="1"/>
  <c r="A25" i="1"/>
  <c r="X25" i="1"/>
  <c r="Y25" i="1" s="1"/>
  <c r="AC50" i="1"/>
  <c r="O50" i="1"/>
  <c r="BO50" i="1"/>
  <c r="BQ50" i="1" s="1"/>
  <c r="AR50" i="1"/>
  <c r="BY50" i="1"/>
  <c r="AX50" i="1"/>
  <c r="AY50" i="1"/>
  <c r="BA50" i="1"/>
  <c r="BB50" i="1"/>
  <c r="CB50" i="1"/>
  <c r="L50" i="1"/>
  <c r="BC50" i="1"/>
  <c r="I50" i="1"/>
  <c r="CE50" i="1"/>
  <c r="CG50" i="1"/>
  <c r="AS50" i="1"/>
  <c r="CF50" i="1"/>
  <c r="CI50" i="1"/>
  <c r="CH50" i="1"/>
  <c r="BV50" i="1"/>
  <c r="CJ50" i="1"/>
  <c r="BH50" i="1"/>
  <c r="M50" i="1"/>
  <c r="N50" i="1"/>
  <c r="A50" i="1"/>
  <c r="AV50" i="1"/>
  <c r="A147" i="1"/>
  <c r="A147" i="5" s="1"/>
  <c r="CC147" i="1"/>
  <c r="BA155" i="1"/>
  <c r="N155" i="1"/>
  <c r="CJ155" i="1"/>
  <c r="M155" i="1"/>
  <c r="CI155" i="1"/>
  <c r="BB155" i="1"/>
  <c r="CG155" i="1"/>
  <c r="AV155" i="1"/>
  <c r="BY155" i="1"/>
  <c r="AX155" i="1"/>
  <c r="AC155" i="1"/>
  <c r="I155" i="1"/>
  <c r="CF155" i="1"/>
  <c r="BV155" i="1"/>
  <c r="CH155" i="1"/>
  <c r="AS155" i="1"/>
  <c r="CB155" i="1"/>
  <c r="AZ155" i="1"/>
  <c r="CE155" i="1"/>
  <c r="O155" i="1"/>
  <c r="AR155" i="1"/>
  <c r="BC155" i="1"/>
  <c r="BO155" i="1"/>
  <c r="BQ155" i="1" s="1"/>
  <c r="BN155" i="1" s="1"/>
  <c r="AY155" i="1"/>
  <c r="A80" i="1"/>
  <c r="AD80" i="1"/>
  <c r="O80" i="5" s="1"/>
  <c r="AD49" i="1"/>
  <c r="O49" i="5" s="1"/>
  <c r="Q44" i="1"/>
  <c r="R44" i="1" s="1"/>
  <c r="AS92" i="1"/>
  <c r="AC92" i="1"/>
  <c r="CH92" i="1"/>
  <c r="AY92" i="1"/>
  <c r="BY92" i="1"/>
  <c r="CG92" i="1"/>
  <c r="L92" i="1"/>
  <c r="M92" i="1"/>
  <c r="AV92" i="1"/>
  <c r="CF92" i="1"/>
  <c r="CB92" i="1"/>
  <c r="BC92" i="1"/>
  <c r="BB92" i="1"/>
  <c r="AR92" i="1"/>
  <c r="AX92" i="1"/>
  <c r="CJ92" i="1"/>
  <c r="CE92" i="1"/>
  <c r="I92" i="1"/>
  <c r="BM92" i="1" s="1"/>
  <c r="CI92" i="1"/>
  <c r="BV92" i="1"/>
  <c r="BO92" i="1"/>
  <c r="BA92" i="1"/>
  <c r="A42" i="1"/>
  <c r="CF141" i="1"/>
  <c r="AV141" i="1"/>
  <c r="CE141" i="1"/>
  <c r="O141" i="1"/>
  <c r="AR141" i="1"/>
  <c r="BB141" i="1"/>
  <c r="CG141" i="1"/>
  <c r="CJ141" i="1"/>
  <c r="AX141" i="1"/>
  <c r="I141" i="1"/>
  <c r="CH141" i="1"/>
  <c r="AY141" i="1"/>
  <c r="AS141" i="1"/>
  <c r="BV141" i="1"/>
  <c r="N141" i="1"/>
  <c r="BC141" i="1"/>
  <c r="AC141" i="1"/>
  <c r="M141" i="1"/>
  <c r="CI141" i="1"/>
  <c r="BO141" i="1"/>
  <c r="BQ141" i="1" s="1"/>
  <c r="BY141" i="1"/>
  <c r="CB141" i="1"/>
  <c r="BA141" i="1"/>
  <c r="A141" i="1"/>
  <c r="A141" i="5" s="1"/>
  <c r="AZ141" i="1"/>
  <c r="AZ142" i="1"/>
  <c r="BA142" i="1"/>
  <c r="AV142" i="1"/>
  <c r="CI142" i="1"/>
  <c r="AC142" i="1"/>
  <c r="O142" i="1"/>
  <c r="BB142" i="1"/>
  <c r="CB142" i="1"/>
  <c r="CG142" i="1"/>
  <c r="BC142" i="1"/>
  <c r="CF142" i="1"/>
  <c r="AS142" i="1"/>
  <c r="CJ142" i="1"/>
  <c r="AX142" i="1"/>
  <c r="I142" i="1"/>
  <c r="N142" i="1"/>
  <c r="BY142" i="1"/>
  <c r="AY142" i="1"/>
  <c r="BV142" i="1"/>
  <c r="CH142" i="1"/>
  <c r="M142" i="1"/>
  <c r="AR142" i="1"/>
  <c r="CE142" i="1"/>
  <c r="A142" i="1"/>
  <c r="A142" i="5" s="1"/>
  <c r="BO142" i="1"/>
  <c r="CC115" i="1"/>
  <c r="A97" i="1"/>
  <c r="A97" i="5" s="1"/>
  <c r="X97" i="1"/>
  <c r="K97" i="5" s="1"/>
  <c r="BJ194" i="1"/>
  <c r="A139" i="1"/>
  <c r="A139" i="5" s="1"/>
  <c r="BJ139" i="1"/>
  <c r="A44" i="1"/>
  <c r="AD44" i="1"/>
  <c r="AG44" i="1" s="1"/>
  <c r="BE10" i="3"/>
  <c r="BL10" i="3" s="1"/>
  <c r="BC127" i="3"/>
  <c r="BM127" i="3" s="1"/>
  <c r="A137" i="1"/>
  <c r="A137" i="5" s="1"/>
  <c r="AO137" i="1"/>
  <c r="AP137" i="1" s="1"/>
  <c r="CB53" i="1"/>
  <c r="N53" i="1"/>
  <c r="O53" i="1"/>
  <c r="BB53" i="1"/>
  <c r="AR53" i="1"/>
  <c r="CE53" i="1"/>
  <c r="I53" i="1"/>
  <c r="BY53" i="1"/>
  <c r="CF53" i="1"/>
  <c r="AY53" i="1"/>
  <c r="AX53" i="1"/>
  <c r="CG53" i="1"/>
  <c r="AC53" i="1"/>
  <c r="BO53" i="1"/>
  <c r="CH53" i="1"/>
  <c r="CJ53" i="1"/>
  <c r="BV53" i="1"/>
  <c r="CI53" i="1"/>
  <c r="M53" i="1"/>
  <c r="BA53" i="1"/>
  <c r="AS53" i="1"/>
  <c r="AV53" i="1"/>
  <c r="A53" i="1"/>
  <c r="BC53" i="1"/>
  <c r="A14" i="1"/>
  <c r="BJ14" i="1"/>
  <c r="BV28" i="1"/>
  <c r="CJ28" i="1"/>
  <c r="CI28" i="1"/>
  <c r="AR28" i="1"/>
  <c r="BC28" i="1"/>
  <c r="BO28" i="1"/>
  <c r="CG28" i="1"/>
  <c r="AC28" i="1"/>
  <c r="CB28" i="1"/>
  <c r="M28" i="1"/>
  <c r="I28" i="1"/>
  <c r="CF28" i="1"/>
  <c r="CE28" i="1"/>
  <c r="CH28" i="1"/>
  <c r="AY28" i="1"/>
  <c r="BB28" i="1"/>
  <c r="BY28" i="1"/>
  <c r="BA28" i="1"/>
  <c r="AV28" i="1"/>
  <c r="AZ28" i="1"/>
  <c r="AS28" i="1"/>
  <c r="A28" i="1"/>
  <c r="AX28" i="1"/>
  <c r="A149" i="1"/>
  <c r="A149" i="5" s="1"/>
  <c r="A115" i="1"/>
  <c r="BJ115" i="1"/>
  <c r="AN115" i="1" s="1"/>
  <c r="A92" i="1"/>
  <c r="A144" i="1"/>
  <c r="A144" i="5" s="1"/>
  <c r="AR157" i="1"/>
  <c r="BO157" i="1"/>
  <c r="M157" i="1"/>
  <c r="AC157" i="1"/>
  <c r="AX157" i="1"/>
  <c r="CB157" i="1"/>
  <c r="BA157" i="1"/>
  <c r="AS157" i="1"/>
  <c r="CJ157" i="1"/>
  <c r="I157" i="1"/>
  <c r="BY157" i="1"/>
  <c r="CF157" i="1"/>
  <c r="CH157" i="1"/>
  <c r="BC157" i="1"/>
  <c r="CG157" i="1"/>
  <c r="CI157" i="1"/>
  <c r="O157" i="1"/>
  <c r="BB157" i="1"/>
  <c r="AY157" i="1"/>
  <c r="AZ157" i="1"/>
  <c r="N157" i="1"/>
  <c r="BV157" i="1"/>
  <c r="AV157" i="1"/>
  <c r="A157" i="1"/>
  <c r="A157" i="5" s="1"/>
  <c r="CE157" i="1"/>
  <c r="A152" i="1"/>
  <c r="A152" i="5" s="1"/>
  <c r="AI152" i="1"/>
  <c r="AY15" i="1"/>
  <c r="O15" i="1"/>
  <c r="BO15" i="1"/>
  <c r="AC15" i="1"/>
  <c r="CE15" i="1"/>
  <c r="AZ15" i="1"/>
  <c r="AS15" i="1"/>
  <c r="BV15" i="1"/>
  <c r="I15" i="1"/>
  <c r="AR15" i="1"/>
  <c r="CF15" i="1"/>
  <c r="CI15" i="1"/>
  <c r="CJ15" i="1"/>
  <c r="BY15" i="1"/>
  <c r="BC15" i="1"/>
  <c r="CG15" i="1"/>
  <c r="CH15" i="1"/>
  <c r="BA15" i="1"/>
  <c r="CB15" i="1"/>
  <c r="M15" i="1"/>
  <c r="BB15" i="1"/>
  <c r="AX15" i="1"/>
  <c r="AV15" i="1"/>
  <c r="N15" i="1"/>
  <c r="BA45" i="1"/>
  <c r="CE45" i="1"/>
  <c r="CG45" i="1"/>
  <c r="CJ45" i="1"/>
  <c r="CB45" i="1"/>
  <c r="L45" i="1"/>
  <c r="M45" i="1"/>
  <c r="I45" i="1"/>
  <c r="BO45" i="1"/>
  <c r="BQ45" i="1" s="1"/>
  <c r="BN45" i="1" s="1"/>
  <c r="BV45" i="1"/>
  <c r="AV45" i="1"/>
  <c r="CH45" i="1"/>
  <c r="BC45" i="1"/>
  <c r="CF45" i="1"/>
  <c r="CI45" i="1"/>
  <c r="AC45" i="1"/>
  <c r="AR45" i="1"/>
  <c r="BH45" i="1"/>
  <c r="BB45" i="1"/>
  <c r="O45" i="1"/>
  <c r="AY45" i="1"/>
  <c r="AS45" i="1"/>
  <c r="N45" i="1"/>
  <c r="AX45" i="1"/>
  <c r="BY45" i="1"/>
  <c r="A45" i="1"/>
  <c r="BZ45" i="1"/>
  <c r="A49" i="1"/>
  <c r="A13" i="1"/>
  <c r="X13" i="1"/>
  <c r="AB13" i="1" s="1"/>
  <c r="A188" i="1"/>
  <c r="A188" i="5" s="1"/>
  <c r="BJ188" i="1"/>
  <c r="A7" i="1"/>
  <c r="X7" i="1"/>
  <c r="AA7" i="1" s="1"/>
  <c r="A154" i="1"/>
  <c r="A154" i="5" s="1"/>
  <c r="M2" i="1"/>
  <c r="AW312" i="3"/>
  <c r="BV2" i="1"/>
  <c r="AW179" i="3"/>
  <c r="AW272" i="3"/>
  <c r="AW307" i="3"/>
  <c r="AW313" i="3"/>
  <c r="AW217" i="3"/>
  <c r="BY2" i="1"/>
  <c r="AW259" i="3"/>
  <c r="AZ2" i="1"/>
  <c r="AW257" i="3"/>
  <c r="N2" i="1"/>
  <c r="AW174" i="3"/>
  <c r="CI2" i="1"/>
  <c r="AW236" i="3"/>
  <c r="AW276" i="3"/>
  <c r="AW222" i="3"/>
  <c r="AW224" i="3"/>
  <c r="AW321" i="3"/>
  <c r="AW302" i="3"/>
  <c r="AW266" i="3"/>
  <c r="AW220" i="3"/>
  <c r="AW316" i="3"/>
  <c r="AW279" i="3"/>
  <c r="AW273" i="3"/>
  <c r="AW245" i="3"/>
  <c r="AW305" i="3"/>
  <c r="AV134" i="3"/>
  <c r="AW215" i="3"/>
  <c r="AW299" i="3"/>
  <c r="AW284" i="3"/>
  <c r="AW277" i="3"/>
  <c r="AW228" i="3"/>
  <c r="AW226" i="3"/>
  <c r="AW198" i="3"/>
  <c r="CJ2" i="1"/>
  <c r="AW199" i="3"/>
  <c r="AW214" i="3"/>
  <c r="AV10" i="3"/>
  <c r="AW247" i="3"/>
  <c r="AW210" i="3"/>
  <c r="CF2" i="1"/>
  <c r="AW286" i="3"/>
  <c r="AW283" i="3"/>
  <c r="AW287" i="3"/>
  <c r="AW241" i="3"/>
  <c r="AW216" i="3"/>
  <c r="AW208" i="3"/>
  <c r="AW248" i="3"/>
  <c r="AW310" i="3"/>
  <c r="AR2" i="1"/>
  <c r="AW324" i="3"/>
  <c r="AW181" i="3"/>
  <c r="AW315" i="3"/>
  <c r="AW281" i="3"/>
  <c r="AW227" i="3"/>
  <c r="CG2" i="1"/>
  <c r="AW249" i="3"/>
  <c r="AW178" i="3"/>
  <c r="AW243" i="3"/>
  <c r="CH2" i="1"/>
  <c r="AW239" i="3"/>
  <c r="O2" i="1"/>
  <c r="AW323" i="3"/>
  <c r="CB2" i="1"/>
  <c r="AW229" i="3"/>
  <c r="AW175" i="3"/>
  <c r="AW211" i="3"/>
  <c r="AW300" i="3"/>
  <c r="AW233" i="3"/>
  <c r="BO2" i="1"/>
  <c r="BQ2" i="1" s="1"/>
  <c r="BN2" i="1" s="1"/>
  <c r="BH2" i="1"/>
  <c r="AW212" i="3"/>
  <c r="AW296" i="3"/>
  <c r="AW262" i="3"/>
  <c r="AW242" i="3"/>
  <c r="AW328" i="3"/>
  <c r="AW182" i="3"/>
  <c r="AW234" i="3"/>
  <c r="AW319" i="3"/>
  <c r="AW197" i="3"/>
  <c r="AW275" i="3"/>
  <c r="AW256" i="3"/>
  <c r="CE2" i="1"/>
  <c r="AW314" i="3"/>
  <c r="AW258" i="3"/>
  <c r="AW282" i="3"/>
  <c r="AX2" i="1"/>
  <c r="AW213" i="3"/>
  <c r="AW176" i="3"/>
  <c r="AW207" i="3"/>
  <c r="AW306" i="3"/>
  <c r="AW298" i="3"/>
  <c r="AW271" i="3"/>
  <c r="AW327" i="3"/>
  <c r="I2" i="1"/>
  <c r="AW240" i="3"/>
  <c r="BC2" i="1"/>
  <c r="AV163" i="3"/>
  <c r="AV69" i="3"/>
  <c r="AV2" i="1"/>
  <c r="AW201" i="3"/>
  <c r="AW209" i="3"/>
  <c r="AW265" i="3"/>
  <c r="AW251" i="3"/>
  <c r="AW295" i="3"/>
  <c r="BB2" i="1"/>
  <c r="AW180" i="3"/>
  <c r="AW290" i="3"/>
  <c r="AW309" i="3"/>
  <c r="AW264" i="3"/>
  <c r="AW225" i="3"/>
  <c r="AY2" i="1"/>
  <c r="AW297" i="3"/>
  <c r="AW280" i="3"/>
  <c r="AW304" i="3"/>
  <c r="AW274" i="3"/>
  <c r="AW326" i="3"/>
  <c r="AS2" i="1"/>
  <c r="AW221" i="3"/>
  <c r="AW320" i="3"/>
  <c r="AV68" i="3"/>
  <c r="BA2" i="1"/>
  <c r="AW246" i="3"/>
  <c r="AW325" i="3"/>
  <c r="AW301" i="3"/>
  <c r="AW308" i="3"/>
  <c r="AW223" i="3"/>
  <c r="AW177" i="3"/>
  <c r="AW200" i="3"/>
  <c r="AW292" i="3"/>
  <c r="AC2" i="1"/>
  <c r="AW322" i="3"/>
  <c r="AW232" i="3"/>
  <c r="AW238" i="3"/>
  <c r="AC194" i="1"/>
  <c r="CG194" i="1"/>
  <c r="AR194" i="1"/>
  <c r="BO194" i="1"/>
  <c r="BC194" i="1"/>
  <c r="CJ194" i="1"/>
  <c r="BV194" i="1"/>
  <c r="N194" i="1"/>
  <c r="CH194" i="1"/>
  <c r="AV194" i="1"/>
  <c r="CI194" i="1"/>
  <c r="AX194" i="1"/>
  <c r="O194" i="1"/>
  <c r="BY194" i="1"/>
  <c r="BX194" i="1"/>
  <c r="AY194" i="1"/>
  <c r="BB194" i="1"/>
  <c r="CF194" i="1"/>
  <c r="BA194" i="1"/>
  <c r="CE194" i="1"/>
  <c r="CB194" i="1"/>
  <c r="I194" i="1"/>
  <c r="AS194" i="1"/>
  <c r="AR70" i="1"/>
  <c r="I70" i="1"/>
  <c r="BB70" i="1"/>
  <c r="N70" i="1"/>
  <c r="CI70" i="1"/>
  <c r="AC70" i="1"/>
  <c r="AV70" i="1"/>
  <c r="BC70" i="1"/>
  <c r="CF70" i="1"/>
  <c r="BY70" i="1"/>
  <c r="CG70" i="1"/>
  <c r="CB70" i="1"/>
  <c r="AS70" i="1"/>
  <c r="BH70" i="1"/>
  <c r="AX70" i="1"/>
  <c r="BA70" i="1"/>
  <c r="BV70" i="1"/>
  <c r="O70" i="1"/>
  <c r="BO70" i="1"/>
  <c r="BQ70" i="1" s="1"/>
  <c r="AY70" i="1"/>
  <c r="CJ70" i="1"/>
  <c r="M70" i="1"/>
  <c r="CE70" i="1"/>
  <c r="CH70" i="1"/>
  <c r="I11" i="1"/>
  <c r="CH11" i="1"/>
  <c r="AV11" i="1"/>
  <c r="AC11" i="1"/>
  <c r="BB11" i="1"/>
  <c r="BA11" i="1"/>
  <c r="CG11" i="1"/>
  <c r="AX11" i="1"/>
  <c r="CI11" i="1"/>
  <c r="N11" i="1"/>
  <c r="CF11" i="1"/>
  <c r="AS11" i="1"/>
  <c r="BV11" i="1"/>
  <c r="CJ11" i="1"/>
  <c r="BO11" i="1"/>
  <c r="BQ11" i="1" s="1"/>
  <c r="BN11" i="1" s="1"/>
  <c r="O11" i="1"/>
  <c r="M11" i="1"/>
  <c r="BC11" i="1"/>
  <c r="AR11" i="1"/>
  <c r="CE11" i="1"/>
  <c r="AY11" i="1"/>
  <c r="BY11" i="1"/>
  <c r="L11" i="1"/>
  <c r="A11" i="1"/>
  <c r="CB11" i="1"/>
  <c r="BR331" i="1"/>
  <c r="BW331" i="1" s="1"/>
  <c r="A15" i="1"/>
  <c r="A15" i="14" s="1"/>
  <c r="A30" i="1"/>
  <c r="A51" i="1"/>
  <c r="A51" i="5" s="1"/>
  <c r="A17" i="1"/>
  <c r="AI17" i="1"/>
  <c r="S17" i="5" s="1"/>
  <c r="T17" i="5" s="1"/>
  <c r="AV26" i="1"/>
  <c r="AZ26" i="1"/>
  <c r="I26" i="1"/>
  <c r="CJ26" i="1"/>
  <c r="L26" i="1"/>
  <c r="AX26" i="1"/>
  <c r="N26" i="1"/>
  <c r="CF26" i="1"/>
  <c r="AS26" i="1"/>
  <c r="BV26" i="1"/>
  <c r="CH26" i="1"/>
  <c r="BA26" i="1"/>
  <c r="BB26" i="1"/>
  <c r="BC26" i="1"/>
  <c r="CG26" i="1"/>
  <c r="CB26" i="1"/>
  <c r="BY26" i="1"/>
  <c r="CI26" i="1"/>
  <c r="AC26" i="1"/>
  <c r="M26" i="1"/>
  <c r="AR26" i="1"/>
  <c r="O26" i="1"/>
  <c r="BO26" i="1"/>
  <c r="CE26" i="1"/>
  <c r="AY26" i="1"/>
  <c r="A26" i="1"/>
  <c r="A159" i="1"/>
  <c r="A159" i="5" s="1"/>
  <c r="A112" i="1"/>
  <c r="A194" i="1"/>
  <c r="A194" i="5" s="1"/>
  <c r="Q194" i="1"/>
  <c r="R194" i="1" s="1"/>
  <c r="CJ78" i="1"/>
  <c r="BC78" i="1"/>
  <c r="AY78" i="1"/>
  <c r="M78" i="1"/>
  <c r="AX78" i="1"/>
  <c r="AS78" i="1"/>
  <c r="BB78" i="1"/>
  <c r="AW78" i="3" s="1"/>
  <c r="N78" i="1"/>
  <c r="CB78" i="1"/>
  <c r="BY78" i="1"/>
  <c r="CF78" i="1"/>
  <c r="AR78" i="1"/>
  <c r="CG78" i="1"/>
  <c r="BA78" i="1"/>
  <c r="BO78" i="1"/>
  <c r="AC78" i="1"/>
  <c r="CI78" i="1"/>
  <c r="I78" i="1"/>
  <c r="BV78" i="1"/>
  <c r="CH78" i="1"/>
  <c r="CE78" i="1"/>
  <c r="O78" i="1"/>
  <c r="A78" i="1"/>
  <c r="AV78" i="1"/>
  <c r="A155" i="1"/>
  <c r="A155" i="5" s="1"/>
  <c r="AI155" i="1"/>
  <c r="AM155" i="1" s="1"/>
  <c r="A156" i="1"/>
  <c r="A156" i="5" s="1"/>
  <c r="BJ156" i="1"/>
  <c r="BY187" i="1"/>
  <c r="AY187" i="1"/>
  <c r="AV187" i="1"/>
  <c r="AZ187" i="1"/>
  <c r="N187" i="1"/>
  <c r="CJ187" i="1"/>
  <c r="AX187" i="1"/>
  <c r="AS187" i="1"/>
  <c r="CH187" i="1"/>
  <c r="BB187" i="1"/>
  <c r="BA187" i="1"/>
  <c r="CE187" i="1"/>
  <c r="I187" i="1"/>
  <c r="CI187" i="1"/>
  <c r="CG187" i="1"/>
  <c r="AC187" i="1"/>
  <c r="BO187" i="1"/>
  <c r="BQ187" i="1" s="1"/>
  <c r="O187" i="1"/>
  <c r="AR187" i="1"/>
  <c r="BC187" i="1"/>
  <c r="BV187" i="1"/>
  <c r="BX187" i="1"/>
  <c r="M187" i="1" s="1"/>
  <c r="CF187" i="1"/>
  <c r="A187" i="1"/>
  <c r="A187" i="5" s="1"/>
  <c r="CB187" i="1"/>
  <c r="A70" i="1"/>
  <c r="J70" i="1"/>
  <c r="A43" i="1"/>
  <c r="A114" i="1"/>
  <c r="AI114" i="1"/>
  <c r="S114" i="5" s="1"/>
  <c r="A2" i="1"/>
  <c r="BR334" i="1"/>
  <c r="A31" i="1"/>
  <c r="A31" i="5" s="1"/>
  <c r="AV36" i="3" l="1"/>
  <c r="BZ162" i="1"/>
  <c r="BZ167" i="1"/>
  <c r="BZ102" i="1"/>
  <c r="AV109" i="3"/>
  <c r="AV38" i="3"/>
  <c r="AZ10" i="1"/>
  <c r="BK156" i="1"/>
  <c r="BH60" i="1"/>
  <c r="BZ126" i="1"/>
  <c r="S6" i="1"/>
  <c r="U6" i="1" s="1"/>
  <c r="BH73" i="1"/>
  <c r="AV18" i="3"/>
  <c r="J102" i="1"/>
  <c r="AZ102" i="1" s="1"/>
  <c r="AW142" i="3"/>
  <c r="BE36" i="3"/>
  <c r="BL36" i="3" s="1"/>
  <c r="BE73" i="3"/>
  <c r="BL73" i="3" s="1"/>
  <c r="AI102" i="1"/>
  <c r="AM102" i="1" s="1"/>
  <c r="BH143" i="1"/>
  <c r="BH186" i="1"/>
  <c r="BH36" i="1"/>
  <c r="BQ104" i="1"/>
  <c r="S186" i="1"/>
  <c r="W186" i="1" s="1"/>
  <c r="S73" i="1"/>
  <c r="BZ103" i="1"/>
  <c r="AV54" i="3"/>
  <c r="AV161" i="3"/>
  <c r="AV129" i="3"/>
  <c r="BZ105" i="1"/>
  <c r="AV144" i="3"/>
  <c r="AV75" i="3"/>
  <c r="BZ57" i="1"/>
  <c r="S48" i="1"/>
  <c r="W48" i="1" s="1"/>
  <c r="BH83" i="1"/>
  <c r="BQ161" i="1"/>
  <c r="BN161" i="1" s="1"/>
  <c r="U108" i="1"/>
  <c r="BK83" i="1"/>
  <c r="AW48" i="3"/>
  <c r="BZ58" i="1"/>
  <c r="BH134" i="1"/>
  <c r="BE41" i="3"/>
  <c r="BL41" i="3" s="1"/>
  <c r="AQ159" i="1"/>
  <c r="BK159" i="1"/>
  <c r="BQ157" i="1"/>
  <c r="BQ151" i="1"/>
  <c r="BN151" i="1" s="1"/>
  <c r="AN153" i="1"/>
  <c r="L105" i="1"/>
  <c r="BH41" i="1"/>
  <c r="BQ78" i="1"/>
  <c r="BN78" i="1" s="1"/>
  <c r="BQ194" i="1"/>
  <c r="BN194" i="1" s="1"/>
  <c r="BQ198" i="1"/>
  <c r="AP107" i="1"/>
  <c r="AB107" i="5" s="1"/>
  <c r="AI159" i="1"/>
  <c r="AJ159" i="1" s="1"/>
  <c r="AW159" i="3"/>
  <c r="BQ126" i="1"/>
  <c r="BN126" i="1" s="1"/>
  <c r="S110" i="5"/>
  <c r="V110" i="5" s="1"/>
  <c r="AB6" i="1"/>
  <c r="BZ28" i="1"/>
  <c r="BZ77" i="1"/>
  <c r="AV153" i="3"/>
  <c r="AV6" i="3"/>
  <c r="AA194" i="1"/>
  <c r="BH187" i="1"/>
  <c r="J161" i="1"/>
  <c r="CD161" i="1" s="1"/>
  <c r="J29" i="1"/>
  <c r="AZ29" i="1" s="1"/>
  <c r="U207" i="1"/>
  <c r="AB91" i="1"/>
  <c r="AV142" i="3"/>
  <c r="AW24" i="3"/>
  <c r="BQ205" i="1"/>
  <c r="BN205" i="1" s="1"/>
  <c r="V207" i="1"/>
  <c r="BZ34" i="1"/>
  <c r="BE168" i="3"/>
  <c r="BL168" i="3" s="1"/>
  <c r="AD168" i="1"/>
  <c r="AF168" i="1" s="1"/>
  <c r="AV33" i="3"/>
  <c r="BH24" i="1"/>
  <c r="BZ140" i="1"/>
  <c r="BH205" i="1"/>
  <c r="AW230" i="3"/>
  <c r="BE162" i="3"/>
  <c r="BL162" i="3" s="1"/>
  <c r="BZ196" i="1"/>
  <c r="J23" i="1"/>
  <c r="BF23" i="1" s="1"/>
  <c r="BG23" i="1" s="1"/>
  <c r="BP23" i="1" s="1" a="1"/>
  <c r="BP23" i="1" s="1"/>
  <c r="AI168" i="1"/>
  <c r="AK168" i="1" s="1"/>
  <c r="S135" i="1"/>
  <c r="V135" i="1" s="1"/>
  <c r="J16" i="1"/>
  <c r="BF16" i="1" s="1"/>
  <c r="BG16" i="1" s="1"/>
  <c r="AW162" i="3"/>
  <c r="BZ104" i="1"/>
  <c r="BH99" i="1"/>
  <c r="AK91" i="1"/>
  <c r="BZ7" i="1"/>
  <c r="BK119" i="1"/>
  <c r="BZ127" i="1"/>
  <c r="J187" i="1"/>
  <c r="BF187" i="1" s="1"/>
  <c r="BH151" i="1"/>
  <c r="AQ151" i="1"/>
  <c r="BE24" i="3"/>
  <c r="BL24" i="3" s="1"/>
  <c r="J162" i="1"/>
  <c r="J99" i="1"/>
  <c r="CD99" i="1" s="1"/>
  <c r="BZ65" i="1"/>
  <c r="BH168" i="1"/>
  <c r="BH122" i="1"/>
  <c r="J108" i="1"/>
  <c r="AV147" i="3"/>
  <c r="AV136" i="3"/>
  <c r="AV85" i="3"/>
  <c r="M183" i="1"/>
  <c r="W207" i="1"/>
  <c r="BZ82" i="1"/>
  <c r="BW313" i="1"/>
  <c r="AV47" i="3"/>
  <c r="BZ39" i="1"/>
  <c r="AN41" i="1"/>
  <c r="AF190" i="1"/>
  <c r="AL15" i="1"/>
  <c r="AP36" i="1"/>
  <c r="BZ11" i="1"/>
  <c r="J30" i="1"/>
  <c r="AZ30" i="1" s="1"/>
  <c r="AV4" i="3"/>
  <c r="AV186" i="3"/>
  <c r="AV77" i="3"/>
  <c r="BE173" i="1"/>
  <c r="BE36" i="1"/>
  <c r="AV62" i="3"/>
  <c r="BZ74" i="1"/>
  <c r="BE167" i="1"/>
  <c r="AV137" i="3"/>
  <c r="AL37" i="1"/>
  <c r="AK37" i="1"/>
  <c r="Y204" i="1"/>
  <c r="BZ70" i="1"/>
  <c r="BZ186" i="1"/>
  <c r="AV9" i="3"/>
  <c r="AV61" i="3"/>
  <c r="AV146" i="3"/>
  <c r="AV157" i="3"/>
  <c r="AV65" i="3"/>
  <c r="AV125" i="3"/>
  <c r="AV183" i="3"/>
  <c r="AV130" i="3"/>
  <c r="AV66" i="3"/>
  <c r="AV22" i="3"/>
  <c r="AV73" i="3"/>
  <c r="AV114" i="3"/>
  <c r="AV67" i="3"/>
  <c r="AV29" i="3"/>
  <c r="AV90" i="3"/>
  <c r="AV94" i="3"/>
  <c r="AV100" i="3"/>
  <c r="AV150" i="3"/>
  <c r="AV58" i="3"/>
  <c r="L41" i="1"/>
  <c r="BZ41" i="1"/>
  <c r="U67" i="1"/>
  <c r="BH121" i="1"/>
  <c r="AW170" i="3"/>
  <c r="S53" i="5"/>
  <c r="V53" i="5" s="1"/>
  <c r="J163" i="1"/>
  <c r="BG163" i="1" s="1"/>
  <c r="BE163" i="3"/>
  <c r="BL163" i="3" s="1"/>
  <c r="BE17" i="3"/>
  <c r="BL17" i="3" s="1"/>
  <c r="J17" i="1"/>
  <c r="BG17" i="1" s="1"/>
  <c r="BP17" i="1" s="1" a="1"/>
  <c r="BP17" i="1" s="1"/>
  <c r="BD131" i="1"/>
  <c r="J131" i="1"/>
  <c r="BF131" i="1" s="1"/>
  <c r="BH131" i="1"/>
  <c r="AI158" i="1"/>
  <c r="S158" i="5" s="1"/>
  <c r="BH158" i="1"/>
  <c r="K44" i="1"/>
  <c r="BH44" i="1"/>
  <c r="BC44" i="3"/>
  <c r="BM44" i="3" s="1"/>
  <c r="X44" i="1"/>
  <c r="AB44" i="1" s="1"/>
  <c r="S44" i="1"/>
  <c r="G44" i="5" s="1"/>
  <c r="BE44" i="3"/>
  <c r="BL44" i="3" s="1"/>
  <c r="AP12" i="1"/>
  <c r="S12" i="1"/>
  <c r="BE12" i="3"/>
  <c r="BL12" i="3" s="1"/>
  <c r="J130" i="1"/>
  <c r="CD130" i="1" s="1"/>
  <c r="BH130" i="1"/>
  <c r="Z69" i="1"/>
  <c r="AB69" i="1"/>
  <c r="J139" i="1"/>
  <c r="BH139" i="1"/>
  <c r="BP16" i="1" a="1"/>
  <c r="BP16" i="1" s="1"/>
  <c r="BE60" i="1"/>
  <c r="BD60" i="1"/>
  <c r="AV88" i="3"/>
  <c r="AW125" i="3"/>
  <c r="BZ76" i="1"/>
  <c r="AL77" i="1"/>
  <c r="AM25" i="1"/>
  <c r="AL80" i="1"/>
  <c r="AK80" i="1"/>
  <c r="T108" i="1"/>
  <c r="J85" i="1"/>
  <c r="BE85" i="3"/>
  <c r="BL85" i="3" s="1"/>
  <c r="AI85" i="1"/>
  <c r="S85" i="5" s="1"/>
  <c r="U85" i="5" s="1"/>
  <c r="BK190" i="1"/>
  <c r="BZ190" i="1"/>
  <c r="BH133" i="1"/>
  <c r="AI133" i="1"/>
  <c r="AJ133" i="1" s="1"/>
  <c r="AP118" i="1"/>
  <c r="AB118" i="5" s="1"/>
  <c r="J87" i="1"/>
  <c r="BF87" i="1" s="1"/>
  <c r="BG87" i="1" s="1"/>
  <c r="BP87" i="1" s="1" a="1"/>
  <c r="BP87" i="1" s="1"/>
  <c r="BH87" i="1"/>
  <c r="L70" i="1"/>
  <c r="BH112" i="1"/>
  <c r="X112" i="1"/>
  <c r="Y112" i="1" s="1"/>
  <c r="S112" i="1"/>
  <c r="U112" i="1" s="1"/>
  <c r="BK198" i="1"/>
  <c r="BZ198" i="1"/>
  <c r="AV52" i="3"/>
  <c r="AN64" i="1"/>
  <c r="BZ64" i="1"/>
  <c r="BE118" i="1"/>
  <c r="BU118" i="1" s="1"/>
  <c r="BZ53" i="1"/>
  <c r="AV131" i="3"/>
  <c r="AL72" i="1"/>
  <c r="AM72" i="1"/>
  <c r="AN32" i="1"/>
  <c r="BK32" i="1"/>
  <c r="BZ32" i="1"/>
  <c r="AP45" i="1"/>
  <c r="Q45" i="1"/>
  <c r="R45" i="1" s="1"/>
  <c r="S45" i="1"/>
  <c r="T45" i="1" s="1"/>
  <c r="BH68" i="1"/>
  <c r="J68" i="1"/>
  <c r="AZ68" i="1" s="1"/>
  <c r="BK56" i="1"/>
  <c r="BZ56" i="1"/>
  <c r="Q51" i="1"/>
  <c r="R51" i="1" s="1"/>
  <c r="BQ65" i="1"/>
  <c r="BH53" i="1"/>
  <c r="BC53" i="3"/>
  <c r="BM53" i="3" s="1"/>
  <c r="BK97" i="1"/>
  <c r="BZ97" i="1"/>
  <c r="BC54" i="3"/>
  <c r="BM54" i="3" s="1"/>
  <c r="BE54" i="3"/>
  <c r="X54" i="1"/>
  <c r="AB54" i="1" s="1"/>
  <c r="J54" i="1"/>
  <c r="AZ54" i="1" s="1"/>
  <c r="Q54" i="1"/>
  <c r="R54" i="1" s="1"/>
  <c r="BE185" i="3"/>
  <c r="BL185" i="3" s="1"/>
  <c r="BH201" i="1"/>
  <c r="AW109" i="3"/>
  <c r="AV21" i="3"/>
  <c r="BE96" i="1"/>
  <c r="S96" i="1"/>
  <c r="G96" i="5" s="1"/>
  <c r="BH96" i="1"/>
  <c r="BC96" i="3"/>
  <c r="BM96" i="3" s="1"/>
  <c r="BH117" i="1"/>
  <c r="J117" i="1"/>
  <c r="CD117" i="1" s="1"/>
  <c r="AI117" i="1"/>
  <c r="S117" i="5" s="1"/>
  <c r="U117" i="5" s="1"/>
  <c r="K51" i="1"/>
  <c r="BH51" i="1"/>
  <c r="X51" i="1"/>
  <c r="Z51" i="1" s="1"/>
  <c r="BE139" i="1"/>
  <c r="AN93" i="1"/>
  <c r="BZ93" i="1"/>
  <c r="K118" i="1"/>
  <c r="BH118" i="1"/>
  <c r="S118" i="1"/>
  <c r="U118" i="1" s="1"/>
  <c r="AB155" i="1"/>
  <c r="AV71" i="3"/>
  <c r="AV126" i="3"/>
  <c r="AN126" i="1"/>
  <c r="BZ85" i="1"/>
  <c r="CD106" i="1"/>
  <c r="AQ36" i="1"/>
  <c r="BZ36" i="1"/>
  <c r="L36" i="1"/>
  <c r="BE183" i="1"/>
  <c r="BH183" i="1"/>
  <c r="BH125" i="1"/>
  <c r="BE125" i="3"/>
  <c r="BL125" i="3" s="1"/>
  <c r="BE72" i="3"/>
  <c r="BL72" i="3" s="1"/>
  <c r="BH72" i="1"/>
  <c r="S72" i="1"/>
  <c r="U72" i="1" s="1"/>
  <c r="BH64" i="1"/>
  <c r="BE64" i="3"/>
  <c r="BL64" i="3" s="1"/>
  <c r="BK37" i="1"/>
  <c r="BZ37" i="1"/>
  <c r="AW51" i="3"/>
  <c r="K139" i="1"/>
  <c r="BQ61" i="1"/>
  <c r="BE118" i="3"/>
  <c r="BL118" i="3" s="1"/>
  <c r="W126" i="1"/>
  <c r="BE125" i="1"/>
  <c r="BE61" i="1"/>
  <c r="BE61" i="3"/>
  <c r="BL61" i="3" s="1"/>
  <c r="BH126" i="1"/>
  <c r="J126" i="1"/>
  <c r="CD126" i="1" s="1"/>
  <c r="BH138" i="1"/>
  <c r="BE138" i="3"/>
  <c r="BL138" i="3" s="1"/>
  <c r="BH142" i="1"/>
  <c r="AQ147" i="1"/>
  <c r="AZ50" i="1"/>
  <c r="BH42" i="1"/>
  <c r="AN113" i="1"/>
  <c r="AW120" i="3"/>
  <c r="BQ124" i="1"/>
  <c r="BN124" i="1" s="1"/>
  <c r="L188" i="1"/>
  <c r="BQ9" i="1"/>
  <c r="BN9" i="1" s="1"/>
  <c r="BE7" i="3"/>
  <c r="BL7" i="3" s="1"/>
  <c r="BQ143" i="1"/>
  <c r="BN143" i="1" s="1"/>
  <c r="BQ39" i="1"/>
  <c r="BN4" i="1"/>
  <c r="BQ133" i="1"/>
  <c r="BH22" i="1"/>
  <c r="BQ129" i="1"/>
  <c r="AW106" i="3"/>
  <c r="AW68" i="3"/>
  <c r="AW168" i="3"/>
  <c r="BQ90" i="1"/>
  <c r="AW131" i="3"/>
  <c r="BZ131" i="1"/>
  <c r="BK138" i="1"/>
  <c r="AN199" i="1"/>
  <c r="AN60" i="1"/>
  <c r="BQ66" i="1"/>
  <c r="BN66" i="1" s="1"/>
  <c r="BQ134" i="1"/>
  <c r="BQ26" i="1"/>
  <c r="AW17" i="3"/>
  <c r="AV32" i="3"/>
  <c r="BZ155" i="1"/>
  <c r="BQ80" i="1"/>
  <c r="BN80" i="1" s="1"/>
  <c r="AV158" i="3"/>
  <c r="BE134" i="3"/>
  <c r="BL134" i="3" s="1"/>
  <c r="AV89" i="3"/>
  <c r="BQ202" i="1"/>
  <c r="BQ200" i="1"/>
  <c r="AW15" i="3"/>
  <c r="S190" i="1"/>
  <c r="Q42" i="1"/>
  <c r="R42" i="1" s="1"/>
  <c r="BN120" i="1"/>
  <c r="AW118" i="3"/>
  <c r="BK147" i="1"/>
  <c r="AI105" i="1"/>
  <c r="AM105" i="1" s="1"/>
  <c r="Q38" i="1"/>
  <c r="R38" i="1" s="1"/>
  <c r="BE83" i="3"/>
  <c r="BL83" i="3" s="1"/>
  <c r="AV3" i="3"/>
  <c r="AV55" i="3"/>
  <c r="AV74" i="3"/>
  <c r="BQ125" i="1"/>
  <c r="Q50" i="1"/>
  <c r="BQ96" i="1"/>
  <c r="BH10" i="1"/>
  <c r="AV5" i="3"/>
  <c r="BQ20" i="1"/>
  <c r="BN20" i="1" s="1"/>
  <c r="AV59" i="3"/>
  <c r="AV93" i="3"/>
  <c r="BE42" i="3"/>
  <c r="BL42" i="3" s="1"/>
  <c r="AV193" i="3"/>
  <c r="AW33" i="3"/>
  <c r="J208" i="1"/>
  <c r="CD208" i="1" s="1"/>
  <c r="AP203" i="1"/>
  <c r="AB203" i="5" s="1"/>
  <c r="BD107" i="1"/>
  <c r="AP10" i="1"/>
  <c r="BQ53" i="1"/>
  <c r="BN53" i="1" s="1"/>
  <c r="BQ123" i="1"/>
  <c r="BN123" i="1" s="1"/>
  <c r="BQ114" i="1"/>
  <c r="BZ173" i="1"/>
  <c r="X50" i="1"/>
  <c r="AA50" i="1" s="1"/>
  <c r="AW83" i="3"/>
  <c r="BQ146" i="1"/>
  <c r="BQ22" i="1"/>
  <c r="BN22" i="1" s="1"/>
  <c r="BQ185" i="1"/>
  <c r="BQ163" i="1"/>
  <c r="BN163" i="1" s="1"/>
  <c r="BZ95" i="1"/>
  <c r="BQ28" i="1"/>
  <c r="BN28" i="1" s="1"/>
  <c r="BQ142" i="1"/>
  <c r="BN142" i="1" s="1"/>
  <c r="BQ154" i="1"/>
  <c r="BN154" i="1" s="1"/>
  <c r="J190" i="1"/>
  <c r="CD190" i="1" s="1"/>
  <c r="BH206" i="1"/>
  <c r="BH38" i="1"/>
  <c r="AV97" i="3"/>
  <c r="BQ148" i="1"/>
  <c r="BN148" i="1" s="1"/>
  <c r="BZ125" i="1"/>
  <c r="AV60" i="3"/>
  <c r="BZ117" i="1"/>
  <c r="AW58" i="3"/>
  <c r="BC88" i="3"/>
  <c r="BM88" i="3" s="1"/>
  <c r="AW100" i="3"/>
  <c r="BQ35" i="1"/>
  <c r="AW107" i="3"/>
  <c r="BZ183" i="1"/>
  <c r="BE50" i="3"/>
  <c r="BL50" i="3" s="1"/>
  <c r="AW130" i="3"/>
  <c r="BZ172" i="1"/>
  <c r="BQ191" i="1"/>
  <c r="BN191" i="1" s="1"/>
  <c r="BZ4" i="1"/>
  <c r="BQ62" i="1"/>
  <c r="AW35" i="3"/>
  <c r="BQ207" i="1"/>
  <c r="BN207" i="1" s="1"/>
  <c r="BZ86" i="1"/>
  <c r="S42" i="1"/>
  <c r="T42" i="1" s="1"/>
  <c r="AV63" i="3"/>
  <c r="BH188" i="1"/>
  <c r="L197" i="1"/>
  <c r="BQ49" i="1"/>
  <c r="J42" i="1"/>
  <c r="AZ42" i="1" s="1"/>
  <c r="BH88" i="1"/>
  <c r="AW47" i="3"/>
  <c r="BQ47" i="1"/>
  <c r="BN47" i="1" s="1"/>
  <c r="BC42" i="3"/>
  <c r="BM42" i="3" s="1"/>
  <c r="BQ23" i="1"/>
  <c r="BQ37" i="1"/>
  <c r="AQ88" i="1"/>
  <c r="BQ208" i="1"/>
  <c r="BQ150" i="1"/>
  <c r="BN150" i="1" s="1"/>
  <c r="BQ81" i="1"/>
  <c r="BN81" i="1" s="1"/>
  <c r="BQ76" i="1"/>
  <c r="BN76" i="1" s="1"/>
  <c r="AW40" i="3"/>
  <c r="AW71" i="3"/>
  <c r="AP88" i="1"/>
  <c r="AB88" i="5" s="1"/>
  <c r="BZ90" i="1"/>
  <c r="BZ12" i="1"/>
  <c r="AV155" i="3"/>
  <c r="BE135" i="1"/>
  <c r="AN110" i="1"/>
  <c r="AV121" i="3"/>
  <c r="AV87" i="3"/>
  <c r="AJ77" i="1"/>
  <c r="T207" i="1"/>
  <c r="BD95" i="1"/>
  <c r="AQ110" i="1"/>
  <c r="BE74" i="1"/>
  <c r="AV12" i="3"/>
  <c r="AV95" i="3"/>
  <c r="S188" i="5"/>
  <c r="V188" i="5" s="1"/>
  <c r="AL111" i="1"/>
  <c r="AN40" i="1"/>
  <c r="AN156" i="1"/>
  <c r="AV17" i="3"/>
  <c r="AV111" i="3"/>
  <c r="AA95" i="1"/>
  <c r="AW74" i="3"/>
  <c r="AV135" i="3"/>
  <c r="AW135" i="3"/>
  <c r="BH194" i="1"/>
  <c r="AV164" i="3"/>
  <c r="V120" i="1"/>
  <c r="AV84" i="3"/>
  <c r="AJ114" i="1"/>
  <c r="AV82" i="3"/>
  <c r="BZ143" i="1"/>
  <c r="AJ125" i="1"/>
  <c r="AV40" i="3"/>
  <c r="BZ100" i="1"/>
  <c r="Q171" i="1"/>
  <c r="R171" i="1" s="1"/>
  <c r="J194" i="1"/>
  <c r="AZ194" i="1" s="1"/>
  <c r="M188" i="1"/>
  <c r="BE148" i="1"/>
  <c r="V10" i="1"/>
  <c r="AV173" i="3"/>
  <c r="AV187" i="3"/>
  <c r="AN44" i="1"/>
  <c r="BD14" i="1"/>
  <c r="O27" i="5"/>
  <c r="R27" i="5" s="1"/>
  <c r="S97" i="5"/>
  <c r="T97" i="5" s="1"/>
  <c r="AV191" i="3"/>
  <c r="BD7" i="1"/>
  <c r="CA108" i="1"/>
  <c r="AB164" i="1"/>
  <c r="AV154" i="3"/>
  <c r="AV96" i="3"/>
  <c r="AV132" i="3"/>
  <c r="U151" i="1"/>
  <c r="AK66" i="1"/>
  <c r="U92" i="1"/>
  <c r="AN97" i="1"/>
  <c r="Z122" i="1"/>
  <c r="AA89" i="1"/>
  <c r="AV7" i="3"/>
  <c r="AV48" i="3"/>
  <c r="BZ30" i="1"/>
  <c r="U127" i="1"/>
  <c r="AL53" i="1"/>
  <c r="AN147" i="1"/>
  <c r="AV37" i="3"/>
  <c r="AV41" i="3"/>
  <c r="AV19" i="3"/>
  <c r="T38" i="1"/>
  <c r="AJ111" i="1"/>
  <c r="AB165" i="1"/>
  <c r="AB188" i="1"/>
  <c r="Z153" i="1"/>
  <c r="AB23" i="1"/>
  <c r="BK19" i="1"/>
  <c r="Z173" i="1"/>
  <c r="BZ94" i="1"/>
  <c r="Y23" i="1"/>
  <c r="AV115" i="3"/>
  <c r="BZ111" i="1"/>
  <c r="Z95" i="1"/>
  <c r="AV64" i="3"/>
  <c r="U65" i="1"/>
  <c r="AV128" i="3"/>
  <c r="AV189" i="3"/>
  <c r="AV35" i="3"/>
  <c r="S111" i="5"/>
  <c r="AB201" i="1"/>
  <c r="AB133" i="1"/>
  <c r="BZ80" i="1"/>
  <c r="AA71" i="1"/>
  <c r="AV2" i="3"/>
  <c r="AV112" i="3"/>
  <c r="Y132" i="1"/>
  <c r="Y95" i="1"/>
  <c r="AV8" i="3"/>
  <c r="V199" i="5"/>
  <c r="AK11" i="1"/>
  <c r="Z201" i="1"/>
  <c r="BZ42" i="1"/>
  <c r="AV31" i="3"/>
  <c r="AV124" i="3"/>
  <c r="AA158" i="1"/>
  <c r="AV39" i="3"/>
  <c r="AV117" i="3"/>
  <c r="AV116" i="3"/>
  <c r="S135" i="5"/>
  <c r="I120" i="5"/>
  <c r="AK164" i="1"/>
  <c r="G36" i="5"/>
  <c r="T139" i="1"/>
  <c r="BZ106" i="1"/>
  <c r="Y84" i="1"/>
  <c r="S189" i="5"/>
  <c r="T189" i="5" s="1"/>
  <c r="S38" i="5"/>
  <c r="V38" i="5" s="1"/>
  <c r="AL135" i="1"/>
  <c r="G69" i="5"/>
  <c r="H69" i="5" s="1"/>
  <c r="S6" i="5"/>
  <c r="U6" i="5" s="1"/>
  <c r="AB132" i="1"/>
  <c r="AN198" i="1"/>
  <c r="Y121" i="1"/>
  <c r="AH171" i="1"/>
  <c r="AM17" i="1"/>
  <c r="V118" i="1"/>
  <c r="AA132" i="1"/>
  <c r="AV49" i="3"/>
  <c r="BZ16" i="1"/>
  <c r="AV119" i="3"/>
  <c r="M190" i="1"/>
  <c r="AV162" i="3"/>
  <c r="J250" i="5"/>
  <c r="Z121" i="1"/>
  <c r="Y110" i="1"/>
  <c r="K153" i="5"/>
  <c r="N153" i="5" s="1"/>
  <c r="K23" i="5"/>
  <c r="N23" i="5" s="1"/>
  <c r="AJ83" i="1"/>
  <c r="AL83" i="1"/>
  <c r="AK83" i="1"/>
  <c r="BH150" i="1"/>
  <c r="BZ89" i="1"/>
  <c r="AW183" i="3"/>
  <c r="T71" i="1"/>
  <c r="AP205" i="1"/>
  <c r="AB205" i="5" s="1"/>
  <c r="AL188" i="1"/>
  <c r="BE189" i="3"/>
  <c r="BL189" i="3" s="1"/>
  <c r="AI204" i="1"/>
  <c r="S204" i="5" s="1"/>
  <c r="BF118" i="1"/>
  <c r="N268" i="5"/>
  <c r="J125" i="1"/>
  <c r="AZ125" i="1" s="1"/>
  <c r="AP125" i="1"/>
  <c r="AB125" i="5" s="1"/>
  <c r="BD96" i="1"/>
  <c r="AP32" i="1"/>
  <c r="AB32" i="5" s="1"/>
  <c r="J8" i="1"/>
  <c r="S8" i="1"/>
  <c r="T8" i="1" s="1"/>
  <c r="Z66" i="1"/>
  <c r="Y66" i="1"/>
  <c r="BZ141" i="1"/>
  <c r="BZ50" i="1"/>
  <c r="BE30" i="1"/>
  <c r="AW115" i="3"/>
  <c r="AV118" i="3"/>
  <c r="BZ149" i="1"/>
  <c r="K79" i="1"/>
  <c r="S79" i="1"/>
  <c r="U79" i="1" s="1"/>
  <c r="BQ101" i="1"/>
  <c r="AB158" i="1"/>
  <c r="BE53" i="3"/>
  <c r="BL53" i="3" s="1"/>
  <c r="AI195" i="1"/>
  <c r="S53" i="1"/>
  <c r="G53" i="5" s="1"/>
  <c r="I53" i="5" s="1"/>
  <c r="BQ128" i="1"/>
  <c r="AW140" i="3"/>
  <c r="AW160" i="3"/>
  <c r="AV192" i="3"/>
  <c r="BH19" i="1"/>
  <c r="AW204" i="3"/>
  <c r="G202" i="5"/>
  <c r="I202" i="5" s="1"/>
  <c r="AP132" i="1"/>
  <c r="AB132" i="5" s="1"/>
  <c r="G37" i="5"/>
  <c r="J37" i="5" s="1"/>
  <c r="J19" i="1"/>
  <c r="CD19" i="1" s="1"/>
  <c r="J66" i="1"/>
  <c r="AP208" i="1"/>
  <c r="AB208" i="5" s="1"/>
  <c r="AJ55" i="1"/>
  <c r="BZ83" i="1"/>
  <c r="AP97" i="1"/>
  <c r="AB97" i="5" s="1"/>
  <c r="BH97" i="1"/>
  <c r="AN119" i="1"/>
  <c r="K19" i="1"/>
  <c r="BG169" i="1"/>
  <c r="BE162" i="1"/>
  <c r="BU162" i="1" s="1"/>
  <c r="BH162" i="1"/>
  <c r="BK25" i="1"/>
  <c r="K19" i="5"/>
  <c r="L19" i="5" s="1"/>
  <c r="AB19" i="1"/>
  <c r="K73" i="5"/>
  <c r="AB73" i="1"/>
  <c r="G108" i="5"/>
  <c r="J108" i="5" s="1"/>
  <c r="V108" i="1"/>
  <c r="BD19" i="1"/>
  <c r="AQ162" i="1"/>
  <c r="BH116" i="1"/>
  <c r="S116" i="1"/>
  <c r="BK46" i="1"/>
  <c r="AP162" i="1"/>
  <c r="AB162" i="5" s="1"/>
  <c r="Z118" i="1"/>
  <c r="Z73" i="1"/>
  <c r="BZ3" i="1"/>
  <c r="AN8" i="1"/>
  <c r="BK8" i="1"/>
  <c r="BH46" i="1"/>
  <c r="AM95" i="1"/>
  <c r="S95" i="5"/>
  <c r="U95" i="5" s="1"/>
  <c r="AP160" i="1"/>
  <c r="AB160" i="5" s="1"/>
  <c r="BE160" i="1"/>
  <c r="BE160" i="3"/>
  <c r="BL160" i="3" s="1"/>
  <c r="AI160" i="1"/>
  <c r="S160" i="5" s="1"/>
  <c r="U160" i="5" s="1"/>
  <c r="AV43" i="3"/>
  <c r="U20" i="1"/>
  <c r="K27" i="1"/>
  <c r="BE27" i="3"/>
  <c r="BL27" i="3" s="1"/>
  <c r="AM193" i="1"/>
  <c r="AL193" i="1"/>
  <c r="T109" i="1"/>
  <c r="AN58" i="1"/>
  <c r="AP150" i="1"/>
  <c r="AB150" i="5" s="1"/>
  <c r="AP197" i="1"/>
  <c r="K172" i="1"/>
  <c r="BE172" i="3"/>
  <c r="BL172" i="3" s="1"/>
  <c r="S26" i="1"/>
  <c r="T26" i="1" s="1"/>
  <c r="BH11" i="1"/>
  <c r="BH15" i="1"/>
  <c r="BH157" i="1"/>
  <c r="AW53" i="3"/>
  <c r="BD157" i="1"/>
  <c r="BE19" i="3"/>
  <c r="BL19" i="3" s="1"/>
  <c r="BH115" i="1"/>
  <c r="BE132" i="3"/>
  <c r="BL132" i="3" s="1"/>
  <c r="BZ159" i="1"/>
  <c r="BE113" i="1"/>
  <c r="BD153" i="1"/>
  <c r="AV86" i="3"/>
  <c r="BZ60" i="1"/>
  <c r="AP112" i="1"/>
  <c r="AB112" i="5" s="1"/>
  <c r="K112" i="1"/>
  <c r="AV56" i="3"/>
  <c r="BZ134" i="1"/>
  <c r="Z41" i="1"/>
  <c r="AA41" i="1"/>
  <c r="BE20" i="3"/>
  <c r="BL20" i="3" s="1"/>
  <c r="BQ33" i="1"/>
  <c r="BN33" i="1" s="1"/>
  <c r="AV76" i="3"/>
  <c r="BQ131" i="1"/>
  <c r="BN131" i="1" s="1"/>
  <c r="G10" i="5"/>
  <c r="U10" i="1"/>
  <c r="U206" i="1"/>
  <c r="AN72" i="1"/>
  <c r="AP83" i="1"/>
  <c r="AB83" i="5" s="1"/>
  <c r="BE53" i="1"/>
  <c r="BD55" i="1"/>
  <c r="AP55" i="1"/>
  <c r="AB55" i="5" s="1"/>
  <c r="Z99" i="1"/>
  <c r="BZ139" i="1"/>
  <c r="BE151" i="3"/>
  <c r="BL151" i="3" s="1"/>
  <c r="BE141" i="1"/>
  <c r="AP141" i="1"/>
  <c r="AB141" i="5" s="1"/>
  <c r="T20" i="1"/>
  <c r="Y200" i="1"/>
  <c r="AB200" i="1"/>
  <c r="AM114" i="1"/>
  <c r="BH26" i="1"/>
  <c r="J155" i="1"/>
  <c r="AW219" i="3"/>
  <c r="J150" i="1"/>
  <c r="AJ193" i="1"/>
  <c r="BK49" i="1"/>
  <c r="BZ49" i="1"/>
  <c r="BE198" i="1"/>
  <c r="J198" i="1"/>
  <c r="CD198" i="1" s="1"/>
  <c r="Q102" i="1"/>
  <c r="BE102" i="1"/>
  <c r="AP102" i="1"/>
  <c r="AB102" i="5" s="1"/>
  <c r="AW155" i="3"/>
  <c r="BZ17" i="1"/>
  <c r="K135" i="1"/>
  <c r="BH154" i="1"/>
  <c r="AP31" i="1"/>
  <c r="AB31" i="5" s="1"/>
  <c r="AV120" i="3"/>
  <c r="BH144" i="1"/>
  <c r="AV145" i="3"/>
  <c r="J53" i="1"/>
  <c r="CD53" i="1" s="1"/>
  <c r="BH153" i="1"/>
  <c r="S64" i="1"/>
  <c r="G64" i="5" s="1"/>
  <c r="I64" i="5" s="1"/>
  <c r="AI20" i="1"/>
  <c r="AJ20" i="1" s="1"/>
  <c r="AW202" i="3"/>
  <c r="AQ70" i="1"/>
  <c r="BS70" i="1" s="1"/>
  <c r="AG43" i="1"/>
  <c r="AE43" i="1"/>
  <c r="AW195" i="3"/>
  <c r="J197" i="1"/>
  <c r="BU197" i="1" s="1"/>
  <c r="BD159" i="1"/>
  <c r="T65" i="1"/>
  <c r="BZ133" i="1"/>
  <c r="BZ35" i="1"/>
  <c r="W142" i="1"/>
  <c r="BH164" i="1"/>
  <c r="BC192" i="3"/>
  <c r="BM192" i="3" s="1"/>
  <c r="BK89" i="1"/>
  <c r="BE140" i="1"/>
  <c r="BU140" i="1" s="1"/>
  <c r="AN71" i="1"/>
  <c r="BK71" i="1"/>
  <c r="BD21" i="1"/>
  <c r="J21" i="1"/>
  <c r="AZ21" i="1" s="1"/>
  <c r="BE21" i="3"/>
  <c r="BL21" i="3" s="1"/>
  <c r="BK169" i="1"/>
  <c r="BZ169" i="1"/>
  <c r="BD102" i="1"/>
  <c r="BL295" i="3"/>
  <c r="J254" i="5" s="1"/>
  <c r="AI128" i="1"/>
  <c r="AM128" i="1" s="1"/>
  <c r="BE128" i="1"/>
  <c r="BU128" i="1" s="1"/>
  <c r="L42" i="1"/>
  <c r="AI31" i="1"/>
  <c r="S31" i="5" s="1"/>
  <c r="X53" i="1"/>
  <c r="AA53" i="1" s="1"/>
  <c r="AW101" i="3"/>
  <c r="AQ74" i="1"/>
  <c r="BS74" i="1" s="1"/>
  <c r="K74" i="1"/>
  <c r="AP74" i="1"/>
  <c r="AB74" i="5" s="1"/>
  <c r="BE48" i="3"/>
  <c r="BL48" i="3" s="1"/>
  <c r="L80" i="1"/>
  <c r="K120" i="5"/>
  <c r="M120" i="5" s="1"/>
  <c r="AJ117" i="1"/>
  <c r="AW186" i="3"/>
  <c r="X27" i="1"/>
  <c r="Z27" i="1" s="1"/>
  <c r="AV23" i="3"/>
  <c r="S68" i="5"/>
  <c r="BH71" i="1"/>
  <c r="AW77" i="3"/>
  <c r="AZ162" i="1"/>
  <c r="BK96" i="1"/>
  <c r="BZ96" i="1"/>
  <c r="BE21" i="1"/>
  <c r="AN191" i="1"/>
  <c r="AN80" i="1"/>
  <c r="AP128" i="1"/>
  <c r="AB128" i="5" s="1"/>
  <c r="BZ78" i="1"/>
  <c r="BD30" i="1"/>
  <c r="BE78" i="1"/>
  <c r="U4" i="1"/>
  <c r="G4" i="5"/>
  <c r="I4" i="5" s="1"/>
  <c r="V4" i="1"/>
  <c r="S141" i="5"/>
  <c r="V141" i="5" s="1"/>
  <c r="AM141" i="1"/>
  <c r="V77" i="1"/>
  <c r="Q101" i="1"/>
  <c r="R101" i="1" s="1"/>
  <c r="K101" i="1"/>
  <c r="Z200" i="1"/>
  <c r="J154" i="1"/>
  <c r="BF154" i="1" s="1"/>
  <c r="J110" i="1"/>
  <c r="AZ110" i="1" s="1"/>
  <c r="AP78" i="1"/>
  <c r="AB78" i="5" s="1"/>
  <c r="W65" i="1"/>
  <c r="BZ116" i="1"/>
  <c r="J89" i="1"/>
  <c r="AI89" i="1"/>
  <c r="AK89" i="1" s="1"/>
  <c r="AV110" i="3"/>
  <c r="AW141" i="3"/>
  <c r="AZ44" i="1"/>
  <c r="J151" i="1"/>
  <c r="CD151" i="1" s="1"/>
  <c r="G67" i="5"/>
  <c r="H67" i="5" s="1"/>
  <c r="T67" i="1"/>
  <c r="AV152" i="3"/>
  <c r="BQ136" i="1"/>
  <c r="BN136" i="1" s="1"/>
  <c r="BH197" i="1"/>
  <c r="BH85" i="1"/>
  <c r="BN74" i="1"/>
  <c r="BH27" i="1"/>
  <c r="AV140" i="3"/>
  <c r="BQ116" i="1"/>
  <c r="BN116" i="1" s="1"/>
  <c r="BH208" i="1"/>
  <c r="AW172" i="3"/>
  <c r="S208" i="1"/>
  <c r="V208" i="1" s="1"/>
  <c r="AM14" i="1"/>
  <c r="AJ14" i="1"/>
  <c r="BZ119" i="1"/>
  <c r="AJ10" i="1"/>
  <c r="BE25" i="1"/>
  <c r="BG162" i="1"/>
  <c r="BP162" i="1" s="1" a="1"/>
  <c r="BP162" i="1" s="1"/>
  <c r="CD118" i="1"/>
  <c r="AJ63" i="1"/>
  <c r="S52" i="5"/>
  <c r="T52" i="5" s="1"/>
  <c r="BK158" i="1"/>
  <c r="BZ158" i="1"/>
  <c r="AN84" i="1"/>
  <c r="BZ84" i="1"/>
  <c r="BE170" i="1"/>
  <c r="BH170" i="1"/>
  <c r="BK7" i="1"/>
  <c r="AN7" i="1"/>
  <c r="K186" i="1"/>
  <c r="J186" i="1"/>
  <c r="AZ186" i="1" s="1"/>
  <c r="BD23" i="1"/>
  <c r="K158" i="5"/>
  <c r="N158" i="5" s="1"/>
  <c r="Y158" i="1"/>
  <c r="BH92" i="1"/>
  <c r="AW30" i="3"/>
  <c r="U9" i="1"/>
  <c r="G9" i="5"/>
  <c r="H9" i="5" s="1"/>
  <c r="T9" i="1"/>
  <c r="AV30" i="3"/>
  <c r="J11" i="1"/>
  <c r="BF11" i="1" s="1"/>
  <c r="K34" i="5"/>
  <c r="L34" i="5" s="1"/>
  <c r="Z34" i="1"/>
  <c r="AV70" i="3"/>
  <c r="AV16" i="3"/>
  <c r="K155" i="1"/>
  <c r="BH101" i="1"/>
  <c r="G183" i="5"/>
  <c r="J183" i="5" s="1"/>
  <c r="BE126" i="3"/>
  <c r="BL126" i="3" s="1"/>
  <c r="J144" i="1"/>
  <c r="BU144" i="1" s="1"/>
  <c r="K159" i="1"/>
  <c r="BH159" i="1"/>
  <c r="BQ21" i="1"/>
  <c r="Z24" i="1"/>
  <c r="AA24" i="1"/>
  <c r="AA77" i="1"/>
  <c r="Y77" i="1"/>
  <c r="J92" i="1"/>
  <c r="AZ92" i="1" s="1"/>
  <c r="BH78" i="1"/>
  <c r="J78" i="1"/>
  <c r="AZ78" i="1" s="1"/>
  <c r="AI154" i="1"/>
  <c r="AL154" i="1" s="1"/>
  <c r="BQ15" i="1"/>
  <c r="BH141" i="1"/>
  <c r="BQ42" i="1"/>
  <c r="AI115" i="1"/>
  <c r="S115" i="5" s="1"/>
  <c r="T115" i="5" s="1"/>
  <c r="AZ184" i="1"/>
  <c r="BZ79" i="1"/>
  <c r="AN141" i="1"/>
  <c r="AE88" i="1"/>
  <c r="O88" i="5"/>
  <c r="AQ144" i="1"/>
  <c r="BZ72" i="1"/>
  <c r="BZ8" i="1"/>
  <c r="U27" i="1"/>
  <c r="BH160" i="1"/>
  <c r="BQ36" i="1"/>
  <c r="S183" i="5"/>
  <c r="V183" i="5" s="1"/>
  <c r="BH166" i="1"/>
  <c r="AP166" i="1"/>
  <c r="AB166" i="5" s="1"/>
  <c r="U133" i="1"/>
  <c r="BQ40" i="1"/>
  <c r="BN40" i="1" s="1"/>
  <c r="BQ201" i="1"/>
  <c r="BN201" i="1" s="1"/>
  <c r="AJ188" i="1"/>
  <c r="AP25" i="1"/>
  <c r="AB25" i="5" s="1"/>
  <c r="G136" i="5"/>
  <c r="I136" i="5" s="1"/>
  <c r="V136" i="1"/>
  <c r="K131" i="1"/>
  <c r="BE131" i="1"/>
  <c r="BU131" i="1" s="1"/>
  <c r="K91" i="5"/>
  <c r="N91" i="5" s="1"/>
  <c r="Y91" i="1"/>
  <c r="Z91" i="1"/>
  <c r="BQ188" i="1"/>
  <c r="BQ153" i="1"/>
  <c r="BQ52" i="1"/>
  <c r="AW38" i="3"/>
  <c r="AV143" i="3"/>
  <c r="AV138" i="3"/>
  <c r="BQ108" i="1"/>
  <c r="BN108" i="1" s="1"/>
  <c r="AW123" i="3"/>
  <c r="AW65" i="3"/>
  <c r="AV57" i="3"/>
  <c r="BQ89" i="1"/>
  <c r="BQ94" i="1"/>
  <c r="BN94" i="1" s="1"/>
  <c r="AW18" i="3"/>
  <c r="AW231" i="3"/>
  <c r="BK160" i="1"/>
  <c r="BZ101" i="1"/>
  <c r="AQ12" i="1"/>
  <c r="BS12" i="1" s="1"/>
  <c r="Z23" i="1"/>
  <c r="K171" i="1"/>
  <c r="AW52" i="3"/>
  <c r="BQ82" i="1"/>
  <c r="BN82" i="1" s="1"/>
  <c r="AW133" i="3"/>
  <c r="AW114" i="3"/>
  <c r="AW89" i="3"/>
  <c r="AV165" i="3"/>
  <c r="BK99" i="1"/>
  <c r="AQ100" i="1"/>
  <c r="BZ33" i="1"/>
  <c r="BQ162" i="1"/>
  <c r="BN162" i="1" s="1"/>
  <c r="AN62" i="1"/>
  <c r="K201" i="5"/>
  <c r="M194" i="1"/>
  <c r="L194" i="1"/>
  <c r="M67" i="5"/>
  <c r="N67" i="5"/>
  <c r="L114" i="5"/>
  <c r="N114" i="5"/>
  <c r="M114" i="5"/>
  <c r="BZ136" i="1"/>
  <c r="L136" i="1"/>
  <c r="AK92" i="1"/>
  <c r="AJ92" i="1"/>
  <c r="U146" i="1"/>
  <c r="G146" i="5"/>
  <c r="I146" i="5" s="1"/>
  <c r="BH207" i="1"/>
  <c r="AP207" i="1"/>
  <c r="AB207" i="5" s="1"/>
  <c r="W76" i="1"/>
  <c r="U76" i="1"/>
  <c r="BF129" i="1"/>
  <c r="BG129" i="1"/>
  <c r="AZ129" i="1"/>
  <c r="BK188" i="1"/>
  <c r="AN188" i="1"/>
  <c r="AW31" i="3"/>
  <c r="W80" i="1"/>
  <c r="G80" i="5"/>
  <c r="H80" i="5" s="1"/>
  <c r="AV79" i="3"/>
  <c r="BG42" i="1"/>
  <c r="BF42" i="1"/>
  <c r="AL195" i="1"/>
  <c r="AJ195" i="1"/>
  <c r="W166" i="1"/>
  <c r="T166" i="1"/>
  <c r="U166" i="1"/>
  <c r="L142" i="1"/>
  <c r="BZ142" i="1"/>
  <c r="T87" i="1"/>
  <c r="G87" i="5"/>
  <c r="I87" i="5" s="1"/>
  <c r="W87" i="1"/>
  <c r="G200" i="5"/>
  <c r="V200" i="1"/>
  <c r="T200" i="1"/>
  <c r="AW149" i="3"/>
  <c r="K189" i="5"/>
  <c r="L189" i="5" s="1"/>
  <c r="Z189" i="1"/>
  <c r="T46" i="1"/>
  <c r="U47" i="1"/>
  <c r="W47" i="1"/>
  <c r="AV72" i="3"/>
  <c r="CD42" i="1"/>
  <c r="O197" i="5"/>
  <c r="R197" i="5" s="1"/>
  <c r="AG197" i="1"/>
  <c r="O208" i="5"/>
  <c r="P208" i="5" s="1"/>
  <c r="AG208" i="1"/>
  <c r="AH208" i="1"/>
  <c r="AE208" i="1"/>
  <c r="AF208" i="1"/>
  <c r="BF65" i="1"/>
  <c r="CD65" i="1"/>
  <c r="K77" i="1"/>
  <c r="BH77" i="1"/>
  <c r="BK47" i="1"/>
  <c r="AN47" i="1"/>
  <c r="CA55" i="1"/>
  <c r="BK55" i="1"/>
  <c r="AN55" i="1"/>
  <c r="BZ55" i="1"/>
  <c r="AJ26" i="1"/>
  <c r="AL26" i="1"/>
  <c r="AK26" i="1"/>
  <c r="M185" i="1"/>
  <c r="L185" i="1"/>
  <c r="BF5" i="1"/>
  <c r="AZ5" i="1"/>
  <c r="BK194" i="1"/>
  <c r="AN194" i="1"/>
  <c r="AM88" i="1"/>
  <c r="S88" i="5"/>
  <c r="V88" i="5" s="1"/>
  <c r="AJ88" i="1"/>
  <c r="BZ194" i="1"/>
  <c r="O52" i="5"/>
  <c r="Q52" i="5" s="1"/>
  <c r="AH52" i="1"/>
  <c r="AG52" i="1"/>
  <c r="AE52" i="1"/>
  <c r="AF52" i="1"/>
  <c r="U34" i="1"/>
  <c r="W34" i="1"/>
  <c r="AM126" i="1"/>
  <c r="AJ126" i="1"/>
  <c r="S126" i="5"/>
  <c r="V126" i="5" s="1"/>
  <c r="L110" i="1"/>
  <c r="BZ110" i="1"/>
  <c r="K62" i="5"/>
  <c r="N62" i="5" s="1"/>
  <c r="Y62" i="1"/>
  <c r="G190" i="5"/>
  <c r="I190" i="5" s="1"/>
  <c r="U190" i="1"/>
  <c r="AV13" i="3"/>
  <c r="W189" i="1"/>
  <c r="U189" i="1"/>
  <c r="L13" i="1"/>
  <c r="BZ13" i="1"/>
  <c r="V12" i="1"/>
  <c r="U12" i="1"/>
  <c r="A49" i="5"/>
  <c r="A49" i="14"/>
  <c r="L151" i="1"/>
  <c r="Q43" i="1"/>
  <c r="R43" i="1" s="1"/>
  <c r="S43" i="1"/>
  <c r="T43" i="1" s="1"/>
  <c r="BH43" i="1"/>
  <c r="AP43" i="1"/>
  <c r="AB43" i="5" s="1"/>
  <c r="X43" i="1"/>
  <c r="Z43" i="1" s="1"/>
  <c r="K43" i="1"/>
  <c r="AV15" i="3"/>
  <c r="BE120" i="1"/>
  <c r="BD120" i="1"/>
  <c r="S170" i="5"/>
  <c r="AJ170" i="1"/>
  <c r="BH209" i="1"/>
  <c r="S209" i="1"/>
  <c r="U209" i="1" s="1"/>
  <c r="BF139" i="1"/>
  <c r="BG139" i="1" s="1"/>
  <c r="BP139" i="1" s="1" a="1"/>
  <c r="BP139" i="1" s="1"/>
  <c r="BU139" i="1"/>
  <c r="T130" i="5"/>
  <c r="V130" i="5"/>
  <c r="U130" i="5"/>
  <c r="BH93" i="1"/>
  <c r="BD93" i="1"/>
  <c r="BF70" i="1"/>
  <c r="CD70" i="1"/>
  <c r="BG70" i="1"/>
  <c r="BP70" i="1" s="1" a="1"/>
  <c r="BP70" i="1" s="1"/>
  <c r="BE28" i="1"/>
  <c r="BH28" i="1"/>
  <c r="AL158" i="1"/>
  <c r="AM39" i="1"/>
  <c r="AJ39" i="1"/>
  <c r="AN192" i="1"/>
  <c r="BZ192" i="1"/>
  <c r="AP62" i="1"/>
  <c r="BE62" i="3"/>
  <c r="BL62" i="3" s="1"/>
  <c r="AN140" i="1"/>
  <c r="BD53" i="1"/>
  <c r="K53" i="1"/>
  <c r="BW169" i="1"/>
  <c r="AB141" i="1"/>
  <c r="K151" i="5"/>
  <c r="AA151" i="1"/>
  <c r="Z151" i="1"/>
  <c r="AN56" i="1"/>
  <c r="BE165" i="1"/>
  <c r="BH165" i="1"/>
  <c r="BK93" i="1"/>
  <c r="BE189" i="1"/>
  <c r="K189" i="1"/>
  <c r="J189" i="1"/>
  <c r="AZ189" i="1" s="1"/>
  <c r="J69" i="1"/>
  <c r="BG69" i="1" s="1"/>
  <c r="BP69" i="1" s="1" a="1"/>
  <c r="BP69" i="1" s="1"/>
  <c r="BH69" i="1"/>
  <c r="AA64" i="1"/>
  <c r="AB64" i="1"/>
  <c r="AA38" i="1"/>
  <c r="Z38" i="1"/>
  <c r="AB144" i="1"/>
  <c r="Z144" i="1"/>
  <c r="AN112" i="1"/>
  <c r="BK112" i="1"/>
  <c r="L192" i="1"/>
  <c r="M192" i="1"/>
  <c r="T136" i="5"/>
  <c r="V136" i="5"/>
  <c r="BZ2" i="1"/>
  <c r="AV46" i="3"/>
  <c r="AW113" i="3"/>
  <c r="BE3" i="3"/>
  <c r="BL3" i="3" s="1"/>
  <c r="AV44" i="3"/>
  <c r="AZ97" i="1"/>
  <c r="BH3" i="1"/>
  <c r="L88" i="1"/>
  <c r="Z108" i="1"/>
  <c r="AB108" i="1"/>
  <c r="O43" i="5"/>
  <c r="Q43" i="5" s="1"/>
  <c r="BC45" i="3"/>
  <c r="BM45" i="3" s="1"/>
  <c r="AQ123" i="1"/>
  <c r="BS123" i="1" s="1"/>
  <c r="U136" i="5"/>
  <c r="S167" i="5"/>
  <c r="T167" i="5" s="1"/>
  <c r="AJ167" i="1"/>
  <c r="V38" i="1"/>
  <c r="W84" i="1"/>
  <c r="AL203" i="1"/>
  <c r="AK203" i="1"/>
  <c r="I82" i="5"/>
  <c r="H82" i="5"/>
  <c r="BZ185" i="1"/>
  <c r="G201" i="5"/>
  <c r="I201" i="5" s="1"/>
  <c r="U201" i="1"/>
  <c r="V201" i="1"/>
  <c r="T201" i="1"/>
  <c r="AQ45" i="1"/>
  <c r="BK86" i="1"/>
  <c r="AP81" i="1"/>
  <c r="BE81" i="1"/>
  <c r="K81" i="1"/>
  <c r="J84" i="1"/>
  <c r="CD84" i="1" s="1"/>
  <c r="K84" i="1"/>
  <c r="BE98" i="1"/>
  <c r="BD98" i="1"/>
  <c r="J98" i="1"/>
  <c r="BG98" i="1" s="1"/>
  <c r="AP17" i="1"/>
  <c r="AB17" i="5" s="1"/>
  <c r="Y141" i="1"/>
  <c r="Y64" i="1"/>
  <c r="W155" i="1"/>
  <c r="T155" i="1"/>
  <c r="AN138" i="1"/>
  <c r="BZ138" i="1"/>
  <c r="BZ14" i="1"/>
  <c r="BQ92" i="1"/>
  <c r="BN92" i="1" s="1"/>
  <c r="AV42" i="3"/>
  <c r="AV149" i="3"/>
  <c r="CD188" i="1"/>
  <c r="BK70" i="1"/>
  <c r="BK145" i="1"/>
  <c r="AV83" i="3"/>
  <c r="AQ143" i="1"/>
  <c r="BS143" i="1" s="1"/>
  <c r="BZ27" i="1"/>
  <c r="T199" i="5"/>
  <c r="U38" i="1"/>
  <c r="V142" i="1"/>
  <c r="T142" i="1"/>
  <c r="G142" i="5"/>
  <c r="H142" i="5" s="1"/>
  <c r="T104" i="1"/>
  <c r="G104" i="5"/>
  <c r="I104" i="5" s="1"/>
  <c r="AK34" i="1"/>
  <c r="AW165" i="3"/>
  <c r="AL13" i="1"/>
  <c r="W201" i="1"/>
  <c r="BG185" i="1"/>
  <c r="BP185" i="1" s="1" a="1"/>
  <c r="BP185" i="1" s="1"/>
  <c r="AZ185" i="1"/>
  <c r="AN5" i="1"/>
  <c r="BZ5" i="1"/>
  <c r="CD23" i="1"/>
  <c r="AN49" i="1"/>
  <c r="BF108" i="1"/>
  <c r="BG108" i="1"/>
  <c r="CD108" i="1"/>
  <c r="BF59" i="1"/>
  <c r="CD59" i="1"/>
  <c r="BD199" i="1"/>
  <c r="K199" i="1"/>
  <c r="BE84" i="1"/>
  <c r="BK98" i="1"/>
  <c r="BZ98" i="1"/>
  <c r="AP59" i="1"/>
  <c r="BD59" i="1"/>
  <c r="BE18" i="1"/>
  <c r="J18" i="1"/>
  <c r="BG18" i="1" s="1"/>
  <c r="BP18" i="1" s="1" a="1"/>
  <c r="BP18" i="1" s="1"/>
  <c r="BE18" i="3"/>
  <c r="BL18" i="3" s="1"/>
  <c r="BH18" i="1"/>
  <c r="BZ168" i="1"/>
  <c r="AN168" i="1"/>
  <c r="BK168" i="1"/>
  <c r="AB90" i="1"/>
  <c r="Z90" i="1"/>
  <c r="BD3" i="1"/>
  <c r="AP3" i="1"/>
  <c r="AB3" i="5" s="1"/>
  <c r="W162" i="1"/>
  <c r="G162" i="5"/>
  <c r="H162" i="5" s="1"/>
  <c r="G84" i="5"/>
  <c r="H84" i="5" s="1"/>
  <c r="T84" i="1"/>
  <c r="V84" i="1"/>
  <c r="AV51" i="3"/>
  <c r="AW91" i="3"/>
  <c r="L159" i="1"/>
  <c r="AH43" i="1"/>
  <c r="AL167" i="1"/>
  <c r="AI163" i="1"/>
  <c r="AM163" i="1" s="1"/>
  <c r="V19" i="1"/>
  <c r="W19" i="1"/>
  <c r="AM186" i="1"/>
  <c r="S186" i="5"/>
  <c r="T186" i="5" s="1"/>
  <c r="AK169" i="1"/>
  <c r="AJ169" i="1"/>
  <c r="T101" i="1"/>
  <c r="CA204" i="1"/>
  <c r="AN204" i="1"/>
  <c r="K127" i="1"/>
  <c r="AI127" i="1"/>
  <c r="AL127" i="1" s="1"/>
  <c r="BL322" i="3"/>
  <c r="J295" i="5" s="1"/>
  <c r="BK167" i="1"/>
  <c r="AN81" i="1"/>
  <c r="BZ81" i="1"/>
  <c r="AP199" i="1"/>
  <c r="BK164" i="1"/>
  <c r="AN164" i="1"/>
  <c r="BZ164" i="1"/>
  <c r="BE59" i="1"/>
  <c r="K167" i="1"/>
  <c r="K18" i="1"/>
  <c r="Z17" i="1"/>
  <c r="Y17" i="1"/>
  <c r="AB150" i="1"/>
  <c r="N147" i="5"/>
  <c r="M147" i="5"/>
  <c r="K100" i="1"/>
  <c r="BD100" i="1"/>
  <c r="BE100" i="1"/>
  <c r="BK22" i="1"/>
  <c r="AN88" i="1"/>
  <c r="BK88" i="1"/>
  <c r="BK58" i="1"/>
  <c r="K58" i="1"/>
  <c r="AP114" i="1"/>
  <c r="BD114" i="1"/>
  <c r="J114" i="1"/>
  <c r="BU114" i="1" s="1"/>
  <c r="AA161" i="1"/>
  <c r="K118" i="5"/>
  <c r="AA118" i="1"/>
  <c r="Y118" i="1"/>
  <c r="AB17" i="1"/>
  <c r="Z47" i="1"/>
  <c r="Y47" i="1"/>
  <c r="L40" i="1"/>
  <c r="BZ40" i="1"/>
  <c r="BF128" i="1"/>
  <c r="BG128" i="1"/>
  <c r="BP128" i="1" s="1" a="1"/>
  <c r="BP128" i="1" s="1"/>
  <c r="T18" i="1"/>
  <c r="V18" i="1"/>
  <c r="G18" i="5"/>
  <c r="I18" i="5" s="1"/>
  <c r="K98" i="5"/>
  <c r="AB98" i="1"/>
  <c r="AK133" i="1"/>
  <c r="AL65" i="1"/>
  <c r="S65" i="5"/>
  <c r="V65" i="5" s="1"/>
  <c r="BQ91" i="1"/>
  <c r="BN91" i="1" s="1"/>
  <c r="BZ146" i="1"/>
  <c r="AG51" i="1"/>
  <c r="AB143" i="5"/>
  <c r="BF97" i="1"/>
  <c r="M186" i="1"/>
  <c r="AM133" i="1"/>
  <c r="AL45" i="1"/>
  <c r="V147" i="1"/>
  <c r="G147" i="5"/>
  <c r="H147" i="5" s="1"/>
  <c r="AL136" i="1"/>
  <c r="BK205" i="1"/>
  <c r="K205" i="1"/>
  <c r="G41" i="5"/>
  <c r="H41" i="5" s="1"/>
  <c r="T41" i="1"/>
  <c r="AL129" i="1"/>
  <c r="CA200" i="1"/>
  <c r="BD97" i="1"/>
  <c r="BE83" i="1"/>
  <c r="K83" i="1"/>
  <c r="K86" i="1"/>
  <c r="BD54" i="1"/>
  <c r="K54" i="1"/>
  <c r="BH163" i="1"/>
  <c r="AQ163" i="1"/>
  <c r="K39" i="5"/>
  <c r="N39" i="5" s="1"/>
  <c r="Z39" i="1"/>
  <c r="K10" i="5"/>
  <c r="AA10" i="1"/>
  <c r="AV45" i="3"/>
  <c r="BD63" i="1"/>
  <c r="BK149" i="1"/>
  <c r="AV159" i="3"/>
  <c r="S97" i="1"/>
  <c r="T97" i="1" s="1"/>
  <c r="AP113" i="1"/>
  <c r="AB113" i="5" s="1"/>
  <c r="AW152" i="3"/>
  <c r="AW143" i="3"/>
  <c r="AP147" i="1"/>
  <c r="AB147" i="5" s="1"/>
  <c r="AN159" i="1"/>
  <c r="J45" i="1"/>
  <c r="AZ45" i="1" s="1"/>
  <c r="AM117" i="1"/>
  <c r="BH204" i="1"/>
  <c r="S165" i="5"/>
  <c r="V165" i="5" s="1"/>
  <c r="AJ165" i="1"/>
  <c r="S164" i="1"/>
  <c r="U164" i="1" s="1"/>
  <c r="G89" i="5"/>
  <c r="J89" i="5" s="1"/>
  <c r="T89" i="1"/>
  <c r="AW122" i="3"/>
  <c r="AK185" i="1"/>
  <c r="T37" i="1"/>
  <c r="BE205" i="1"/>
  <c r="AJ87" i="1"/>
  <c r="S87" i="5"/>
  <c r="V87" i="5" s="1"/>
  <c r="AL87" i="1"/>
  <c r="AM129" i="1"/>
  <c r="CD128" i="1"/>
  <c r="BK66" i="1"/>
  <c r="AN66" i="1"/>
  <c r="BZ66" i="1"/>
  <c r="BK207" i="1"/>
  <c r="K200" i="1"/>
  <c r="BD200" i="1"/>
  <c r="BH200" i="1"/>
  <c r="CD55" i="1"/>
  <c r="AM52" i="1"/>
  <c r="AP49" i="1"/>
  <c r="X49" i="1"/>
  <c r="AA49" i="1" s="1"/>
  <c r="BE34" i="1"/>
  <c r="J34" i="1"/>
  <c r="AZ34" i="1" s="1"/>
  <c r="K34" i="1"/>
  <c r="AP34" i="1"/>
  <c r="AB34" i="5" s="1"/>
  <c r="BG192" i="1"/>
  <c r="BP192" i="1" s="1" a="1"/>
  <c r="BP192" i="1" s="1"/>
  <c r="CD192" i="1"/>
  <c r="BE68" i="1"/>
  <c r="BU68" i="1" s="1"/>
  <c r="K68" i="1"/>
  <c r="AP117" i="1"/>
  <c r="BE117" i="3"/>
  <c r="BL117" i="3" s="1"/>
  <c r="BE66" i="3"/>
  <c r="BL66" i="3" s="1"/>
  <c r="BH66" i="1"/>
  <c r="Z146" i="1"/>
  <c r="CA105" i="1"/>
  <c r="Y149" i="1"/>
  <c r="Z149" i="1"/>
  <c r="AB167" i="1"/>
  <c r="Z167" i="1"/>
  <c r="K167" i="5"/>
  <c r="N167" i="5" s="1"/>
  <c r="AV53" i="3"/>
  <c r="BU16" i="1"/>
  <c r="BZ31" i="1"/>
  <c r="BD52" i="1"/>
  <c r="BH113" i="1"/>
  <c r="AP63" i="1"/>
  <c r="AB63" i="5" s="1"/>
  <c r="AI3" i="1"/>
  <c r="AJ3" i="1" s="1"/>
  <c r="AL104" i="1"/>
  <c r="AL117" i="1"/>
  <c r="BZ22" i="1"/>
  <c r="BZ161" i="1"/>
  <c r="AQ3" i="1"/>
  <c r="BS3" i="1" s="1"/>
  <c r="AW218" i="3"/>
  <c r="BZ21" i="1"/>
  <c r="AM165" i="1"/>
  <c r="BQ196" i="1"/>
  <c r="AK38" i="1"/>
  <c r="V37" i="1"/>
  <c r="BD205" i="1"/>
  <c r="AK87" i="1"/>
  <c r="J20" i="1"/>
  <c r="BF20" i="1" s="1"/>
  <c r="BG20" i="1" s="1"/>
  <c r="BP20" i="1" s="1" a="1"/>
  <c r="BP20" i="1" s="1"/>
  <c r="BD20" i="1"/>
  <c r="T77" i="1"/>
  <c r="G77" i="5"/>
  <c r="H77" i="5" s="1"/>
  <c r="U77" i="1"/>
  <c r="BM223" i="3"/>
  <c r="N241" i="5" s="1"/>
  <c r="W18" i="1"/>
  <c r="BK10" i="1"/>
  <c r="BE49" i="1"/>
  <c r="BU49" i="1" s="1"/>
  <c r="AN73" i="1"/>
  <c r="BZ73" i="1"/>
  <c r="K117" i="1"/>
  <c r="BD193" i="1"/>
  <c r="J193" i="1"/>
  <c r="CD193" i="1" s="1"/>
  <c r="AP193" i="1"/>
  <c r="M173" i="5"/>
  <c r="L173" i="5"/>
  <c r="N173" i="5"/>
  <c r="K77" i="5"/>
  <c r="AB77" i="1"/>
  <c r="Y65" i="1"/>
  <c r="AA65" i="1"/>
  <c r="Z65" i="1"/>
  <c r="BK115" i="1"/>
  <c r="AV50" i="3"/>
  <c r="BD142" i="1"/>
  <c r="BK155" i="1"/>
  <c r="BE51" i="1"/>
  <c r="BH74" i="1"/>
  <c r="AW129" i="3"/>
  <c r="AL165" i="1"/>
  <c r="T56" i="1"/>
  <c r="G56" i="5"/>
  <c r="H56" i="5" s="1"/>
  <c r="W37" i="1"/>
  <c r="T53" i="5"/>
  <c r="U53" i="5"/>
  <c r="S76" i="5"/>
  <c r="T76" i="5" s="1"/>
  <c r="AJ76" i="1"/>
  <c r="G140" i="5"/>
  <c r="I140" i="5" s="1"/>
  <c r="V140" i="1"/>
  <c r="U18" i="1"/>
  <c r="J81" i="1"/>
  <c r="AN203" i="1"/>
  <c r="J48" i="1"/>
  <c r="BD48" i="1"/>
  <c r="K183" i="1"/>
  <c r="BD183" i="1"/>
  <c r="AN17" i="1"/>
  <c r="AP65" i="1"/>
  <c r="AB65" i="5" s="1"/>
  <c r="BD65" i="1"/>
  <c r="K33" i="5"/>
  <c r="N33" i="5" s="1"/>
  <c r="AA33" i="1"/>
  <c r="AB33" i="1"/>
  <c r="BG168" i="1"/>
  <c r="BP168" i="1" s="1" a="1"/>
  <c r="BP168" i="1" s="1"/>
  <c r="BU168" i="1"/>
  <c r="AK17" i="1"/>
  <c r="AJ17" i="1"/>
  <c r="BD137" i="1"/>
  <c r="BE157" i="1"/>
  <c r="AV151" i="3"/>
  <c r="BZ137" i="1"/>
  <c r="CD16" i="1"/>
  <c r="AQ113" i="1"/>
  <c r="BS113" i="1" s="1"/>
  <c r="L184" i="1"/>
  <c r="Z132" i="1"/>
  <c r="BK153" i="1"/>
  <c r="BD155" i="1"/>
  <c r="BG44" i="1"/>
  <c r="BP44" i="1" s="1" a="1"/>
  <c r="BP44" i="1" s="1"/>
  <c r="Q97" i="1"/>
  <c r="R97" i="1" s="1"/>
  <c r="BZ88" i="1"/>
  <c r="BE194" i="1"/>
  <c r="BH86" i="1"/>
  <c r="BQ195" i="1"/>
  <c r="BN195" i="1" s="1"/>
  <c r="BD78" i="1"/>
  <c r="AM23" i="1"/>
  <c r="AL23" i="1"/>
  <c r="V56" i="1"/>
  <c r="BE164" i="3"/>
  <c r="BL164" i="3" s="1"/>
  <c r="U28" i="1"/>
  <c r="U100" i="1"/>
  <c r="T100" i="1"/>
  <c r="G100" i="5"/>
  <c r="J100" i="5" s="1"/>
  <c r="AZ122" i="1"/>
  <c r="K132" i="1"/>
  <c r="BD132" i="1"/>
  <c r="T110" i="5"/>
  <c r="T205" i="1"/>
  <c r="W205" i="1"/>
  <c r="AL76" i="1"/>
  <c r="S69" i="5"/>
  <c r="V69" i="5" s="1"/>
  <c r="AJ69" i="1"/>
  <c r="W68" i="1"/>
  <c r="G124" i="5"/>
  <c r="J124" i="5" s="1"/>
  <c r="W124" i="1"/>
  <c r="BD203" i="1"/>
  <c r="BK94" i="1"/>
  <c r="K38" i="1"/>
  <c r="BE38" i="3"/>
  <c r="BL38" i="3" s="1"/>
  <c r="BD160" i="1"/>
  <c r="BF73" i="1"/>
  <c r="CD73" i="1"/>
  <c r="K169" i="1"/>
  <c r="X169" i="1"/>
  <c r="CD169" i="1"/>
  <c r="Z33" i="1"/>
  <c r="AA61" i="1"/>
  <c r="Z61" i="1"/>
  <c r="K83" i="5"/>
  <c r="N83" i="5" s="1"/>
  <c r="AA83" i="1"/>
  <c r="AB83" i="1"/>
  <c r="Y83" i="1"/>
  <c r="AQ168" i="1"/>
  <c r="BS168" i="1" s="1"/>
  <c r="L168" i="1"/>
  <c r="BQ103" i="1"/>
  <c r="BQ34" i="1"/>
  <c r="BQ100" i="1"/>
  <c r="BN100" i="1" s="1"/>
  <c r="AW164" i="3"/>
  <c r="BQ77" i="1"/>
  <c r="BN77" i="1" s="1"/>
  <c r="AA162" i="1"/>
  <c r="K162" i="5"/>
  <c r="N162" i="5" s="1"/>
  <c r="BE192" i="3"/>
  <c r="BL192" i="3" s="1"/>
  <c r="Q208" i="1"/>
  <c r="R208" i="1" s="1"/>
  <c r="CA167" i="1"/>
  <c r="AQ203" i="1"/>
  <c r="BS203" i="1" s="1"/>
  <c r="K165" i="5"/>
  <c r="M165" i="5" s="1"/>
  <c r="Z165" i="1"/>
  <c r="W123" i="1"/>
  <c r="U123" i="1"/>
  <c r="BD166" i="1"/>
  <c r="BZ166" i="1"/>
  <c r="BQ25" i="1"/>
  <c r="BN25" i="1" s="1"/>
  <c r="BQ172" i="1"/>
  <c r="AW278" i="3"/>
  <c r="BQ98" i="1"/>
  <c r="BN98" i="1" s="1"/>
  <c r="T82" i="1"/>
  <c r="W82" i="1"/>
  <c r="V20" i="1"/>
  <c r="W20" i="1"/>
  <c r="S55" i="5"/>
  <c r="AL55" i="1"/>
  <c r="AM55" i="1"/>
  <c r="K35" i="1"/>
  <c r="BE35" i="1"/>
  <c r="K102" i="1"/>
  <c r="AA73" i="1"/>
  <c r="L23" i="5"/>
  <c r="BQ56" i="1"/>
  <c r="BQ68" i="1"/>
  <c r="AW132" i="3"/>
  <c r="BQ166" i="1"/>
  <c r="BN166" i="1" s="1"/>
  <c r="U69" i="1"/>
  <c r="T69" i="1"/>
  <c r="BQ165" i="1"/>
  <c r="BN165" i="1" s="1"/>
  <c r="AJ97" i="1"/>
  <c r="AM97" i="1"/>
  <c r="AQ41" i="1"/>
  <c r="AW269" i="3"/>
  <c r="G109" i="5"/>
  <c r="W109" i="1"/>
  <c r="BK126" i="1"/>
  <c r="AN107" i="1"/>
  <c r="BE12" i="1"/>
  <c r="J12" i="1"/>
  <c r="CD12" i="1" s="1"/>
  <c r="BD12" i="1"/>
  <c r="BD185" i="1"/>
  <c r="BH185" i="1"/>
  <c r="AB66" i="1"/>
  <c r="AA66" i="1"/>
  <c r="AB12" i="1"/>
  <c r="Y58" i="1"/>
  <c r="BK43" i="1"/>
  <c r="AW206" i="3"/>
  <c r="J7" i="1"/>
  <c r="AZ7" i="1" s="1"/>
  <c r="BZ163" i="1"/>
  <c r="BK17" i="1"/>
  <c r="AQ44" i="1"/>
  <c r="AA153" i="1"/>
  <c r="BE171" i="1"/>
  <c r="BQ84" i="1"/>
  <c r="AW87" i="3"/>
  <c r="BZ122" i="1"/>
  <c r="J101" i="1"/>
  <c r="AZ101" i="1" s="1"/>
  <c r="CA205" i="1"/>
  <c r="J278" i="5"/>
  <c r="AA110" i="1"/>
  <c r="BK107" i="1"/>
  <c r="J44" i="5"/>
  <c r="I44" i="5"/>
  <c r="H44" i="5"/>
  <c r="L97" i="5"/>
  <c r="N97" i="5"/>
  <c r="BZ188" i="1"/>
  <c r="AJ32" i="1"/>
  <c r="AM32" i="1"/>
  <c r="AL32" i="1"/>
  <c r="V51" i="1"/>
  <c r="BF88" i="1"/>
  <c r="CD88" i="1"/>
  <c r="AN142" i="1"/>
  <c r="V85" i="5"/>
  <c r="H64" i="5"/>
  <c r="U2" i="1"/>
  <c r="W2" i="1"/>
  <c r="V2" i="1"/>
  <c r="AE54" i="1"/>
  <c r="AG54" i="1"/>
  <c r="AF54" i="1"/>
  <c r="O54" i="5"/>
  <c r="P54" i="5" s="1"/>
  <c r="AW139" i="3"/>
  <c r="S155" i="5"/>
  <c r="T155" i="5" s="1"/>
  <c r="M45" i="5"/>
  <c r="Y6" i="1"/>
  <c r="AJ155" i="1"/>
  <c r="AA189" i="1"/>
  <c r="BE52" i="1"/>
  <c r="BQ118" i="1"/>
  <c r="BN118" i="1" s="1"/>
  <c r="F39" i="5"/>
  <c r="Y152" i="5"/>
  <c r="AJ85" i="1"/>
  <c r="AM85" i="1"/>
  <c r="AK85" i="1"/>
  <c r="AB120" i="5"/>
  <c r="AK158" i="1"/>
  <c r="A39" i="14"/>
  <c r="B39" i="14" s="1"/>
  <c r="F39" i="14" s="1"/>
  <c r="AE27" i="1"/>
  <c r="BD152" i="1"/>
  <c r="BE152" i="1"/>
  <c r="BG49" i="1"/>
  <c r="BP49" i="1" s="1" a="1"/>
  <c r="BP49" i="1" s="1"/>
  <c r="AZ49" i="1"/>
  <c r="CD30" i="1"/>
  <c r="A15" i="5"/>
  <c r="W44" i="1"/>
  <c r="T44" i="1"/>
  <c r="T190" i="1"/>
  <c r="A23" i="14"/>
  <c r="AP52" i="1"/>
  <c r="AB52" i="5" s="1"/>
  <c r="BH135" i="1"/>
  <c r="BG88" i="1"/>
  <c r="BP88" i="1" s="1" a="1"/>
  <c r="BP88" i="1" s="1"/>
  <c r="Z9" i="5"/>
  <c r="D9" i="5"/>
  <c r="AC152" i="5"/>
  <c r="U64" i="1"/>
  <c r="AG45" i="1"/>
  <c r="AA42" i="1"/>
  <c r="Z42" i="1"/>
  <c r="K42" i="5"/>
  <c r="AA159" i="5"/>
  <c r="D159" i="5"/>
  <c r="Y159" i="5"/>
  <c r="AC159" i="5"/>
  <c r="E159" i="5"/>
  <c r="AV26" i="3"/>
  <c r="K7" i="5"/>
  <c r="L7" i="5" s="1"/>
  <c r="BD28" i="1"/>
  <c r="AM82" i="1"/>
  <c r="K52" i="1"/>
  <c r="U44" i="1"/>
  <c r="M189" i="1"/>
  <c r="AP79" i="1"/>
  <c r="AB79" i="5" s="1"/>
  <c r="W152" i="5"/>
  <c r="AQ28" i="1"/>
  <c r="BS28" i="1" s="1"/>
  <c r="AF45" i="1"/>
  <c r="AK32" i="1"/>
  <c r="W50" i="1"/>
  <c r="G50" i="5"/>
  <c r="J50" i="5" s="1"/>
  <c r="AW79" i="3"/>
  <c r="BD79" i="1"/>
  <c r="F43" i="5"/>
  <c r="Y43" i="5"/>
  <c r="Z43" i="5"/>
  <c r="AE45" i="1"/>
  <c r="AW110" i="3"/>
  <c r="AP110" i="1"/>
  <c r="AB110" i="5" s="1"/>
  <c r="BE110" i="1"/>
  <c r="D149" i="5"/>
  <c r="Y149" i="5"/>
  <c r="E149" i="5"/>
  <c r="AC149" i="5"/>
  <c r="AE102" i="1"/>
  <c r="AG102" i="1"/>
  <c r="V26" i="1"/>
  <c r="U26" i="1"/>
  <c r="AV78" i="3"/>
  <c r="AV11" i="3"/>
  <c r="BF30" i="1"/>
  <c r="AL17" i="1"/>
  <c r="BU30" i="1"/>
  <c r="AZ70" i="1"/>
  <c r="BK139" i="1"/>
  <c r="Z6" i="1"/>
  <c r="W190" i="1"/>
  <c r="CD139" i="1"/>
  <c r="G26" i="5"/>
  <c r="J26" i="5" s="1"/>
  <c r="AH46" i="1"/>
  <c r="Y50" i="1"/>
  <c r="U17" i="5"/>
  <c r="BE142" i="1"/>
  <c r="E9" i="5"/>
  <c r="E43" i="5"/>
  <c r="BZ135" i="1"/>
  <c r="AN135" i="1"/>
  <c r="AL85" i="1"/>
  <c r="BD110" i="1"/>
  <c r="F149" i="5"/>
  <c r="D155" i="5"/>
  <c r="AA155" i="5"/>
  <c r="W155" i="5"/>
  <c r="X155" i="5"/>
  <c r="BG30" i="1"/>
  <c r="BP30" i="1" s="1" a="1"/>
  <c r="BP30" i="1" s="1"/>
  <c r="L187" i="1"/>
  <c r="K137" i="1"/>
  <c r="AP28" i="1"/>
  <c r="AB28" i="5" s="1"/>
  <c r="K30" i="1"/>
  <c r="AJ82" i="1"/>
  <c r="V190" i="1"/>
  <c r="J91" i="1"/>
  <c r="CD91" i="1" s="1"/>
  <c r="A117" i="14"/>
  <c r="D117" i="14" s="1"/>
  <c r="E117" i="14" s="1"/>
  <c r="AF46" i="1"/>
  <c r="Z50" i="1"/>
  <c r="BZ9" i="1"/>
  <c r="BK9" i="1"/>
  <c r="AP142" i="1"/>
  <c r="AB142" i="5" s="1"/>
  <c r="W9" i="5"/>
  <c r="BE79" i="1"/>
  <c r="V47" i="1"/>
  <c r="D43" i="5"/>
  <c r="BK141" i="1"/>
  <c r="AF197" i="1"/>
  <c r="BK79" i="1"/>
  <c r="AC143" i="5"/>
  <c r="W143" i="5"/>
  <c r="E143" i="5"/>
  <c r="Z143" i="5"/>
  <c r="X143" i="5"/>
  <c r="Z149" i="5"/>
  <c r="E155" i="5"/>
  <c r="W26" i="1"/>
  <c r="AL82" i="1"/>
  <c r="BK31" i="1"/>
  <c r="BK28" i="1"/>
  <c r="AE46" i="1"/>
  <c r="G189" i="5"/>
  <c r="H189" i="5" s="1"/>
  <c r="T189" i="1"/>
  <c r="AE42" i="1"/>
  <c r="G12" i="5"/>
  <c r="T12" i="1"/>
  <c r="X43" i="5"/>
  <c r="X52" i="1"/>
  <c r="K52" i="5" s="1"/>
  <c r="K86" i="5"/>
  <c r="M86" i="5" s="1"/>
  <c r="AP16" i="1"/>
  <c r="AB16" i="5" s="1"/>
  <c r="BK16" i="1"/>
  <c r="BD16" i="1"/>
  <c r="BH16" i="1"/>
  <c r="K16" i="1"/>
  <c r="AA124" i="5"/>
  <c r="Y124" i="5"/>
  <c r="D124" i="5"/>
  <c r="F124" i="5"/>
  <c r="E124" i="5"/>
  <c r="BE26" i="1"/>
  <c r="O45" i="5"/>
  <c r="CD50" i="1"/>
  <c r="BF50" i="1"/>
  <c r="A122" i="5"/>
  <c r="A114" i="14"/>
  <c r="B114" i="14" s="1"/>
  <c r="F114" i="14" s="1"/>
  <c r="BE156" i="1"/>
  <c r="AP156" i="1"/>
  <c r="AB156" i="5" s="1"/>
  <c r="BD156" i="1"/>
  <c r="AV141" i="3"/>
  <c r="Z7" i="1"/>
  <c r="AN31" i="1"/>
  <c r="A51" i="14"/>
  <c r="D51" i="14" s="1"/>
  <c r="E51" i="14" s="1"/>
  <c r="AG42" i="1"/>
  <c r="AA43" i="5"/>
  <c r="AP26" i="1"/>
  <c r="AB26" i="5" s="1"/>
  <c r="V186" i="1"/>
  <c r="G186" i="5"/>
  <c r="H186" i="5" s="1"/>
  <c r="Y143" i="5"/>
  <c r="AA139" i="5"/>
  <c r="Y97" i="1"/>
  <c r="Y7" i="1"/>
  <c r="BD91" i="1"/>
  <c r="O46" i="5"/>
  <c r="Q46" i="5" s="1"/>
  <c r="AH42" i="1"/>
  <c r="E28" i="5"/>
  <c r="F28" i="5"/>
  <c r="T47" i="1"/>
  <c r="AE197" i="1"/>
  <c r="A38" i="14"/>
  <c r="D38" i="14" s="1"/>
  <c r="E38" i="14" s="1"/>
  <c r="Z55" i="1"/>
  <c r="Y55" i="1"/>
  <c r="AA55" i="1"/>
  <c r="AW16" i="3"/>
  <c r="D69" i="14"/>
  <c r="E69" i="14" s="1"/>
  <c r="E16" i="5"/>
  <c r="AC16" i="5"/>
  <c r="D16" i="5"/>
  <c r="F16" i="5"/>
  <c r="Y16" i="5"/>
  <c r="X16" i="5"/>
  <c r="Z16" i="5"/>
  <c r="AE44" i="1"/>
  <c r="AH80" i="1"/>
  <c r="AV156" i="3"/>
  <c r="AB189" i="1"/>
  <c r="K54" i="5"/>
  <c r="M54" i="5" s="1"/>
  <c r="S32" i="5"/>
  <c r="V32" i="5" s="1"/>
  <c r="U51" i="1"/>
  <c r="AF42" i="1"/>
  <c r="Y28" i="5"/>
  <c r="E39" i="5"/>
  <c r="K82" i="5"/>
  <c r="M82" i="5" s="1"/>
  <c r="AB82" i="1"/>
  <c r="AA82" i="1"/>
  <c r="AH197" i="1"/>
  <c r="A99" i="14"/>
  <c r="B99" i="14" s="1"/>
  <c r="F99" i="14" s="1"/>
  <c r="G2" i="5"/>
  <c r="BZ43" i="1"/>
  <c r="AQ43" i="1"/>
  <c r="BS43" i="1" s="1"/>
  <c r="T186" i="1"/>
  <c r="AA16" i="5"/>
  <c r="AQ26" i="1"/>
  <c r="BS26" i="1" s="1"/>
  <c r="AB154" i="5"/>
  <c r="Z127" i="1"/>
  <c r="AV148" i="3"/>
  <c r="E26" i="5"/>
  <c r="AL116" i="1"/>
  <c r="AC52" i="5"/>
  <c r="BQ86" i="1"/>
  <c r="BN86" i="1" s="1"/>
  <c r="AJ104" i="1"/>
  <c r="AB92" i="1"/>
  <c r="E20" i="5"/>
  <c r="D82" i="5"/>
  <c r="W121" i="5"/>
  <c r="AM134" i="1"/>
  <c r="F53" i="5"/>
  <c r="Z53" i="5"/>
  <c r="AJ42" i="1"/>
  <c r="AL42" i="1"/>
  <c r="Z80" i="5"/>
  <c r="N80" i="1" s="1"/>
  <c r="X80" i="5"/>
  <c r="F80" i="5"/>
  <c r="D80" i="5"/>
  <c r="F108" i="5"/>
  <c r="X108" i="5"/>
  <c r="W108" i="5"/>
  <c r="Y108" i="5"/>
  <c r="AA108" i="5"/>
  <c r="O108" i="1" s="1"/>
  <c r="AK93" i="1"/>
  <c r="AL93" i="1"/>
  <c r="AJ93" i="1"/>
  <c r="W192" i="1"/>
  <c r="U192" i="1"/>
  <c r="AL118" i="1"/>
  <c r="AK118" i="1"/>
  <c r="AJ118" i="1"/>
  <c r="S118" i="5"/>
  <c r="T118" i="5" s="1"/>
  <c r="AM118" i="1"/>
  <c r="T7" i="5"/>
  <c r="V7" i="5"/>
  <c r="W92" i="5"/>
  <c r="L143" i="1"/>
  <c r="BQ197" i="1"/>
  <c r="BN197" i="1" s="1"/>
  <c r="AG112" i="1"/>
  <c r="CD44" i="1"/>
  <c r="AW188" i="3"/>
  <c r="AA144" i="5"/>
  <c r="E111" i="5"/>
  <c r="D137" i="5"/>
  <c r="BD51" i="1"/>
  <c r="E153" i="5"/>
  <c r="BD154" i="1"/>
  <c r="O112" i="5"/>
  <c r="Q112" i="5" s="1"/>
  <c r="Y127" i="1"/>
  <c r="AA63" i="5"/>
  <c r="E79" i="5"/>
  <c r="K105" i="5"/>
  <c r="M105" i="5" s="1"/>
  <c r="Y26" i="5"/>
  <c r="F15" i="5"/>
  <c r="E3" i="5"/>
  <c r="X52" i="5"/>
  <c r="M108" i="5"/>
  <c r="AA92" i="1"/>
  <c r="F20" i="5"/>
  <c r="U54" i="1"/>
  <c r="V54" i="1"/>
  <c r="W54" i="1"/>
  <c r="F82" i="5"/>
  <c r="G116" i="5"/>
  <c r="I116" i="5" s="1"/>
  <c r="U116" i="1"/>
  <c r="V73" i="1"/>
  <c r="W73" i="1"/>
  <c r="T73" i="1"/>
  <c r="F121" i="5"/>
  <c r="L123" i="1"/>
  <c r="W53" i="5"/>
  <c r="F41" i="5"/>
  <c r="W80" i="5"/>
  <c r="Z206" i="1"/>
  <c r="BK132" i="1"/>
  <c r="AN132" i="1"/>
  <c r="E86" i="5"/>
  <c r="Y86" i="5"/>
  <c r="AA86" i="5"/>
  <c r="X104" i="5"/>
  <c r="AA104" i="5"/>
  <c r="O104" i="1" s="1"/>
  <c r="E104" i="5"/>
  <c r="Z104" i="5"/>
  <c r="N104" i="1" s="1"/>
  <c r="Z40" i="5"/>
  <c r="E108" i="5"/>
  <c r="AM93" i="1"/>
  <c r="U172" i="1"/>
  <c r="V172" i="1"/>
  <c r="U137" i="5"/>
  <c r="V137" i="5"/>
  <c r="T137" i="5"/>
  <c r="M198" i="1"/>
  <c r="L198" i="1"/>
  <c r="BK157" i="1"/>
  <c r="F111" i="5"/>
  <c r="W137" i="5"/>
  <c r="W26" i="5"/>
  <c r="AJ128" i="1"/>
  <c r="Y17" i="5"/>
  <c r="Z17" i="5"/>
  <c r="E17" i="5"/>
  <c r="AB142" i="1"/>
  <c r="Z142" i="1"/>
  <c r="AM160" i="1"/>
  <c r="Y103" i="5"/>
  <c r="F103" i="5"/>
  <c r="AA42" i="5"/>
  <c r="AC42" i="5"/>
  <c r="D42" i="5"/>
  <c r="F42" i="5"/>
  <c r="AC80" i="5"/>
  <c r="Z186" i="1"/>
  <c r="Y186" i="1"/>
  <c r="U14" i="1"/>
  <c r="V14" i="1"/>
  <c r="G14" i="5"/>
  <c r="J14" i="5" s="1"/>
  <c r="E123" i="5"/>
  <c r="D86" i="5"/>
  <c r="F104" i="5"/>
  <c r="Z108" i="5"/>
  <c r="N108" i="1" s="1"/>
  <c r="K192" i="5"/>
  <c r="M192" i="5" s="1"/>
  <c r="Y192" i="1"/>
  <c r="Y185" i="1"/>
  <c r="Z185" i="1"/>
  <c r="K185" i="5"/>
  <c r="W119" i="1"/>
  <c r="V119" i="1"/>
  <c r="T14" i="1"/>
  <c r="G172" i="5"/>
  <c r="J172" i="5" s="1"/>
  <c r="AJ140" i="1"/>
  <c r="O26" i="5"/>
  <c r="D92" i="5"/>
  <c r="AE112" i="1"/>
  <c r="K188" i="1"/>
  <c r="W144" i="5"/>
  <c r="W111" i="5"/>
  <c r="F137" i="5"/>
  <c r="AF88" i="1"/>
  <c r="Z6" i="5"/>
  <c r="Y135" i="5"/>
  <c r="D115" i="5"/>
  <c r="AG97" i="1"/>
  <c r="AP153" i="1"/>
  <c r="AB153" i="5" s="1"/>
  <c r="D63" i="5"/>
  <c r="X79" i="5"/>
  <c r="E145" i="5"/>
  <c r="D120" i="5"/>
  <c r="D26" i="5"/>
  <c r="E15" i="5"/>
  <c r="AA146" i="5"/>
  <c r="X3" i="5"/>
  <c r="Y141" i="5"/>
  <c r="D154" i="5"/>
  <c r="E14" i="5"/>
  <c r="X17" i="5"/>
  <c r="K206" i="5"/>
  <c r="AC109" i="5"/>
  <c r="E109" i="5"/>
  <c r="Z109" i="5"/>
  <c r="Y109" i="5"/>
  <c r="BD70" i="1"/>
  <c r="F50" i="5"/>
  <c r="V116" i="1"/>
  <c r="G54" i="5"/>
  <c r="I54" i="5" s="1"/>
  <c r="AA65" i="5"/>
  <c r="Z65" i="5"/>
  <c r="F65" i="5"/>
  <c r="E65" i="5"/>
  <c r="D65" i="5"/>
  <c r="E160" i="5"/>
  <c r="X160" i="5"/>
  <c r="AA160" i="5"/>
  <c r="O160" i="1" s="1"/>
  <c r="Z42" i="5"/>
  <c r="E80" i="5"/>
  <c r="Z2" i="1"/>
  <c r="K2" i="5"/>
  <c r="L2" i="5" s="1"/>
  <c r="Y2" i="1"/>
  <c r="Y123" i="5"/>
  <c r="F86" i="5"/>
  <c r="W104" i="5"/>
  <c r="D66" i="5"/>
  <c r="F66" i="5"/>
  <c r="Y66" i="5"/>
  <c r="D108" i="5"/>
  <c r="AB202" i="1"/>
  <c r="Z202" i="1"/>
  <c r="W18" i="5"/>
  <c r="X18" i="5"/>
  <c r="AQ71" i="1"/>
  <c r="BS71" i="1" s="1"/>
  <c r="L71" i="1"/>
  <c r="W149" i="1"/>
  <c r="U149" i="1"/>
  <c r="T149" i="1"/>
  <c r="AK27" i="1"/>
  <c r="AL27" i="1"/>
  <c r="AJ27" i="1"/>
  <c r="S27" i="5"/>
  <c r="U27" i="5" s="1"/>
  <c r="AM49" i="1"/>
  <c r="S49" i="5"/>
  <c r="V49" i="5" s="1"/>
  <c r="W102" i="1"/>
  <c r="U102" i="1"/>
  <c r="G102" i="5"/>
  <c r="J102" i="5" s="1"/>
  <c r="AF112" i="1"/>
  <c r="AA62" i="1"/>
  <c r="AC144" i="5"/>
  <c r="Y111" i="5"/>
  <c r="E137" i="5"/>
  <c r="BE153" i="1"/>
  <c r="X63" i="5"/>
  <c r="W79" i="5"/>
  <c r="E120" i="5"/>
  <c r="W15" i="5"/>
  <c r="X14" i="5"/>
  <c r="AC17" i="5"/>
  <c r="AA29" i="5"/>
  <c r="AC29" i="5"/>
  <c r="Z29" i="5"/>
  <c r="Y29" i="5"/>
  <c r="Y91" i="5"/>
  <c r="E91" i="5"/>
  <c r="AC91" i="5"/>
  <c r="Z91" i="5"/>
  <c r="N188" i="1" s="1"/>
  <c r="F91" i="5"/>
  <c r="S192" i="5"/>
  <c r="U192" i="5" s="1"/>
  <c r="AK192" i="1"/>
  <c r="F83" i="5"/>
  <c r="AA83" i="5"/>
  <c r="W83" i="5"/>
  <c r="Z83" i="5"/>
  <c r="D103" i="5"/>
  <c r="W42" i="5"/>
  <c r="AA80" i="5"/>
  <c r="O80" i="1" s="1"/>
  <c r="S23" i="5"/>
  <c r="V23" i="5" s="1"/>
  <c r="AK23" i="1"/>
  <c r="AJ23" i="1"/>
  <c r="F123" i="5"/>
  <c r="AC86" i="5"/>
  <c r="Y104" i="5"/>
  <c r="AC108" i="5"/>
  <c r="W133" i="1"/>
  <c r="T133" i="1"/>
  <c r="G133" i="5"/>
  <c r="H133" i="5" s="1"/>
  <c r="AL22" i="1"/>
  <c r="S22" i="5"/>
  <c r="V22" i="5" s="1"/>
  <c r="AK22" i="1"/>
  <c r="AJ22" i="1"/>
  <c r="AL95" i="1"/>
  <c r="K202" i="5"/>
  <c r="M202" i="5" s="1"/>
  <c r="BZ71" i="1"/>
  <c r="G149" i="5"/>
  <c r="I149" i="5" s="1"/>
  <c r="V115" i="1"/>
  <c r="U115" i="1"/>
  <c r="G115" i="5"/>
  <c r="AM70" i="1"/>
  <c r="S70" i="5"/>
  <c r="U70" i="5" s="1"/>
  <c r="Y47" i="5"/>
  <c r="F47" i="5"/>
  <c r="AA47" i="5"/>
  <c r="W17" i="5"/>
  <c r="Y42" i="5"/>
  <c r="D104" i="5"/>
  <c r="S93" i="5"/>
  <c r="T93" i="5" s="1"/>
  <c r="Z150" i="5"/>
  <c r="E150" i="5"/>
  <c r="AA150" i="5"/>
  <c r="AJ95" i="1"/>
  <c r="S33" i="5"/>
  <c r="T33" i="5" s="1"/>
  <c r="AM33" i="1"/>
  <c r="AK33" i="1"/>
  <c r="AL33" i="1"/>
  <c r="AM201" i="1"/>
  <c r="AL201" i="1"/>
  <c r="S201" i="5"/>
  <c r="BM222" i="3"/>
  <c r="N240" i="5" s="1"/>
  <c r="O53" i="5"/>
  <c r="Q53" i="5" s="1"/>
  <c r="AE53" i="1"/>
  <c r="AH53" i="1"/>
  <c r="AA4" i="5"/>
  <c r="X4" i="5"/>
  <c r="Z59" i="5"/>
  <c r="F59" i="5"/>
  <c r="AJ102" i="1"/>
  <c r="D68" i="5"/>
  <c r="E68" i="5"/>
  <c r="W68" i="5"/>
  <c r="I130" i="5"/>
  <c r="J130" i="5"/>
  <c r="AK54" i="1"/>
  <c r="S54" i="5"/>
  <c r="U54" i="5" s="1"/>
  <c r="Y138" i="5"/>
  <c r="E138" i="5"/>
  <c r="AC138" i="5"/>
  <c r="Z138" i="5"/>
  <c r="F138" i="5"/>
  <c r="S144" i="5"/>
  <c r="U144" i="5" s="1"/>
  <c r="AL144" i="1"/>
  <c r="T107" i="1"/>
  <c r="V107" i="1"/>
  <c r="W107" i="1"/>
  <c r="H131" i="5"/>
  <c r="J131" i="5"/>
  <c r="I131" i="5"/>
  <c r="T192" i="1"/>
  <c r="U159" i="1"/>
  <c r="W159" i="1"/>
  <c r="V159" i="1"/>
  <c r="AQ142" i="1"/>
  <c r="BS142" i="1" s="1"/>
  <c r="E144" i="5"/>
  <c r="AP148" i="1"/>
  <c r="AB148" i="5" s="1"/>
  <c r="AQ31" i="1"/>
  <c r="BS31" i="1" s="1"/>
  <c r="Y67" i="1"/>
  <c r="Z67" i="1"/>
  <c r="AA67" i="1"/>
  <c r="K143" i="1"/>
  <c r="D74" i="5"/>
  <c r="Z13" i="5"/>
  <c r="AA26" i="5"/>
  <c r="AN143" i="1"/>
  <c r="AC15" i="5"/>
  <c r="F146" i="5"/>
  <c r="S128" i="5"/>
  <c r="U128" i="5" s="1"/>
  <c r="AW144" i="3"/>
  <c r="AM104" i="1"/>
  <c r="AC154" i="5"/>
  <c r="AF53" i="1"/>
  <c r="D47" i="5"/>
  <c r="D29" i="5"/>
  <c r="D91" i="5"/>
  <c r="AA97" i="5"/>
  <c r="X78" i="5"/>
  <c r="Y78" i="5"/>
  <c r="AA78" i="5"/>
  <c r="E78" i="5"/>
  <c r="Z78" i="5"/>
  <c r="AQ156" i="1"/>
  <c r="BS156" i="1" s="1"/>
  <c r="AK102" i="1"/>
  <c r="X34" i="5"/>
  <c r="W34" i="5"/>
  <c r="D34" i="5"/>
  <c r="Y34" i="5"/>
  <c r="AC83" i="5"/>
  <c r="AA25" i="5"/>
  <c r="O25" i="1" s="1"/>
  <c r="D25" i="5"/>
  <c r="Z25" i="5"/>
  <c r="N25" i="1" s="1"/>
  <c r="Y25" i="5"/>
  <c r="W70" i="1"/>
  <c r="G70" i="5"/>
  <c r="I70" i="5" s="1"/>
  <c r="T70" i="1"/>
  <c r="U70" i="1"/>
  <c r="AL54" i="1"/>
  <c r="E49" i="5"/>
  <c r="AA131" i="5"/>
  <c r="F131" i="5"/>
  <c r="W138" i="5"/>
  <c r="AK144" i="1"/>
  <c r="Y150" i="5"/>
  <c r="Z77" i="5"/>
  <c r="AA77" i="5"/>
  <c r="E77" i="5"/>
  <c r="X77" i="5"/>
  <c r="V138" i="1"/>
  <c r="G138" i="5"/>
  <c r="I138" i="5" s="1"/>
  <c r="W94" i="1"/>
  <c r="T94" i="1"/>
  <c r="K148" i="1"/>
  <c r="L67" i="5"/>
  <c r="BD143" i="1"/>
  <c r="AC74" i="5"/>
  <c r="AW6" i="3"/>
  <c r="D13" i="5"/>
  <c r="BK143" i="1"/>
  <c r="D4" i="5"/>
  <c r="E47" i="5"/>
  <c r="X59" i="5"/>
  <c r="AC61" i="5"/>
  <c r="Z61" i="5"/>
  <c r="F61" i="5"/>
  <c r="Z113" i="1"/>
  <c r="K113" i="5"/>
  <c r="N113" i="5" s="1"/>
  <c r="Y113" i="1"/>
  <c r="AB113" i="1"/>
  <c r="AA121" i="5"/>
  <c r="E121" i="5"/>
  <c r="X68" i="5"/>
  <c r="D118" i="5"/>
  <c r="X118" i="5"/>
  <c r="K123" i="1"/>
  <c r="BH123" i="1"/>
  <c r="BD123" i="1"/>
  <c r="T130" i="1"/>
  <c r="D132" i="5"/>
  <c r="X132" i="5"/>
  <c r="Y132" i="5"/>
  <c r="F49" i="5"/>
  <c r="X138" i="5"/>
  <c r="AJ144" i="1"/>
  <c r="X150" i="5"/>
  <c r="AK198" i="1"/>
  <c r="AL198" i="1"/>
  <c r="AL184" i="1"/>
  <c r="AK184" i="1"/>
  <c r="U98" i="1"/>
  <c r="T98" i="1"/>
  <c r="V98" i="1"/>
  <c r="Y198" i="1"/>
  <c r="Z198" i="1"/>
  <c r="AA198" i="1"/>
  <c r="G129" i="5"/>
  <c r="J129" i="5" s="1"/>
  <c r="V129" i="1"/>
  <c r="W129" i="1"/>
  <c r="U129" i="1"/>
  <c r="AK61" i="1"/>
  <c r="AM61" i="1"/>
  <c r="AJ61" i="1"/>
  <c r="AC111" i="5"/>
  <c r="AP51" i="1"/>
  <c r="AB51" i="5" s="1"/>
  <c r="AW148" i="3"/>
  <c r="AN16" i="1"/>
  <c r="BE143" i="1"/>
  <c r="AA74" i="5"/>
  <c r="K6" i="1"/>
  <c r="Z26" i="5"/>
  <c r="Z15" i="5"/>
  <c r="AK101" i="1"/>
  <c r="Z92" i="1"/>
  <c r="Z4" i="5"/>
  <c r="Y59" i="5"/>
  <c r="AA5" i="5"/>
  <c r="D5" i="5"/>
  <c r="AC41" i="5"/>
  <c r="Z41" i="5"/>
  <c r="D41" i="5"/>
  <c r="AA41" i="5"/>
  <c r="AC118" i="5"/>
  <c r="U130" i="1"/>
  <c r="AW166" i="3"/>
  <c r="BE166" i="1"/>
  <c r="W132" i="5"/>
  <c r="Z158" i="5"/>
  <c r="X158" i="5"/>
  <c r="D158" i="5"/>
  <c r="AC158" i="5"/>
  <c r="F158" i="5"/>
  <c r="D138" i="5"/>
  <c r="BD161" i="1"/>
  <c r="AW161" i="3"/>
  <c r="BE161" i="3"/>
  <c r="BL161" i="3" s="1"/>
  <c r="AC150" i="5"/>
  <c r="T143" i="5"/>
  <c r="U143" i="5"/>
  <c r="AJ106" i="1"/>
  <c r="AL106" i="1"/>
  <c r="W115" i="1"/>
  <c r="BD148" i="1"/>
  <c r="Z20" i="5"/>
  <c r="D20" i="5"/>
  <c r="W20" i="5"/>
  <c r="AC20" i="5"/>
  <c r="Y20" i="5"/>
  <c r="E93" i="5"/>
  <c r="X93" i="5"/>
  <c r="F93" i="5"/>
  <c r="AA82" i="5"/>
  <c r="W82" i="5"/>
  <c r="X82" i="5"/>
  <c r="Y82" i="5"/>
  <c r="AC82" i="5"/>
  <c r="S208" i="5"/>
  <c r="T208" i="5" s="1"/>
  <c r="AM208" i="1"/>
  <c r="AK208" i="1"/>
  <c r="AL208" i="1"/>
  <c r="F132" i="5"/>
  <c r="E158" i="5"/>
  <c r="BE161" i="1"/>
  <c r="BU161" i="1" s="1"/>
  <c r="AL103" i="1"/>
  <c r="AM103" i="1"/>
  <c r="S103" i="5"/>
  <c r="V103" i="5" s="1"/>
  <c r="AK103" i="1"/>
  <c r="AM15" i="1"/>
  <c r="Z101" i="5"/>
  <c r="N101" i="1" s="1"/>
  <c r="AC101" i="5"/>
  <c r="T115" i="1"/>
  <c r="BK142" i="1"/>
  <c r="AN124" i="1"/>
  <c r="Z92" i="5"/>
  <c r="N92" i="1" s="1"/>
  <c r="Z31" i="5"/>
  <c r="AB95" i="1"/>
  <c r="K127" i="5"/>
  <c r="M127" i="5" s="1"/>
  <c r="AB127" i="1"/>
  <c r="AC63" i="5"/>
  <c r="AC79" i="5"/>
  <c r="S116" i="5"/>
  <c r="F26" i="5"/>
  <c r="AM116" i="1"/>
  <c r="AK104" i="1"/>
  <c r="Y154" i="5"/>
  <c r="Y92" i="1"/>
  <c r="X20" i="5"/>
  <c r="K109" i="5"/>
  <c r="Y109" i="1"/>
  <c r="AA109" i="1"/>
  <c r="AB109" i="1"/>
  <c r="Z82" i="5"/>
  <c r="X5" i="5"/>
  <c r="AA61" i="5"/>
  <c r="Y108" i="1"/>
  <c r="X121" i="5"/>
  <c r="X41" i="5"/>
  <c r="S42" i="5"/>
  <c r="U42" i="5" s="1"/>
  <c r="Y80" i="5"/>
  <c r="AJ208" i="1"/>
  <c r="W75" i="1"/>
  <c r="K166" i="1"/>
  <c r="T151" i="1"/>
  <c r="G151" i="5"/>
  <c r="V151" i="1"/>
  <c r="AA132" i="5"/>
  <c r="Y158" i="5"/>
  <c r="J165" i="5"/>
  <c r="H165" i="5"/>
  <c r="I165" i="5"/>
  <c r="G192" i="5"/>
  <c r="AJ200" i="1"/>
  <c r="AK200" i="1"/>
  <c r="AK173" i="1"/>
  <c r="AB185" i="1"/>
  <c r="U7" i="5"/>
  <c r="AM137" i="1"/>
  <c r="AJ137" i="1"/>
  <c r="W28" i="1"/>
  <c r="AM51" i="1"/>
  <c r="AK51" i="1"/>
  <c r="T208" i="1"/>
  <c r="G28" i="5"/>
  <c r="J28" i="5" s="1"/>
  <c r="AM77" i="1"/>
  <c r="AK77" i="1"/>
  <c r="W162" i="5"/>
  <c r="AJ51" i="1"/>
  <c r="T93" i="1"/>
  <c r="U93" i="1"/>
  <c r="W93" i="1"/>
  <c r="J204" i="1"/>
  <c r="CD204" i="1" s="1"/>
  <c r="BE204" i="1"/>
  <c r="BE188" i="3"/>
  <c r="BL188" i="3" s="1"/>
  <c r="AP204" i="1"/>
  <c r="AB204" i="5" s="1"/>
  <c r="BD204" i="1"/>
  <c r="K204" i="1"/>
  <c r="F88" i="5"/>
  <c r="AA10" i="5"/>
  <c r="G65" i="5"/>
  <c r="J65" i="5" s="1"/>
  <c r="F117" i="5"/>
  <c r="K3" i="1"/>
  <c r="Z69" i="5"/>
  <c r="AC37" i="5"/>
  <c r="D60" i="5"/>
  <c r="S194" i="5"/>
  <c r="F99" i="5"/>
  <c r="Z89" i="5"/>
  <c r="F114" i="5"/>
  <c r="D46" i="5"/>
  <c r="E12" i="5"/>
  <c r="Z87" i="5"/>
  <c r="AK167" i="1"/>
  <c r="S147" i="5"/>
  <c r="G19" i="5"/>
  <c r="V198" i="1"/>
  <c r="U198" i="1"/>
  <c r="W120" i="1"/>
  <c r="U19" i="1"/>
  <c r="X22" i="5"/>
  <c r="D22" i="5"/>
  <c r="AM147" i="1"/>
  <c r="S36" i="5"/>
  <c r="T36" i="5" s="1"/>
  <c r="AM36" i="1"/>
  <c r="X209" i="1"/>
  <c r="Z209" i="1" s="1"/>
  <c r="BE209" i="1"/>
  <c r="AP209" i="1"/>
  <c r="AB209" i="5" s="1"/>
  <c r="BD209" i="1"/>
  <c r="K209" i="1"/>
  <c r="U157" i="1"/>
  <c r="W157" i="1"/>
  <c r="G157" i="5"/>
  <c r="I157" i="5" s="1"/>
  <c r="T157" i="1"/>
  <c r="V157" i="1"/>
  <c r="W147" i="1"/>
  <c r="AK100" i="1"/>
  <c r="AL100" i="1"/>
  <c r="S100" i="5"/>
  <c r="G203" i="5"/>
  <c r="I203" i="5" s="1"/>
  <c r="W203" i="1"/>
  <c r="V203" i="1"/>
  <c r="T203" i="1"/>
  <c r="BE206" i="1"/>
  <c r="AN206" i="1"/>
  <c r="AP206" i="1"/>
  <c r="AB206" i="5" s="1"/>
  <c r="AM44" i="1"/>
  <c r="AL44" i="1"/>
  <c r="AK44" i="1"/>
  <c r="AJ44" i="1"/>
  <c r="L77" i="1"/>
  <c r="AQ77" i="1"/>
  <c r="BS77" i="1" s="1"/>
  <c r="AH137" i="1"/>
  <c r="E117" i="5"/>
  <c r="X114" i="5"/>
  <c r="F46" i="5"/>
  <c r="AC12" i="5"/>
  <c r="AK170" i="1"/>
  <c r="T19" i="1"/>
  <c r="AL147" i="1"/>
  <c r="AM38" i="1"/>
  <c r="AJ46" i="1"/>
  <c r="S46" i="5"/>
  <c r="V46" i="5" s="1"/>
  <c r="AK46" i="1"/>
  <c r="T173" i="1"/>
  <c r="V23" i="1"/>
  <c r="W23" i="1"/>
  <c r="T23" i="1"/>
  <c r="G23" i="5"/>
  <c r="J23" i="5" s="1"/>
  <c r="U23" i="1"/>
  <c r="BG56" i="1"/>
  <c r="BP56" i="1" s="1" a="1"/>
  <c r="BP56" i="1" s="1"/>
  <c r="T147" i="1"/>
  <c r="W61" i="1"/>
  <c r="BM314" i="3"/>
  <c r="N304" i="5" s="1"/>
  <c r="AM170" i="1"/>
  <c r="E127" i="5"/>
  <c r="AC116" i="5"/>
  <c r="W56" i="1"/>
  <c r="T120" i="1"/>
  <c r="Z22" i="5"/>
  <c r="AL186" i="1"/>
  <c r="AJ186" i="1"/>
  <c r="AK186" i="1"/>
  <c r="AJ147" i="1"/>
  <c r="AJ38" i="1"/>
  <c r="AL190" i="1"/>
  <c r="U173" i="1"/>
  <c r="CD56" i="1"/>
  <c r="AQ209" i="1"/>
  <c r="BS209" i="1" s="1"/>
  <c r="G88" i="5"/>
  <c r="H88" i="5" s="1"/>
  <c r="T88" i="1"/>
  <c r="W88" i="1"/>
  <c r="U88" i="1"/>
  <c r="V88" i="1"/>
  <c r="W198" i="1"/>
  <c r="AW205" i="3"/>
  <c r="X190" i="5"/>
  <c r="AA190" i="5"/>
  <c r="E190" i="5"/>
  <c r="W190" i="5"/>
  <c r="F190" i="5"/>
  <c r="J4" i="5"/>
  <c r="J3" i="5"/>
  <c r="I3" i="5"/>
  <c r="AW25" i="3"/>
  <c r="AN102" i="1"/>
  <c r="BK102" i="1"/>
  <c r="AQ78" i="1"/>
  <c r="BS78" i="1" s="1"/>
  <c r="Z12" i="5"/>
  <c r="V9" i="1"/>
  <c r="W9" i="1"/>
  <c r="G127" i="5"/>
  <c r="J127" i="5" s="1"/>
  <c r="T131" i="1"/>
  <c r="U131" i="1"/>
  <c r="V183" i="1"/>
  <c r="W183" i="1"/>
  <c r="W131" i="1"/>
  <c r="AK137" i="1"/>
  <c r="AM135" i="1"/>
  <c r="S197" i="5"/>
  <c r="AJ197" i="1"/>
  <c r="AL197" i="1"/>
  <c r="AJ29" i="1"/>
  <c r="S29" i="5"/>
  <c r="U29" i="5" s="1"/>
  <c r="U3" i="1"/>
  <c r="V3" i="1"/>
  <c r="AK39" i="1"/>
  <c r="AJ100" i="1"/>
  <c r="AN87" i="1"/>
  <c r="BK87" i="1"/>
  <c r="BZ87" i="1"/>
  <c r="CD87" i="1"/>
  <c r="AC122" i="5"/>
  <c r="Y163" i="5"/>
  <c r="F163" i="5"/>
  <c r="W10" i="1"/>
  <c r="T183" i="1"/>
  <c r="AL137" i="1"/>
  <c r="AK135" i="1"/>
  <c r="AM80" i="1"/>
  <c r="AJ80" i="1"/>
  <c r="S80" i="5"/>
  <c r="V80" i="5" s="1"/>
  <c r="G170" i="5"/>
  <c r="V170" i="1"/>
  <c r="U170" i="1"/>
  <c r="W170" i="1"/>
  <c r="F8" i="5"/>
  <c r="AL133" i="1"/>
  <c r="T162" i="1"/>
  <c r="V123" i="1"/>
  <c r="T123" i="1"/>
  <c r="Z60" i="5"/>
  <c r="F89" i="5"/>
  <c r="AC46" i="5"/>
  <c r="O169" i="5"/>
  <c r="R169" i="5" s="1"/>
  <c r="Z122" i="5"/>
  <c r="N122" i="1" s="1"/>
  <c r="F71" i="5"/>
  <c r="AC163" i="5"/>
  <c r="V127" i="1"/>
  <c r="T28" i="1"/>
  <c r="V104" i="1"/>
  <c r="W104" i="1"/>
  <c r="AJ143" i="1"/>
  <c r="AK143" i="1"/>
  <c r="AM143" i="1"/>
  <c r="G38" i="5"/>
  <c r="G122" i="5"/>
  <c r="H122" i="5" s="1"/>
  <c r="V122" i="1"/>
  <c r="W122" i="1"/>
  <c r="U122" i="1"/>
  <c r="T122" i="1"/>
  <c r="T77" i="5"/>
  <c r="U77" i="5"/>
  <c r="V77" i="5"/>
  <c r="V111" i="5"/>
  <c r="U111" i="5"/>
  <c r="BE33" i="1"/>
  <c r="K33" i="1"/>
  <c r="AL24" i="1"/>
  <c r="S24" i="5"/>
  <c r="AM24" i="1"/>
  <c r="AJ24" i="1"/>
  <c r="AK24" i="1"/>
  <c r="X191" i="5"/>
  <c r="AA191" i="5"/>
  <c r="Z191" i="5"/>
  <c r="AC191" i="5"/>
  <c r="Y191" i="5"/>
  <c r="E191" i="5"/>
  <c r="F191" i="5"/>
  <c r="D191" i="5"/>
  <c r="D8" i="5"/>
  <c r="U162" i="1"/>
  <c r="AK136" i="1"/>
  <c r="AJ136" i="1"/>
  <c r="AG169" i="1"/>
  <c r="AE169" i="1"/>
  <c r="T127" i="1"/>
  <c r="AF169" i="1"/>
  <c r="AL143" i="1"/>
  <c r="AM169" i="1"/>
  <c r="S169" i="5"/>
  <c r="U169" i="5" s="1"/>
  <c r="AL169" i="1"/>
  <c r="J200" i="1"/>
  <c r="BG183" i="1"/>
  <c r="BF183" i="1"/>
  <c r="X209" i="5"/>
  <c r="Z209" i="5"/>
  <c r="AA209" i="5"/>
  <c r="Y209" i="5"/>
  <c r="BD94" i="1"/>
  <c r="J94" i="1"/>
  <c r="CD94" i="1" s="1"/>
  <c r="AN193" i="1"/>
  <c r="BZ193" i="1"/>
  <c r="K119" i="1"/>
  <c r="AP119" i="1"/>
  <c r="AB119" i="5" s="1"/>
  <c r="BD119" i="1"/>
  <c r="J132" i="1"/>
  <c r="BG132" i="1" s="1"/>
  <c r="BP132" i="1" s="1" a="1"/>
  <c r="BP132" i="1" s="1"/>
  <c r="AM87" i="1"/>
  <c r="AM7" i="1"/>
  <c r="AL7" i="1"/>
  <c r="U136" i="1"/>
  <c r="W136" i="1"/>
  <c r="BE77" i="1"/>
  <c r="F183" i="5"/>
  <c r="W183" i="5"/>
  <c r="X183" i="5"/>
  <c r="E183" i="5"/>
  <c r="AC201" i="5"/>
  <c r="Z201" i="5"/>
  <c r="N201" i="1" s="1"/>
  <c r="AA201" i="5"/>
  <c r="O201" i="1" s="1"/>
  <c r="X201" i="5"/>
  <c r="CA4" i="1"/>
  <c r="BK4" i="1"/>
  <c r="AQ200" i="1"/>
  <c r="BS200" i="1" s="1"/>
  <c r="K152" i="5"/>
  <c r="M152" i="5" s="1"/>
  <c r="AA152" i="1"/>
  <c r="AQ208" i="1"/>
  <c r="BS208" i="1" s="1"/>
  <c r="BE208" i="1"/>
  <c r="AJ108" i="1"/>
  <c r="S108" i="5"/>
  <c r="V108" i="5" s="1"/>
  <c r="AM108" i="1"/>
  <c r="AK193" i="1"/>
  <c r="D183" i="5"/>
  <c r="F201" i="5"/>
  <c r="AN4" i="1"/>
  <c r="BD35" i="1"/>
  <c r="AP35" i="1"/>
  <c r="AB35" i="5" s="1"/>
  <c r="J35" i="1"/>
  <c r="CD35" i="1" s="1"/>
  <c r="AA197" i="5"/>
  <c r="D197" i="5"/>
  <c r="Y197" i="5"/>
  <c r="X197" i="5"/>
  <c r="BE56" i="1"/>
  <c r="BU56" i="1" s="1"/>
  <c r="AP56" i="1"/>
  <c r="AB56" i="5" s="1"/>
  <c r="CA35" i="1"/>
  <c r="Z184" i="5"/>
  <c r="W184" i="5"/>
  <c r="Y184" i="5"/>
  <c r="AA184" i="5"/>
  <c r="S171" i="5"/>
  <c r="AM171" i="1"/>
  <c r="AL171" i="1"/>
  <c r="AB9" i="1"/>
  <c r="Y9" i="1"/>
  <c r="Z9" i="1"/>
  <c r="K131" i="5"/>
  <c r="M131" i="5" s="1"/>
  <c r="Z131" i="1"/>
  <c r="AB131" i="1"/>
  <c r="AA131" i="1"/>
  <c r="BQ87" i="1"/>
  <c r="BN87" i="1" s="1"/>
  <c r="AL97" i="1"/>
  <c r="AQ27" i="1"/>
  <c r="BS27" i="1" s="1"/>
  <c r="W200" i="1"/>
  <c r="J205" i="1"/>
  <c r="BF205" i="1" s="1"/>
  <c r="K25" i="1"/>
  <c r="S193" i="5"/>
  <c r="S11" i="5"/>
  <c r="T11" i="5" s="1"/>
  <c r="K208" i="1"/>
  <c r="BK68" i="1"/>
  <c r="AN67" i="1"/>
  <c r="AN54" i="1"/>
  <c r="AJ7" i="1"/>
  <c r="K165" i="1"/>
  <c r="AA183" i="5"/>
  <c r="D201" i="5"/>
  <c r="AQ24" i="1"/>
  <c r="BS24" i="1" s="1"/>
  <c r="J24" i="1"/>
  <c r="CD24" i="1" s="1"/>
  <c r="K24" i="1"/>
  <c r="BE95" i="1"/>
  <c r="BU95" i="1" s="1"/>
  <c r="BG201" i="1"/>
  <c r="BP201" i="1" s="1" a="1"/>
  <c r="BP201" i="1" s="1"/>
  <c r="CD201" i="1"/>
  <c r="BW201" i="1"/>
  <c r="BD56" i="1"/>
  <c r="E184" i="5"/>
  <c r="BL177" i="3"/>
  <c r="J177" i="5" s="1"/>
  <c r="K134" i="5"/>
  <c r="Z134" i="1"/>
  <c r="AA134" i="1"/>
  <c r="AP103" i="1"/>
  <c r="BD103" i="1"/>
  <c r="K103" i="1"/>
  <c r="W69" i="1"/>
  <c r="U71" i="1"/>
  <c r="S129" i="5"/>
  <c r="BG5" i="1"/>
  <c r="S91" i="5"/>
  <c r="U140" i="1"/>
  <c r="W140" i="1"/>
  <c r="U200" i="1"/>
  <c r="AK141" i="1"/>
  <c r="BD208" i="1"/>
  <c r="AN185" i="1"/>
  <c r="V68" i="1"/>
  <c r="G68" i="5"/>
  <c r="J68" i="5" s="1"/>
  <c r="AK7" i="1"/>
  <c r="BK209" i="1"/>
  <c r="AC183" i="5"/>
  <c r="Y201" i="5"/>
  <c r="CA47" i="1"/>
  <c r="AC199" i="5"/>
  <c r="AA199" i="5"/>
  <c r="K56" i="1"/>
  <c r="X184" i="5"/>
  <c r="K72" i="5"/>
  <c r="M72" i="5" s="1"/>
  <c r="AB72" i="1"/>
  <c r="Y72" i="1"/>
  <c r="Z72" i="1"/>
  <c r="AK69" i="1"/>
  <c r="S81" i="5"/>
  <c r="S131" i="5"/>
  <c r="AK131" i="1"/>
  <c r="AL131" i="1"/>
  <c r="CA65" i="1"/>
  <c r="BK65" i="1"/>
  <c r="AN85" i="1"/>
  <c r="BK85" i="1"/>
  <c r="AP195" i="1"/>
  <c r="AB195" i="5" s="1"/>
  <c r="BE195" i="1"/>
  <c r="J195" i="1"/>
  <c r="CD195" i="1" s="1"/>
  <c r="L200" i="5"/>
  <c r="N200" i="5"/>
  <c r="M200" i="5"/>
  <c r="BL276" i="3"/>
  <c r="J340" i="5" s="1"/>
  <c r="BD67" i="1"/>
  <c r="J67" i="1"/>
  <c r="AZ67" i="1" s="1"/>
  <c r="BE67" i="1"/>
  <c r="K67" i="1"/>
  <c r="AP67" i="1"/>
  <c r="AB67" i="5" s="1"/>
  <c r="CA169" i="1"/>
  <c r="AN169" i="1"/>
  <c r="AC184" i="5"/>
  <c r="AA72" i="1"/>
  <c r="AB117" i="1"/>
  <c r="AA117" i="1"/>
  <c r="Z117" i="1"/>
  <c r="Y117" i="1"/>
  <c r="AJ91" i="1"/>
  <c r="BF19" i="1"/>
  <c r="BG19" i="1" s="1"/>
  <c r="BP19" i="1" s="1" a="1"/>
  <c r="BP19" i="1" s="1"/>
  <c r="T76" i="1"/>
  <c r="AL126" i="1"/>
  <c r="AN172" i="1"/>
  <c r="AM131" i="1"/>
  <c r="W201" i="5"/>
  <c r="AN65" i="1"/>
  <c r="V124" i="1"/>
  <c r="U124" i="1"/>
  <c r="BG103" i="1"/>
  <c r="BP103" i="1" s="1" a="1"/>
  <c r="BP103" i="1" s="1"/>
  <c r="BF103" i="1"/>
  <c r="K62" i="1"/>
  <c r="K195" i="1"/>
  <c r="CD170" i="1"/>
  <c r="BW170" i="1"/>
  <c r="K31" i="5"/>
  <c r="L31" i="5" s="1"/>
  <c r="AA31" i="1"/>
  <c r="Z31" i="1"/>
  <c r="Y76" i="1"/>
  <c r="AB76" i="1"/>
  <c r="Z76" i="1"/>
  <c r="K76" i="5"/>
  <c r="N76" i="5" s="1"/>
  <c r="Z139" i="1"/>
  <c r="Z136" i="1"/>
  <c r="K136" i="5"/>
  <c r="Y136" i="1"/>
  <c r="Z30" i="1"/>
  <c r="Y30" i="1"/>
  <c r="AA30" i="1"/>
  <c r="K30" i="5"/>
  <c r="M30" i="5" s="1"/>
  <c r="AN96" i="1"/>
  <c r="BG122" i="1"/>
  <c r="BP122" i="1" s="1" a="1"/>
  <c r="BP122" i="1" s="1"/>
  <c r="CD103" i="1"/>
  <c r="CD172" i="1"/>
  <c r="BD37" i="1"/>
  <c r="BE37" i="1"/>
  <c r="K122" i="1"/>
  <c r="AP122" i="1"/>
  <c r="AB122" i="5" s="1"/>
  <c r="BD122" i="1"/>
  <c r="AA146" i="1"/>
  <c r="K149" i="5"/>
  <c r="N149" i="5" s="1"/>
  <c r="AA149" i="1"/>
  <c r="AB130" i="1"/>
  <c r="K130" i="5"/>
  <c r="M130" i="5" s="1"/>
  <c r="AM203" i="1"/>
  <c r="G155" i="5"/>
  <c r="J155" i="5" s="1"/>
  <c r="V100" i="1"/>
  <c r="AK188" i="1"/>
  <c r="AL91" i="1"/>
  <c r="AK129" i="1"/>
  <c r="AL141" i="1"/>
  <c r="AN122" i="1"/>
  <c r="J77" i="1"/>
  <c r="T136" i="1"/>
  <c r="AJ11" i="1"/>
  <c r="AK126" i="1"/>
  <c r="AP200" i="1"/>
  <c r="AB200" i="5" s="1"/>
  <c r="BK84" i="1"/>
  <c r="BE122" i="1"/>
  <c r="BU122" i="1" s="1"/>
  <c r="BD89" i="1"/>
  <c r="K89" i="1"/>
  <c r="AP192" i="1"/>
  <c r="AB192" i="5" s="1"/>
  <c r="BD192" i="1"/>
  <c r="AP22" i="1"/>
  <c r="AB22" i="5" s="1"/>
  <c r="BD22" i="1"/>
  <c r="BD104" i="1"/>
  <c r="J104" i="1"/>
  <c r="BF104" i="1" s="1"/>
  <c r="AQ8" i="1"/>
  <c r="BE8" i="1"/>
  <c r="BU8" i="1" s="1"/>
  <c r="AP8" i="1"/>
  <c r="AB8" i="5" s="1"/>
  <c r="K8" i="1"/>
  <c r="Z103" i="1"/>
  <c r="K103" i="5"/>
  <c r="M103" i="5" s="1"/>
  <c r="M153" i="5"/>
  <c r="L153" i="5"/>
  <c r="BF117" i="1"/>
  <c r="BG117" i="1"/>
  <c r="BP117" i="1" s="1" a="1"/>
  <c r="BP117" i="1" s="1"/>
  <c r="BE200" i="1"/>
  <c r="BE192" i="1"/>
  <c r="BU192" i="1" s="1"/>
  <c r="BE191" i="1"/>
  <c r="BH191" i="1"/>
  <c r="Q116" i="1"/>
  <c r="R116" i="1" s="1"/>
  <c r="BD116" i="1"/>
  <c r="BE116" i="1"/>
  <c r="BU116" i="1" s="1"/>
  <c r="K116" i="1"/>
  <c r="AP104" i="1"/>
  <c r="K138" i="5"/>
  <c r="L138" i="5" s="1"/>
  <c r="Z138" i="1"/>
  <c r="Y138" i="1"/>
  <c r="U155" i="1"/>
  <c r="G71" i="5"/>
  <c r="I71" i="5" s="1"/>
  <c r="AJ110" i="1"/>
  <c r="U36" i="1"/>
  <c r="V36" i="1"/>
  <c r="AK111" i="1"/>
  <c r="S50" i="5"/>
  <c r="T50" i="5" s="1"/>
  <c r="AJ50" i="1"/>
  <c r="AL11" i="1"/>
  <c r="AM30" i="1"/>
  <c r="BK36" i="1"/>
  <c r="AP72" i="1"/>
  <c r="AB72" i="5" s="1"/>
  <c r="BE72" i="1"/>
  <c r="AN37" i="1"/>
  <c r="BK76" i="1"/>
  <c r="F205" i="5"/>
  <c r="E205" i="5"/>
  <c r="AA205" i="5"/>
  <c r="AC205" i="5"/>
  <c r="AP191" i="1"/>
  <c r="AC194" i="5"/>
  <c r="F194" i="5"/>
  <c r="BK35" i="1"/>
  <c r="AP116" i="1"/>
  <c r="BK134" i="1"/>
  <c r="AN134" i="1"/>
  <c r="K5" i="5"/>
  <c r="Z5" i="1"/>
  <c r="K191" i="5"/>
  <c r="L191" i="5" s="1"/>
  <c r="Y191" i="1"/>
  <c r="AA191" i="1"/>
  <c r="AB138" i="1"/>
  <c r="U82" i="1"/>
  <c r="AM50" i="1"/>
  <c r="AL108" i="1"/>
  <c r="AJ30" i="1"/>
  <c r="BD77" i="1"/>
  <c r="AA203" i="5"/>
  <c r="AC203" i="5"/>
  <c r="E203" i="5"/>
  <c r="BU183" i="1"/>
  <c r="BD140" i="1"/>
  <c r="K140" i="1"/>
  <c r="AP140" i="1"/>
  <c r="AB140" i="5" s="1"/>
  <c r="BK81" i="1"/>
  <c r="AQ116" i="1"/>
  <c r="BS116" i="1" s="1"/>
  <c r="AP47" i="1"/>
  <c r="AB47" i="5" s="1"/>
  <c r="BD47" i="1"/>
  <c r="BE47" i="1"/>
  <c r="J47" i="1"/>
  <c r="K205" i="5"/>
  <c r="Z205" i="1"/>
  <c r="AA205" i="1"/>
  <c r="Y81" i="1"/>
  <c r="AA81" i="1"/>
  <c r="Z81" i="1"/>
  <c r="K78" i="5"/>
  <c r="L78" i="5" s="1"/>
  <c r="Z78" i="1"/>
  <c r="AA78" i="1"/>
  <c r="BK195" i="1"/>
  <c r="J96" i="1"/>
  <c r="BF96" i="1" s="1"/>
  <c r="J83" i="1"/>
  <c r="AP53" i="1"/>
  <c r="AB53" i="5" s="1"/>
  <c r="K164" i="1"/>
  <c r="AP186" i="1"/>
  <c r="AB186" i="5" s="1"/>
  <c r="BE186" i="1"/>
  <c r="W206" i="5"/>
  <c r="K69" i="5"/>
  <c r="M69" i="5" s="1"/>
  <c r="Y69" i="1"/>
  <c r="AB35" i="1"/>
  <c r="Z35" i="1"/>
  <c r="AA35" i="1"/>
  <c r="K64" i="5"/>
  <c r="N64" i="5" s="1"/>
  <c r="Z64" i="1"/>
  <c r="AL168" i="1"/>
  <c r="K188" i="5"/>
  <c r="N188" i="5" s="1"/>
  <c r="Y188" i="1"/>
  <c r="AA188" i="1"/>
  <c r="W168" i="5"/>
  <c r="J176" i="5"/>
  <c r="AC196" i="5"/>
  <c r="F196" i="5"/>
  <c r="AA196" i="5"/>
  <c r="BD99" i="1"/>
  <c r="K107" i="5"/>
  <c r="AA107" i="1"/>
  <c r="K101" i="5"/>
  <c r="N101" i="5" s="1"/>
  <c r="Y101" i="1"/>
  <c r="K21" i="5"/>
  <c r="L21" i="5" s="1"/>
  <c r="Z21" i="1"/>
  <c r="G171" i="5"/>
  <c r="I171" i="5" s="1"/>
  <c r="V171" i="1"/>
  <c r="Z168" i="5"/>
  <c r="N168" i="1" s="1"/>
  <c r="K75" i="5"/>
  <c r="M75" i="5" s="1"/>
  <c r="Z75" i="1"/>
  <c r="AA75" i="1"/>
  <c r="K89" i="5"/>
  <c r="L89" i="5" s="1"/>
  <c r="Y89" i="1"/>
  <c r="Z89" i="1"/>
  <c r="AP130" i="1"/>
  <c r="AB130" i="5" s="1"/>
  <c r="K130" i="1"/>
  <c r="K22" i="5"/>
  <c r="L22" i="5" s="1"/>
  <c r="AB22" i="1"/>
  <c r="Y22" i="1"/>
  <c r="K171" i="5"/>
  <c r="N171" i="5" s="1"/>
  <c r="AA171" i="1"/>
  <c r="AA123" i="1"/>
  <c r="Y123" i="1"/>
  <c r="BD83" i="1"/>
  <c r="AC187" i="5"/>
  <c r="AP183" i="1"/>
  <c r="AB183" i="5" s="1"/>
  <c r="BE29" i="1"/>
  <c r="BU29" i="1" s="1"/>
  <c r="BD117" i="1"/>
  <c r="AP60" i="1"/>
  <c r="AB60" i="5" s="1"/>
  <c r="J107" i="1"/>
  <c r="BG107" i="1" s="1"/>
  <c r="BE101" i="1"/>
  <c r="K98" i="1"/>
  <c r="BK183" i="1"/>
  <c r="W196" i="5"/>
  <c r="BE130" i="1"/>
  <c r="BU130" i="1" s="1"/>
  <c r="AP99" i="1"/>
  <c r="AB99" i="5" s="1"/>
  <c r="AA22" i="1"/>
  <c r="BD128" i="1"/>
  <c r="AP172" i="1"/>
  <c r="Z101" i="1"/>
  <c r="Y143" i="1"/>
  <c r="K94" i="5"/>
  <c r="M94" i="5" s="1"/>
  <c r="AA94" i="1"/>
  <c r="AB94" i="1"/>
  <c r="K122" i="5"/>
  <c r="Y122" i="1"/>
  <c r="Z163" i="1"/>
  <c r="D168" i="5"/>
  <c r="AA166" i="1"/>
  <c r="Z123" i="1"/>
  <c r="AN83" i="1"/>
  <c r="K125" i="1"/>
  <c r="AA187" i="5"/>
  <c r="K60" i="1"/>
  <c r="AP101" i="1"/>
  <c r="AB101" i="5" s="1"/>
  <c r="AC207" i="5"/>
  <c r="BK60" i="1"/>
  <c r="AP44" i="1"/>
  <c r="BD17" i="1"/>
  <c r="Z196" i="5"/>
  <c r="K128" i="1"/>
  <c r="Y94" i="1"/>
  <c r="AA201" i="1"/>
  <c r="AB171" i="1"/>
  <c r="AA122" i="1"/>
  <c r="CA168" i="1"/>
  <c r="K71" i="5"/>
  <c r="N71" i="5" s="1"/>
  <c r="Z71" i="1"/>
  <c r="K58" i="5"/>
  <c r="L58" i="5" s="1"/>
  <c r="AB58" i="1"/>
  <c r="BK140" i="1"/>
  <c r="F192" i="5"/>
  <c r="Y192" i="5"/>
  <c r="AQ89" i="1"/>
  <c r="BS89" i="1" s="1"/>
  <c r="K24" i="5"/>
  <c r="L24" i="5" s="1"/>
  <c r="AB24" i="1"/>
  <c r="K150" i="5"/>
  <c r="N150" i="5" s="1"/>
  <c r="Y150" i="1"/>
  <c r="K172" i="5"/>
  <c r="M172" i="5" s="1"/>
  <c r="AA172" i="1"/>
  <c r="Z204" i="1"/>
  <c r="AB204" i="1"/>
  <c r="AA204" i="1"/>
  <c r="AQ171" i="1"/>
  <c r="BS171" i="1" s="1"/>
  <c r="L171" i="1"/>
  <c r="AQ53" i="1"/>
  <c r="BS53" i="1" s="1"/>
  <c r="X190" i="1"/>
  <c r="AB190" i="1" s="1"/>
  <c r="AP190" i="1"/>
  <c r="AB190" i="5" s="1"/>
  <c r="E172" i="5"/>
  <c r="AA172" i="5"/>
  <c r="O172" i="1" s="1"/>
  <c r="BL315" i="3"/>
  <c r="J305" i="5" s="1"/>
  <c r="K85" i="5"/>
  <c r="L85" i="5" s="1"/>
  <c r="AA85" i="1"/>
  <c r="AQ47" i="1"/>
  <c r="K17" i="5"/>
  <c r="N17" i="5" s="1"/>
  <c r="AA17" i="1"/>
  <c r="F168" i="5"/>
  <c r="Y168" i="5"/>
  <c r="T105" i="1"/>
  <c r="V105" i="1"/>
  <c r="Y173" i="1"/>
  <c r="AB65" i="1"/>
  <c r="AB3" i="1"/>
  <c r="AQ160" i="1"/>
  <c r="E204" i="5"/>
  <c r="AA121" i="1"/>
  <c r="Y33" i="1"/>
  <c r="AA19" i="1"/>
  <c r="Y38" i="1"/>
  <c r="Y144" i="1"/>
  <c r="Z12" i="1"/>
  <c r="AN52" i="1"/>
  <c r="AQ55" i="1"/>
  <c r="AQ184" i="1"/>
  <c r="BS184" i="1" s="1"/>
  <c r="CA171" i="1"/>
  <c r="BW341" i="1"/>
  <c r="BU135" i="1"/>
  <c r="BF135" i="1"/>
  <c r="CD135" i="1"/>
  <c r="BG135" i="1"/>
  <c r="BP135" i="1" s="1" a="1"/>
  <c r="BP135" i="1" s="1"/>
  <c r="AZ135" i="1"/>
  <c r="BW334" i="1"/>
  <c r="I7" i="5"/>
  <c r="H7" i="5"/>
  <c r="J7" i="5"/>
  <c r="R189" i="5"/>
  <c r="Q189" i="5"/>
  <c r="P189" i="5"/>
  <c r="N148" i="5"/>
  <c r="L148" i="5"/>
  <c r="M148" i="5"/>
  <c r="L11" i="5"/>
  <c r="M11" i="5"/>
  <c r="N11" i="5"/>
  <c r="Q49" i="5"/>
  <c r="R49" i="5"/>
  <c r="P49" i="5"/>
  <c r="BW265" i="1"/>
  <c r="BW211" i="1"/>
  <c r="D99" i="14"/>
  <c r="E99" i="14" s="1"/>
  <c r="R96" i="5"/>
  <c r="Q96" i="5"/>
  <c r="Q13" i="1"/>
  <c r="AD13" i="1"/>
  <c r="S13" i="1"/>
  <c r="BE13" i="3"/>
  <c r="BL13" i="3" s="1"/>
  <c r="BE13" i="1"/>
  <c r="AW13" i="3"/>
  <c r="K13" i="1"/>
  <c r="BD13" i="1"/>
  <c r="J13" i="1"/>
  <c r="W139" i="5"/>
  <c r="D139" i="5"/>
  <c r="E139" i="5"/>
  <c r="Z139" i="5"/>
  <c r="Y139" i="5"/>
  <c r="AD111" i="1"/>
  <c r="Q111" i="1"/>
  <c r="S111" i="1"/>
  <c r="K111" i="1"/>
  <c r="BD111" i="1"/>
  <c r="BE111" i="1"/>
  <c r="BU111" i="1" s="1"/>
  <c r="BE111" i="3"/>
  <c r="BL111" i="3" s="1"/>
  <c r="BH111" i="1"/>
  <c r="AQ111" i="1"/>
  <c r="BS111" i="1" s="1"/>
  <c r="AW111" i="3"/>
  <c r="AP111" i="1"/>
  <c r="AB111" i="5" s="1"/>
  <c r="T125" i="1"/>
  <c r="V125" i="1"/>
  <c r="U125" i="1"/>
  <c r="W125" i="1"/>
  <c r="G125" i="5"/>
  <c r="AN30" i="1"/>
  <c r="BK30" i="1"/>
  <c r="Z27" i="5"/>
  <c r="N27" i="1" s="1"/>
  <c r="AA27" i="5"/>
  <c r="O27" i="1" s="1"/>
  <c r="E27" i="5"/>
  <c r="X27" i="5"/>
  <c r="Y27" i="5"/>
  <c r="D27" i="5"/>
  <c r="W27" i="5"/>
  <c r="AC27" i="5"/>
  <c r="F27" i="5"/>
  <c r="K13" i="5"/>
  <c r="Y15" i="1"/>
  <c r="A54" i="5"/>
  <c r="A54" i="14"/>
  <c r="A22" i="5"/>
  <c r="A22" i="14"/>
  <c r="AD9" i="1"/>
  <c r="Q9" i="1"/>
  <c r="J9" i="1"/>
  <c r="BE9" i="3"/>
  <c r="BL9" i="3" s="1"/>
  <c r="BD9" i="1"/>
  <c r="AQ9" i="1"/>
  <c r="BS9" i="1" s="1"/>
  <c r="K9" i="1"/>
  <c r="BH9" i="1"/>
  <c r="Q146" i="1"/>
  <c r="AD146" i="1"/>
  <c r="BE146" i="3"/>
  <c r="BL146" i="3" s="1"/>
  <c r="BH146" i="1"/>
  <c r="BE146" i="1"/>
  <c r="AP146" i="1"/>
  <c r="AB146" i="5" s="1"/>
  <c r="X11" i="5"/>
  <c r="AC11" i="5"/>
  <c r="F11" i="5"/>
  <c r="W11" i="5"/>
  <c r="Y11" i="5"/>
  <c r="Y13" i="1"/>
  <c r="BZ115" i="1"/>
  <c r="CA115" i="1"/>
  <c r="Q137" i="1"/>
  <c r="S137" i="1"/>
  <c r="X137" i="1"/>
  <c r="J137" i="1"/>
  <c r="BE137" i="3"/>
  <c r="BL137" i="3" s="1"/>
  <c r="BE137" i="1"/>
  <c r="BH137" i="1"/>
  <c r="AB137" i="5"/>
  <c r="BC137" i="3"/>
  <c r="BM137" i="3" s="1"/>
  <c r="AF44" i="1"/>
  <c r="G42" i="5"/>
  <c r="V42" i="1"/>
  <c r="U42" i="1"/>
  <c r="R80" i="5"/>
  <c r="P80" i="5"/>
  <c r="Q80" i="5"/>
  <c r="W135" i="1"/>
  <c r="G135" i="5"/>
  <c r="U135" i="1"/>
  <c r="Z112" i="1"/>
  <c r="T6" i="1"/>
  <c r="V6" i="1"/>
  <c r="A124" i="5"/>
  <c r="A116" i="14"/>
  <c r="A58" i="5"/>
  <c r="A58" i="14"/>
  <c r="BZ113" i="1"/>
  <c r="AN146" i="1"/>
  <c r="AP9" i="1"/>
  <c r="AB9" i="5" s="1"/>
  <c r="D11" i="5"/>
  <c r="B32" i="9"/>
  <c r="B30" i="9"/>
  <c r="F27" i="9"/>
  <c r="F35" i="9"/>
  <c r="F29" i="9"/>
  <c r="B37" i="9"/>
  <c r="B34" i="9"/>
  <c r="F38" i="9"/>
  <c r="F37" i="9"/>
  <c r="F28" i="9"/>
  <c r="F30" i="9"/>
  <c r="B31" i="9"/>
  <c r="B33" i="9"/>
  <c r="F31" i="9"/>
  <c r="B38" i="9"/>
  <c r="A2" i="5"/>
  <c r="F34" i="9"/>
  <c r="F36" i="9"/>
  <c r="B35" i="9"/>
  <c r="B29" i="9"/>
  <c r="B36" i="9"/>
  <c r="F33" i="9"/>
  <c r="F32" i="9"/>
  <c r="B27" i="9"/>
  <c r="B28" i="9"/>
  <c r="A2" i="14"/>
  <c r="A115" i="5"/>
  <c r="A107" i="14"/>
  <c r="A42" i="14"/>
  <c r="A42" i="5"/>
  <c r="S83" i="5"/>
  <c r="AD30" i="1"/>
  <c r="Q30" i="1"/>
  <c r="BE30" i="3"/>
  <c r="BL30" i="3" s="1"/>
  <c r="AQ30" i="1"/>
  <c r="BS30" i="1" s="1"/>
  <c r="BH30" i="1"/>
  <c r="AB30" i="5"/>
  <c r="BZ156" i="1"/>
  <c r="AL155" i="1"/>
  <c r="A27" i="14"/>
  <c r="A27" i="5"/>
  <c r="AB112" i="1"/>
  <c r="BK78" i="1"/>
  <c r="AD63" i="1"/>
  <c r="Q63" i="1"/>
  <c r="S63" i="1"/>
  <c r="J63" i="1"/>
  <c r="K63" i="1"/>
  <c r="BE63" i="3"/>
  <c r="BL63" i="3" s="1"/>
  <c r="BE63" i="1"/>
  <c r="AW63" i="3"/>
  <c r="D28" i="5"/>
  <c r="D39" i="5"/>
  <c r="AA39" i="5"/>
  <c r="X39" i="5"/>
  <c r="W39" i="5"/>
  <c r="A79" i="5"/>
  <c r="A79" i="14"/>
  <c r="AD15" i="1"/>
  <c r="Q15" i="1"/>
  <c r="BE15" i="3"/>
  <c r="BL15" i="3" s="1"/>
  <c r="AQ15" i="1"/>
  <c r="BS15" i="1" s="1"/>
  <c r="AP15" i="1"/>
  <c r="AB15" i="5" s="1"/>
  <c r="BE15" i="1"/>
  <c r="J15" i="1"/>
  <c r="K15" i="1"/>
  <c r="G8" i="5"/>
  <c r="BZ151" i="1"/>
  <c r="BK151" i="1"/>
  <c r="AN151" i="1"/>
  <c r="AQ145" i="1"/>
  <c r="BS145" i="1" s="1"/>
  <c r="AH96" i="1"/>
  <c r="AE96" i="1"/>
  <c r="AF96" i="1"/>
  <c r="AC139" i="5"/>
  <c r="Z136" i="5"/>
  <c r="E136" i="5"/>
  <c r="Y136" i="5"/>
  <c r="AC136" i="5"/>
  <c r="W136" i="5"/>
  <c r="D136" i="5"/>
  <c r="F136" i="5"/>
  <c r="AC148" i="5"/>
  <c r="Y148" i="5"/>
  <c r="X148" i="5"/>
  <c r="Z148" i="5"/>
  <c r="AA148" i="5"/>
  <c r="W148" i="5"/>
  <c r="E148" i="5"/>
  <c r="AA97" i="1"/>
  <c r="AE80" i="1"/>
  <c r="T135" i="1"/>
  <c r="AK155" i="1"/>
  <c r="AD91" i="1"/>
  <c r="Q91" i="1"/>
  <c r="BE91" i="3"/>
  <c r="BL91" i="3" s="1"/>
  <c r="AQ91" i="1"/>
  <c r="BS91" i="1" s="1"/>
  <c r="BE91" i="1"/>
  <c r="K91" i="1"/>
  <c r="BK91" i="1"/>
  <c r="AD135" i="1"/>
  <c r="Q135" i="1"/>
  <c r="BE135" i="3"/>
  <c r="BL135" i="3" s="1"/>
  <c r="AP135" i="1"/>
  <c r="AB135" i="5" s="1"/>
  <c r="A46" i="5"/>
  <c r="A46" i="14"/>
  <c r="BK11" i="1"/>
  <c r="A52" i="5"/>
  <c r="A52" i="14"/>
  <c r="A120" i="5"/>
  <c r="A112" i="14"/>
  <c r="AH189" i="1"/>
  <c r="BZ147" i="1"/>
  <c r="O188" i="1"/>
  <c r="A100" i="14"/>
  <c r="A88" i="5"/>
  <c r="A88" i="14"/>
  <c r="BZ145" i="1"/>
  <c r="M97" i="5"/>
  <c r="Z48" i="1"/>
  <c r="AA48" i="1"/>
  <c r="K48" i="5"/>
  <c r="BL54" i="3"/>
  <c r="AP13" i="1"/>
  <c r="AB13" i="5" s="1"/>
  <c r="AD124" i="1"/>
  <c r="Q124" i="1"/>
  <c r="BE124" i="3"/>
  <c r="BL124" i="3" s="1"/>
  <c r="J124" i="1"/>
  <c r="BE124" i="1"/>
  <c r="K124" i="1"/>
  <c r="AW124" i="3"/>
  <c r="AI124" i="1"/>
  <c r="BD124" i="1"/>
  <c r="F139" i="5"/>
  <c r="W156" i="5"/>
  <c r="D156" i="5"/>
  <c r="Y156" i="5"/>
  <c r="E156" i="5"/>
  <c r="Z156" i="5"/>
  <c r="X156" i="5"/>
  <c r="AD6" i="1"/>
  <c r="Q6" i="1"/>
  <c r="J6" i="1"/>
  <c r="BE6" i="3"/>
  <c r="BL6" i="3" s="1"/>
  <c r="BD6" i="1"/>
  <c r="BE6" i="1"/>
  <c r="AP6" i="1"/>
  <c r="AB6" i="5" s="1"/>
  <c r="AQ6" i="1"/>
  <c r="BS6" i="1" s="1"/>
  <c r="BW285" i="1"/>
  <c r="BK51" i="1"/>
  <c r="BW336" i="1"/>
  <c r="Y115" i="1"/>
  <c r="Z115" i="1"/>
  <c r="AA115" i="1"/>
  <c r="K115" i="5"/>
  <c r="AB115" i="1"/>
  <c r="AN157" i="1"/>
  <c r="BZ157" i="1"/>
  <c r="V114" i="5"/>
  <c r="U114" i="5"/>
  <c r="T114" i="5"/>
  <c r="AL152" i="1"/>
  <c r="S152" i="5"/>
  <c r="AM152" i="1"/>
  <c r="AJ152" i="1"/>
  <c r="AK152" i="1"/>
  <c r="A14" i="5"/>
  <c r="A14" i="14"/>
  <c r="AW137" i="3"/>
  <c r="AB97" i="1"/>
  <c r="AG80" i="1"/>
  <c r="Q157" i="1"/>
  <c r="AD157" i="1"/>
  <c r="J157" i="1"/>
  <c r="AI157" i="1"/>
  <c r="AW157" i="3"/>
  <c r="BE157" i="3"/>
  <c r="BL157" i="3" s="1"/>
  <c r="AM83" i="1"/>
  <c r="AB7" i="1"/>
  <c r="AP91" i="1"/>
  <c r="AB91" i="5" s="1"/>
  <c r="G46" i="5"/>
  <c r="V46" i="1"/>
  <c r="U46" i="1"/>
  <c r="AE189" i="1"/>
  <c r="CD155" i="1"/>
  <c r="A6" i="9"/>
  <c r="A9" i="14"/>
  <c r="A9" i="5"/>
  <c r="G48" i="5"/>
  <c r="AN145" i="1"/>
  <c r="Q136" i="1"/>
  <c r="AD136" i="1"/>
  <c r="J136" i="1"/>
  <c r="AN136" i="1"/>
  <c r="BE136" i="3"/>
  <c r="BL136" i="3" s="1"/>
  <c r="BK136" i="1"/>
  <c r="BE136" i="1"/>
  <c r="BD136" i="1"/>
  <c r="K136" i="1"/>
  <c r="T85" i="5"/>
  <c r="L63" i="1"/>
  <c r="AQ63" i="1"/>
  <c r="BS63" i="1" s="1"/>
  <c r="BK92" i="1"/>
  <c r="AN92" i="1"/>
  <c r="BZ75" i="1"/>
  <c r="BK124" i="1"/>
  <c r="AB48" i="1"/>
  <c r="A67" i="5"/>
  <c r="A67" i="14"/>
  <c r="A16" i="9"/>
  <c r="AN51" i="1"/>
  <c r="R72" i="1"/>
  <c r="N55" i="5"/>
  <c r="L55" i="5"/>
  <c r="AH50" i="1"/>
  <c r="AG50" i="1"/>
  <c r="O50" i="5"/>
  <c r="AD147" i="1"/>
  <c r="Q147" i="1"/>
  <c r="BE147" i="3"/>
  <c r="BL147" i="3" s="1"/>
  <c r="J147" i="1"/>
  <c r="K147" i="1"/>
  <c r="BE147" i="1"/>
  <c r="BH147" i="1"/>
  <c r="BS147" i="1"/>
  <c r="BD147" i="1"/>
  <c r="AW147" i="3"/>
  <c r="AP124" i="1"/>
  <c r="AB124" i="5" s="1"/>
  <c r="AG96" i="1"/>
  <c r="L57" i="5"/>
  <c r="N57" i="5"/>
  <c r="M57" i="5"/>
  <c r="AN14" i="1"/>
  <c r="L115" i="1"/>
  <c r="AQ115" i="1"/>
  <c r="BS115" i="1" s="1"/>
  <c r="K25" i="5"/>
  <c r="Z25" i="1"/>
  <c r="AZ111" i="1"/>
  <c r="CD111" i="1"/>
  <c r="A16" i="14"/>
  <c r="A16" i="5"/>
  <c r="A8" i="5"/>
  <c r="A5" i="9"/>
  <c r="A8" i="14"/>
  <c r="U48" i="1"/>
  <c r="V48" i="1"/>
  <c r="T48" i="1"/>
  <c r="Y148" i="1"/>
  <c r="AB148" i="1"/>
  <c r="AA148" i="1"/>
  <c r="R112" i="1"/>
  <c r="A26" i="14"/>
  <c r="A26" i="5"/>
  <c r="A105" i="14"/>
  <c r="A113" i="5"/>
  <c r="AV139" i="3"/>
  <c r="V17" i="5"/>
  <c r="T184" i="1"/>
  <c r="K6" i="5"/>
  <c r="J146" i="1"/>
  <c r="L60" i="5"/>
  <c r="M60" i="5"/>
  <c r="U115" i="5"/>
  <c r="A75" i="5"/>
  <c r="A75" i="14"/>
  <c r="AL159" i="1"/>
  <c r="A55" i="5"/>
  <c r="A55" i="14"/>
  <c r="BW337" i="1"/>
  <c r="BK111" i="1"/>
  <c r="AN111" i="1"/>
  <c r="BD145" i="1"/>
  <c r="Y147" i="5"/>
  <c r="X147" i="5"/>
  <c r="W147" i="5"/>
  <c r="Z147" i="5"/>
  <c r="D147" i="5"/>
  <c r="AC147" i="5"/>
  <c r="AA147" i="5"/>
  <c r="V25" i="1"/>
  <c r="W25" i="1"/>
  <c r="G25" i="5"/>
  <c r="U25" i="1"/>
  <c r="T25" i="1"/>
  <c r="AB25" i="1"/>
  <c r="K157" i="1"/>
  <c r="BG111" i="1"/>
  <c r="BP111" i="1" s="1" a="1"/>
  <c r="BP111" i="1" s="1"/>
  <c r="BD135" i="1"/>
  <c r="BK113" i="1"/>
  <c r="L120" i="1"/>
  <c r="AQ120" i="1"/>
  <c r="BS120" i="1" s="1"/>
  <c r="BZ120" i="1"/>
  <c r="A12" i="5"/>
  <c r="A12" i="14"/>
  <c r="AD149" i="1"/>
  <c r="Q149" i="1"/>
  <c r="BE149" i="3"/>
  <c r="BL149" i="3" s="1"/>
  <c r="AQ149" i="1"/>
  <c r="BS149" i="1" s="1"/>
  <c r="BE149" i="1"/>
  <c r="BD149" i="1"/>
  <c r="AN149" i="1"/>
  <c r="J149" i="1"/>
  <c r="AP149" i="1"/>
  <c r="AB149" i="5" s="1"/>
  <c r="AW136" i="3"/>
  <c r="D152" i="5"/>
  <c r="F152" i="5"/>
  <c r="AA152" i="5"/>
  <c r="X152" i="5"/>
  <c r="AA86" i="1"/>
  <c r="AB86" i="1"/>
  <c r="Y86" i="1"/>
  <c r="A60" i="5"/>
  <c r="A60" i="14"/>
  <c r="A98" i="14"/>
  <c r="M55" i="5"/>
  <c r="Q92" i="1"/>
  <c r="AD92" i="1"/>
  <c r="BE92" i="3"/>
  <c r="BL92" i="3" s="1"/>
  <c r="AB92" i="5"/>
  <c r="K92" i="1"/>
  <c r="BD92" i="1"/>
  <c r="AW92" i="3"/>
  <c r="BE92" i="1"/>
  <c r="AE50" i="1"/>
  <c r="AD39" i="1"/>
  <c r="J39" i="1"/>
  <c r="Q39" i="1"/>
  <c r="BE39" i="3"/>
  <c r="BL39" i="3" s="1"/>
  <c r="K39" i="1"/>
  <c r="BH39" i="1"/>
  <c r="BD39" i="1"/>
  <c r="AP39" i="1"/>
  <c r="AB39" i="5" s="1"/>
  <c r="AQ39" i="1"/>
  <c r="BS39" i="1" s="1"/>
  <c r="AW39" i="3"/>
  <c r="BE39" i="1"/>
  <c r="E147" i="5"/>
  <c r="AC153" i="5"/>
  <c r="F153" i="5"/>
  <c r="D153" i="5"/>
  <c r="X153" i="5"/>
  <c r="Y153" i="5"/>
  <c r="Z153" i="5"/>
  <c r="AQ154" i="1"/>
  <c r="BS154" i="1" s="1"/>
  <c r="L154" i="1"/>
  <c r="AN26" i="1"/>
  <c r="Q145" i="1"/>
  <c r="AD145" i="1"/>
  <c r="J145" i="1"/>
  <c r="BE145" i="3"/>
  <c r="BL145" i="3" s="1"/>
  <c r="AW145" i="3"/>
  <c r="BH145" i="1"/>
  <c r="AP145" i="1"/>
  <c r="AB145" i="5" s="1"/>
  <c r="BE145" i="1"/>
  <c r="A74" i="5"/>
  <c r="A74" i="14"/>
  <c r="AQ52" i="1"/>
  <c r="BS52" i="1" s="1"/>
  <c r="BZ52" i="1"/>
  <c r="Z112" i="5"/>
  <c r="AC112" i="5"/>
  <c r="AA112" i="5"/>
  <c r="Y112" i="5"/>
  <c r="F112" i="5"/>
  <c r="D112" i="5"/>
  <c r="E112" i="5"/>
  <c r="X112" i="5"/>
  <c r="W112" i="5"/>
  <c r="A90" i="5"/>
  <c r="A23" i="9"/>
  <c r="A90" i="14"/>
  <c r="A78" i="5"/>
  <c r="A78" i="14"/>
  <c r="A11" i="5"/>
  <c r="A11" i="14"/>
  <c r="A8" i="9"/>
  <c r="A45" i="5"/>
  <c r="A45" i="14"/>
  <c r="A111" i="5"/>
  <c r="A103" i="14"/>
  <c r="BZ51" i="1"/>
  <c r="B117" i="14"/>
  <c r="F117" i="14" s="1"/>
  <c r="AL114" i="1"/>
  <c r="BZ26" i="1"/>
  <c r="BG187" i="1"/>
  <c r="A31" i="14"/>
  <c r="AK114" i="1"/>
  <c r="B15" i="14"/>
  <c r="F15" i="14" s="1"/>
  <c r="D15" i="14"/>
  <c r="E15" i="14" s="1"/>
  <c r="CD187" i="1"/>
  <c r="AA13" i="1"/>
  <c r="A53" i="5"/>
  <c r="A53" i="14"/>
  <c r="AH49" i="1"/>
  <c r="AA25" i="1"/>
  <c r="AB157" i="5"/>
  <c r="G184" i="5"/>
  <c r="W184" i="1"/>
  <c r="U184" i="1"/>
  <c r="AV14" i="3"/>
  <c r="BF190" i="1"/>
  <c r="AZ190" i="1"/>
  <c r="BG190" i="1"/>
  <c r="BP190" i="1" s="1" a="1"/>
  <c r="BP190" i="1" s="1"/>
  <c r="AA54" i="1"/>
  <c r="Z54" i="1"/>
  <c r="Y54" i="1"/>
  <c r="W42" i="1"/>
  <c r="K149" i="1"/>
  <c r="K146" i="1"/>
  <c r="AP136" i="1"/>
  <c r="AB136" i="5" s="1"/>
  <c r="E152" i="5"/>
  <c r="Z11" i="5"/>
  <c r="N60" i="5"/>
  <c r="BK75" i="1"/>
  <c r="D114" i="14"/>
  <c r="E114" i="14" s="1"/>
  <c r="AN6" i="1"/>
  <c r="BZ6" i="1"/>
  <c r="BK6" i="1"/>
  <c r="AF50" i="1"/>
  <c r="Q2" i="1"/>
  <c r="AD2" i="1"/>
  <c r="AI2" i="1"/>
  <c r="BE2" i="1"/>
  <c r="AW2" i="3"/>
  <c r="J2" i="1"/>
  <c r="BD2" i="1"/>
  <c r="K2" i="1"/>
  <c r="AP2" i="1"/>
  <c r="AB2" i="5" s="1"/>
  <c r="F147" i="5"/>
  <c r="Y110" i="5"/>
  <c r="W110" i="5"/>
  <c r="AA110" i="5"/>
  <c r="Z110" i="5"/>
  <c r="X110" i="5"/>
  <c r="F110" i="5"/>
  <c r="D110" i="5"/>
  <c r="R50" i="1"/>
  <c r="AB160" i="1"/>
  <c r="Y160" i="1"/>
  <c r="Z160" i="1"/>
  <c r="AA160" i="1"/>
  <c r="K160" i="5"/>
  <c r="BW314" i="1"/>
  <c r="BW332" i="1"/>
  <c r="AQ157" i="1"/>
  <c r="BS157" i="1" s="1"/>
  <c r="BW307" i="1"/>
  <c r="B69" i="14"/>
  <c r="F69" i="14" s="1"/>
  <c r="W45" i="1"/>
  <c r="U45" i="1"/>
  <c r="G45" i="5"/>
  <c r="V45" i="1"/>
  <c r="A116" i="5"/>
  <c r="A108" i="14"/>
  <c r="I96" i="5"/>
  <c r="H96" i="5"/>
  <c r="T202" i="5"/>
  <c r="V202" i="5"/>
  <c r="U202" i="5"/>
  <c r="V198" i="5"/>
  <c r="U198" i="5"/>
  <c r="T198" i="5"/>
  <c r="T32" i="1"/>
  <c r="G32" i="5"/>
  <c r="V32" i="1"/>
  <c r="W32" i="1"/>
  <c r="U32" i="1"/>
  <c r="A17" i="5"/>
  <c r="A17" i="14"/>
  <c r="A30" i="14"/>
  <c r="A30" i="5"/>
  <c r="B49" i="14"/>
  <c r="F49" i="14" s="1"/>
  <c r="D49" i="14"/>
  <c r="E49" i="14" s="1"/>
  <c r="BK14" i="1"/>
  <c r="A24" i="9"/>
  <c r="A91" i="5"/>
  <c r="A91" i="14"/>
  <c r="A119" i="5"/>
  <c r="A111" i="14"/>
  <c r="AG189" i="1"/>
  <c r="AF189" i="1"/>
  <c r="BN188" i="1"/>
  <c r="BF155" i="1"/>
  <c r="BG155" i="1" s="1"/>
  <c r="BP155" i="1" s="1" a="1"/>
  <c r="BP155" i="1" s="1"/>
  <c r="A47" i="5"/>
  <c r="A47" i="14"/>
  <c r="A114" i="5"/>
  <c r="A106" i="14"/>
  <c r="A70" i="5"/>
  <c r="A19" i="9"/>
  <c r="A70" i="14"/>
  <c r="A112" i="5"/>
  <c r="A104" i="14"/>
  <c r="W6" i="1"/>
  <c r="BH91" i="1"/>
  <c r="BQ113" i="1"/>
  <c r="BN113" i="1" s="1"/>
  <c r="BK137" i="1"/>
  <c r="BE9" i="1"/>
  <c r="BD146" i="1"/>
  <c r="E11" i="5"/>
  <c r="BZ153" i="1"/>
  <c r="L147" i="1"/>
  <c r="BW305" i="1"/>
  <c r="Q14" i="1"/>
  <c r="AD14" i="1"/>
  <c r="J14" i="1"/>
  <c r="BE14" i="3"/>
  <c r="BL14" i="3" s="1"/>
  <c r="AW14" i="3"/>
  <c r="BH14" i="1"/>
  <c r="BE14" i="1"/>
  <c r="AP14" i="1"/>
  <c r="AB14" i="5" s="1"/>
  <c r="BC43" i="3"/>
  <c r="BM43" i="3" s="1"/>
  <c r="J43" i="1"/>
  <c r="AW43" i="3"/>
  <c r="BD43" i="1"/>
  <c r="BE43" i="3"/>
  <c r="BL43" i="3" s="1"/>
  <c r="D6" i="5"/>
  <c r="F6" i="5"/>
  <c r="Y6" i="5"/>
  <c r="O113" i="1"/>
  <c r="AV113" i="3" s="1"/>
  <c r="W6" i="5"/>
  <c r="E6" i="5"/>
  <c r="O91" i="1"/>
  <c r="O206" i="1"/>
  <c r="O102" i="1"/>
  <c r="E110" i="5"/>
  <c r="AD139" i="1"/>
  <c r="Q139" i="1"/>
  <c r="BE139" i="3"/>
  <c r="BL139" i="3" s="1"/>
  <c r="BD139" i="1"/>
  <c r="AP139" i="1"/>
  <c r="AB139" i="5" s="1"/>
  <c r="AQ139" i="1"/>
  <c r="BS139" i="1" s="1"/>
  <c r="Z148" i="1"/>
  <c r="U66" i="1"/>
  <c r="T66" i="1"/>
  <c r="W66" i="1"/>
  <c r="V66" i="1"/>
  <c r="G66" i="5"/>
  <c r="L195" i="1"/>
  <c r="M195" i="1"/>
  <c r="AN152" i="1"/>
  <c r="BW327" i="1"/>
  <c r="AM159" i="1"/>
  <c r="AK159" i="1"/>
  <c r="S159" i="5"/>
  <c r="AE49" i="1"/>
  <c r="AF49" i="1"/>
  <c r="T7" i="1"/>
  <c r="W7" i="1"/>
  <c r="Z11" i="1"/>
  <c r="AB11" i="1"/>
  <c r="Z15" i="1"/>
  <c r="AA15" i="1"/>
  <c r="K15" i="5"/>
  <c r="B23" i="14"/>
  <c r="F23" i="14" s="1"/>
  <c r="A13" i="5"/>
  <c r="A13" i="14"/>
  <c r="A28" i="5"/>
  <c r="A28" i="14"/>
  <c r="O44" i="5"/>
  <c r="AH44" i="1"/>
  <c r="AG49" i="1"/>
  <c r="U7" i="1"/>
  <c r="U82" i="5"/>
  <c r="T82" i="5"/>
  <c r="Y11" i="1"/>
  <c r="D23" i="14"/>
  <c r="E23" i="14" s="1"/>
  <c r="A43" i="5"/>
  <c r="A43" i="14"/>
  <c r="Z13" i="1"/>
  <c r="A44" i="14"/>
  <c r="A44" i="5"/>
  <c r="Z97" i="1"/>
  <c r="AF80" i="1"/>
  <c r="A50" i="5"/>
  <c r="A50" i="14"/>
  <c r="V7" i="1"/>
  <c r="A82" i="14"/>
  <c r="A82" i="5"/>
  <c r="AA11" i="1"/>
  <c r="R206" i="1"/>
  <c r="G6" i="5"/>
  <c r="BZ124" i="1"/>
  <c r="A32" i="5"/>
  <c r="A9" i="9"/>
  <c r="A32" i="14"/>
  <c r="BK146" i="1"/>
  <c r="AW9" i="3"/>
  <c r="W28" i="5"/>
  <c r="Z28" i="5"/>
  <c r="N28" i="1" s="1"/>
  <c r="AA28" i="5"/>
  <c r="O28" i="1" s="1"/>
  <c r="X28" i="5"/>
  <c r="AW146" i="3"/>
  <c r="AA11" i="5"/>
  <c r="BK15" i="1"/>
  <c r="Q187" i="1"/>
  <c r="AD187" i="1"/>
  <c r="AN187" i="1"/>
  <c r="AW187" i="3"/>
  <c r="AI187" i="1"/>
  <c r="AP187" i="1"/>
  <c r="AB187" i="5" s="1"/>
  <c r="K187" i="1"/>
  <c r="BE187" i="1"/>
  <c r="BU187" i="1" s="1"/>
  <c r="L52" i="1"/>
  <c r="BK154" i="1"/>
  <c r="BZ154" i="1"/>
  <c r="AN154" i="1"/>
  <c r="BZ152" i="1"/>
  <c r="Y151" i="5"/>
  <c r="D151" i="5"/>
  <c r="Z151" i="5"/>
  <c r="AA151" i="5"/>
  <c r="AC151" i="5"/>
  <c r="F151" i="5"/>
  <c r="E151" i="5"/>
  <c r="X151" i="5"/>
  <c r="A15" i="9"/>
  <c r="A66" i="5"/>
  <c r="A66" i="14"/>
  <c r="AD75" i="1"/>
  <c r="Q75" i="1"/>
  <c r="J75" i="1"/>
  <c r="AI75" i="1"/>
  <c r="AP75" i="1"/>
  <c r="AB75" i="5" s="1"/>
  <c r="BE75" i="1"/>
  <c r="BE75" i="3"/>
  <c r="BL75" i="3" s="1"/>
  <c r="BD75" i="1"/>
  <c r="AW75" i="3"/>
  <c r="K75" i="1"/>
  <c r="BH75" i="1"/>
  <c r="BC26" i="3"/>
  <c r="BM26" i="3" s="1"/>
  <c r="X26" i="1"/>
  <c r="Q26" i="1"/>
  <c r="J64" i="5"/>
  <c r="A72" i="5"/>
  <c r="A21" i="9"/>
  <c r="A72" i="14"/>
  <c r="P88" i="5"/>
  <c r="AF27" i="1"/>
  <c r="AD155" i="1"/>
  <c r="Q155" i="1"/>
  <c r="BE155" i="3"/>
  <c r="BL155" i="3" s="1"/>
  <c r="AP155" i="1"/>
  <c r="AB155" i="5" s="1"/>
  <c r="E31" i="5"/>
  <c r="AH26" i="1"/>
  <c r="E115" i="5"/>
  <c r="Z115" i="5"/>
  <c r="AC115" i="5"/>
  <c r="Z30" i="5"/>
  <c r="Y30" i="5"/>
  <c r="W30" i="5"/>
  <c r="E30" i="5"/>
  <c r="F30" i="5"/>
  <c r="G49" i="5"/>
  <c r="V49" i="1"/>
  <c r="U49" i="1"/>
  <c r="V50" i="1"/>
  <c r="AL204" i="1"/>
  <c r="AK204" i="1"/>
  <c r="AJ204" i="1"/>
  <c r="BD26" i="1"/>
  <c r="BK135" i="1"/>
  <c r="A13" i="9"/>
  <c r="A64" i="14"/>
  <c r="A64" i="5"/>
  <c r="A97" i="14"/>
  <c r="BE110" i="3"/>
  <c r="BL110" i="3" s="1"/>
  <c r="S110" i="1"/>
  <c r="AG27" i="1"/>
  <c r="AE26" i="1"/>
  <c r="AD115" i="1"/>
  <c r="Q115" i="1"/>
  <c r="BE115" i="3"/>
  <c r="BL115" i="3" s="1"/>
  <c r="J115" i="1"/>
  <c r="AB115" i="5"/>
  <c r="X30" i="5"/>
  <c r="BG54" i="1"/>
  <c r="BP54" i="1" s="1" a="1"/>
  <c r="BP54" i="1" s="1"/>
  <c r="BF54" i="1"/>
  <c r="W44" i="5"/>
  <c r="D44" i="5"/>
  <c r="AA44" i="5"/>
  <c r="E44" i="5"/>
  <c r="Y44" i="5"/>
  <c r="S207" i="5"/>
  <c r="AJ207" i="1"/>
  <c r="AM207" i="1"/>
  <c r="AK207" i="1"/>
  <c r="AL207" i="1"/>
  <c r="A92" i="5"/>
  <c r="A25" i="9"/>
  <c r="A92" i="14"/>
  <c r="AN139" i="1"/>
  <c r="A25" i="14"/>
  <c r="A25" i="5"/>
  <c r="A83" i="5"/>
  <c r="A83" i="14"/>
  <c r="A3" i="9"/>
  <c r="A6" i="5"/>
  <c r="A6" i="14"/>
  <c r="AK82" i="1"/>
  <c r="G51" i="5"/>
  <c r="A87" i="14"/>
  <c r="BG188" i="1"/>
  <c r="BP188" i="1" s="1" a="1"/>
  <c r="BP188" i="1" s="1"/>
  <c r="BD31" i="1"/>
  <c r="Z53" i="1"/>
  <c r="W51" i="1"/>
  <c r="V44" i="1"/>
  <c r="AD142" i="1"/>
  <c r="Q142" i="1"/>
  <c r="J142" i="1"/>
  <c r="BE142" i="3"/>
  <c r="BL142" i="3" s="1"/>
  <c r="F9" i="5"/>
  <c r="AC43" i="5"/>
  <c r="A85" i="14"/>
  <c r="A85" i="5"/>
  <c r="AN15" i="1"/>
  <c r="AD120" i="1"/>
  <c r="Q120" i="1"/>
  <c r="BE120" i="3"/>
  <c r="BL120" i="3" s="1"/>
  <c r="BK120" i="1"/>
  <c r="J120" i="1"/>
  <c r="AI120" i="1"/>
  <c r="AJ158" i="1"/>
  <c r="W64" i="1"/>
  <c r="BD113" i="1"/>
  <c r="W67" i="1"/>
  <c r="AQ153" i="1"/>
  <c r="BS153" i="1" s="1"/>
  <c r="K110" i="1"/>
  <c r="W51" i="5"/>
  <c r="Y42" i="1"/>
  <c r="U186" i="1"/>
  <c r="AB55" i="1"/>
  <c r="BE155" i="1"/>
  <c r="BU155" i="1" s="1"/>
  <c r="Q152" i="1"/>
  <c r="AD152" i="1"/>
  <c r="J152" i="1"/>
  <c r="AQ152" i="1"/>
  <c r="BS152" i="1" s="1"/>
  <c r="BE152" i="3"/>
  <c r="BL152" i="3" s="1"/>
  <c r="AP152" i="1"/>
  <c r="AB152" i="5" s="1"/>
  <c r="W124" i="5"/>
  <c r="Y31" i="5"/>
  <c r="F159" i="5"/>
  <c r="M95" i="5"/>
  <c r="N95" i="5"/>
  <c r="AW189" i="3"/>
  <c r="BC51" i="3"/>
  <c r="BM51" i="3" s="1"/>
  <c r="J51" i="1"/>
  <c r="BE51" i="3"/>
  <c r="BL51" i="3" s="1"/>
  <c r="AQ51" i="1"/>
  <c r="C51" i="14" s="1"/>
  <c r="G51" i="14" s="1"/>
  <c r="AC157" i="5"/>
  <c r="D157" i="5"/>
  <c r="AA157" i="5"/>
  <c r="E75" i="5"/>
  <c r="AG26" i="1"/>
  <c r="Y34" i="1"/>
  <c r="W115" i="5"/>
  <c r="O97" i="5"/>
  <c r="AH97" i="1"/>
  <c r="AE97" i="1"/>
  <c r="Q154" i="1"/>
  <c r="AD154" i="1"/>
  <c r="BE154" i="3"/>
  <c r="BL154" i="3" s="1"/>
  <c r="AW154" i="3"/>
  <c r="K154" i="1"/>
  <c r="BE154" i="1"/>
  <c r="AQ137" i="1"/>
  <c r="BS137" i="1" s="1"/>
  <c r="Y74" i="5"/>
  <c r="F74" i="5"/>
  <c r="W74" i="5"/>
  <c r="BE115" i="1"/>
  <c r="D30" i="5"/>
  <c r="AQ148" i="1"/>
  <c r="BS148" i="1" s="1"/>
  <c r="L148" i="1"/>
  <c r="BZ148" i="1"/>
  <c r="BF49" i="1"/>
  <c r="CD49" i="1"/>
  <c r="D141" i="5"/>
  <c r="Z141" i="5"/>
  <c r="AA141" i="5"/>
  <c r="W141" i="5"/>
  <c r="S101" i="5"/>
  <c r="AM101" i="1"/>
  <c r="CD54" i="1"/>
  <c r="X44" i="5"/>
  <c r="A123" i="5"/>
  <c r="A115" i="14"/>
  <c r="AM204" i="1"/>
  <c r="N40" i="5"/>
  <c r="M40" i="5"/>
  <c r="L40" i="5"/>
  <c r="AC105" i="5"/>
  <c r="W105" i="5"/>
  <c r="D105" i="5"/>
  <c r="X105" i="5"/>
  <c r="Z105" i="5"/>
  <c r="N105" i="1" s="1"/>
  <c r="Y105" i="5"/>
  <c r="E105" i="5"/>
  <c r="AA105" i="5"/>
  <c r="O105" i="1" s="1"/>
  <c r="F105" i="5"/>
  <c r="Z45" i="1"/>
  <c r="AA45" i="1"/>
  <c r="AB45" i="1"/>
  <c r="A110" i="5"/>
  <c r="A102" i="14"/>
  <c r="J26" i="1"/>
  <c r="V189" i="1"/>
  <c r="N132" i="5"/>
  <c r="M132" i="5"/>
  <c r="L132" i="5"/>
  <c r="BE79" i="3"/>
  <c r="BL79" i="3" s="1"/>
  <c r="J79" i="1"/>
  <c r="X79" i="1"/>
  <c r="AQ79" i="1"/>
  <c r="BS79" i="1" s="1"/>
  <c r="Q79" i="1"/>
  <c r="K120" i="1"/>
  <c r="AW26" i="3"/>
  <c r="Y60" i="1"/>
  <c r="AA60" i="1"/>
  <c r="Z60" i="1"/>
  <c r="AB60" i="1"/>
  <c r="T64" i="1"/>
  <c r="BS110" i="1"/>
  <c r="AA92" i="5"/>
  <c r="O92" i="1" s="1"/>
  <c r="K152" i="1"/>
  <c r="AC31" i="5"/>
  <c r="A95" i="14"/>
  <c r="A95" i="5"/>
  <c r="D111" i="5"/>
  <c r="Z111" i="5"/>
  <c r="AA34" i="1"/>
  <c r="Y115" i="5"/>
  <c r="K115" i="1"/>
  <c r="AA30" i="5"/>
  <c r="AN155" i="1"/>
  <c r="G22" i="5"/>
  <c r="T22" i="1"/>
  <c r="U22" i="1"/>
  <c r="AC141" i="5"/>
  <c r="AJ101" i="1"/>
  <c r="Q151" i="1"/>
  <c r="AD151" i="1"/>
  <c r="AI151" i="1"/>
  <c r="AP151" i="1"/>
  <c r="AB151" i="5" s="1"/>
  <c r="K151" i="1"/>
  <c r="AW151" i="3"/>
  <c r="BS151" i="1"/>
  <c r="Z44" i="5"/>
  <c r="AQ92" i="1"/>
  <c r="BS92" i="1" s="1"/>
  <c r="AQ75" i="1"/>
  <c r="BS75" i="1" s="1"/>
  <c r="AD105" i="1"/>
  <c r="Q105" i="1"/>
  <c r="BK105" i="1"/>
  <c r="AQ105" i="1"/>
  <c r="BS105" i="1" s="1"/>
  <c r="J105" i="1"/>
  <c r="AN105" i="1"/>
  <c r="BH105" i="1"/>
  <c r="K105" i="1"/>
  <c r="AW105" i="3"/>
  <c r="AP105" i="1"/>
  <c r="AB105" i="5" s="1"/>
  <c r="BE105" i="1"/>
  <c r="A37" i="5"/>
  <c r="A37" i="14"/>
  <c r="T68" i="5"/>
  <c r="V68" i="5"/>
  <c r="U68" i="5"/>
  <c r="AL16" i="1"/>
  <c r="AJ16" i="1"/>
  <c r="S16" i="5"/>
  <c r="AK16" i="1"/>
  <c r="AM16" i="1"/>
  <c r="V80" i="1"/>
  <c r="Y56" i="1"/>
  <c r="AA56" i="1"/>
  <c r="K56" i="5"/>
  <c r="AC44" i="5"/>
  <c r="AJ62" i="1"/>
  <c r="AM62" i="1"/>
  <c r="AL62" i="1"/>
  <c r="S62" i="5"/>
  <c r="AK62" i="1"/>
  <c r="AQ187" i="1"/>
  <c r="BS187" i="1" s="1"/>
  <c r="J16" i="5"/>
  <c r="I16" i="5"/>
  <c r="U59" i="1"/>
  <c r="W59" i="1"/>
  <c r="G59" i="5"/>
  <c r="T59" i="1"/>
  <c r="V59" i="1"/>
  <c r="E74" i="5"/>
  <c r="BD115" i="1"/>
  <c r="AD141" i="1"/>
  <c r="Q141" i="1"/>
  <c r="J141" i="1"/>
  <c r="BE141" i="3"/>
  <c r="BL141" i="3" s="1"/>
  <c r="K141" i="1"/>
  <c r="AQ141" i="1"/>
  <c r="BS141" i="1" s="1"/>
  <c r="BD141" i="1"/>
  <c r="BQ85" i="1"/>
  <c r="BN85" i="1" s="1"/>
  <c r="V22" i="1"/>
  <c r="E141" i="5"/>
  <c r="Y45" i="1"/>
  <c r="U80" i="1"/>
  <c r="BE151" i="1"/>
  <c r="BU151" i="1" s="1"/>
  <c r="AK128" i="1"/>
  <c r="A56" i="5"/>
  <c r="A56" i="14"/>
  <c r="F44" i="5"/>
  <c r="T160" i="5"/>
  <c r="AB154" i="1"/>
  <c r="K154" i="5"/>
  <c r="Y154" i="1"/>
  <c r="A109" i="5"/>
  <c r="A101" i="14"/>
  <c r="K194" i="5"/>
  <c r="AB194" i="1"/>
  <c r="Y194" i="1"/>
  <c r="H16" i="5"/>
  <c r="A19" i="5"/>
  <c r="A19" i="14"/>
  <c r="A80" i="5"/>
  <c r="A80" i="14"/>
  <c r="AD28" i="1"/>
  <c r="BE28" i="3"/>
  <c r="BL28" i="3" s="1"/>
  <c r="Q28" i="1"/>
  <c r="J28" i="1"/>
  <c r="AI28" i="1"/>
  <c r="A110" i="14"/>
  <c r="A118" i="5"/>
  <c r="A63" i="5"/>
  <c r="A63" i="14"/>
  <c r="A12" i="9"/>
  <c r="A86" i="5"/>
  <c r="A86" i="14"/>
  <c r="K26" i="1"/>
  <c r="Q110" i="1"/>
  <c r="U50" i="1"/>
  <c r="T50" i="1"/>
  <c r="AD11" i="1"/>
  <c r="Q11" i="1"/>
  <c r="AQ11" i="1"/>
  <c r="BS11" i="1" s="1"/>
  <c r="S11" i="1"/>
  <c r="BE11" i="3"/>
  <c r="BL11" i="3" s="1"/>
  <c r="K11" i="1"/>
  <c r="BE11" i="1"/>
  <c r="BU11" i="1" s="1"/>
  <c r="F31" i="5"/>
  <c r="AC137" i="5"/>
  <c r="X137" i="5"/>
  <c r="AF51" i="1"/>
  <c r="O51" i="5"/>
  <c r="AE51" i="1"/>
  <c r="AQ146" i="1"/>
  <c r="BS146" i="1" s="1"/>
  <c r="AC13" i="5"/>
  <c r="X13" i="5"/>
  <c r="AA13" i="5"/>
  <c r="Y13" i="5"/>
  <c r="BQ88" i="1"/>
  <c r="BN88" i="1" s="1"/>
  <c r="AD194" i="1"/>
  <c r="AQ194" i="1"/>
  <c r="BS194" i="1" s="1"/>
  <c r="AW194" i="3"/>
  <c r="BD194" i="1"/>
  <c r="AP194" i="1"/>
  <c r="AB194" i="5" s="1"/>
  <c r="Q144" i="1"/>
  <c r="AD144" i="1"/>
  <c r="BK144" i="1"/>
  <c r="AN144" i="1"/>
  <c r="BE144" i="3"/>
  <c r="BL144" i="3" s="1"/>
  <c r="BD144" i="1"/>
  <c r="BS144" i="1"/>
  <c r="AP144" i="1"/>
  <c r="AB144" i="5" s="1"/>
  <c r="K144" i="1"/>
  <c r="T80" i="1"/>
  <c r="AL128" i="1"/>
  <c r="AB56" i="1"/>
  <c r="K27" i="5"/>
  <c r="Y27" i="1"/>
  <c r="BK114" i="1"/>
  <c r="AN114" i="1"/>
  <c r="BZ114" i="1"/>
  <c r="T64" i="5"/>
  <c r="V64" i="5"/>
  <c r="U64" i="5"/>
  <c r="A61" i="5"/>
  <c r="A61" i="14"/>
  <c r="E106" i="5"/>
  <c r="Z106" i="5"/>
  <c r="N106" i="1" s="1"/>
  <c r="AA106" i="5"/>
  <c r="O106" i="1" s="1"/>
  <c r="Y106" i="5"/>
  <c r="AC106" i="5"/>
  <c r="D106" i="5"/>
  <c r="X106" i="5"/>
  <c r="F106" i="5"/>
  <c r="AC73" i="5"/>
  <c r="F73" i="5"/>
  <c r="D73" i="5"/>
  <c r="Y73" i="5"/>
  <c r="E73" i="5"/>
  <c r="Z73" i="5"/>
  <c r="AA73" i="5"/>
  <c r="X73" i="5"/>
  <c r="W73" i="5"/>
  <c r="W164" i="5"/>
  <c r="Z164" i="5"/>
  <c r="Y164" i="5"/>
  <c r="AA164" i="5"/>
  <c r="D164" i="5"/>
  <c r="X164" i="5"/>
  <c r="AC164" i="5"/>
  <c r="E164" i="5"/>
  <c r="J107" i="5"/>
  <c r="H107" i="5"/>
  <c r="I107" i="5"/>
  <c r="H114" i="5"/>
  <c r="I114" i="5"/>
  <c r="J114" i="5"/>
  <c r="H154" i="5"/>
  <c r="I154" i="5"/>
  <c r="J154" i="5"/>
  <c r="Z120" i="1"/>
  <c r="AB120" i="1"/>
  <c r="Y120" i="1"/>
  <c r="W49" i="1"/>
  <c r="AQ13" i="1"/>
  <c r="BS13" i="1" s="1"/>
  <c r="AC72" i="5"/>
  <c r="W72" i="5"/>
  <c r="X72" i="5"/>
  <c r="AA72" i="5"/>
  <c r="F72" i="5"/>
  <c r="E72" i="5"/>
  <c r="Z72" i="5"/>
  <c r="D72" i="5"/>
  <c r="V134" i="5"/>
  <c r="U134" i="5"/>
  <c r="T134" i="5"/>
  <c r="AF116" i="1"/>
  <c r="AH116" i="1"/>
  <c r="O116" i="5"/>
  <c r="A41" i="14"/>
  <c r="A41" i="5"/>
  <c r="H161" i="5"/>
  <c r="I161" i="5"/>
  <c r="J161" i="5"/>
  <c r="E128" i="5"/>
  <c r="Y128" i="5"/>
  <c r="AC128" i="5"/>
  <c r="F128" i="5"/>
  <c r="W128" i="5"/>
  <c r="D128" i="5"/>
  <c r="X128" i="5"/>
  <c r="AA128" i="5"/>
  <c r="F164" i="5"/>
  <c r="AD31" i="1"/>
  <c r="Q31" i="1"/>
  <c r="BE31" i="3"/>
  <c r="BL31" i="3" s="1"/>
  <c r="J31" i="1"/>
  <c r="BH31" i="1"/>
  <c r="A48" i="5"/>
  <c r="A48" i="14"/>
  <c r="AD113" i="1"/>
  <c r="Q113" i="1"/>
  <c r="J113" i="1"/>
  <c r="BE113" i="3"/>
  <c r="BL113" i="3" s="1"/>
  <c r="BC79" i="3"/>
  <c r="BM79" i="3" s="1"/>
  <c r="A18" i="9"/>
  <c r="A69" i="5"/>
  <c r="A96" i="5"/>
  <c r="A96" i="14"/>
  <c r="AW11" i="3"/>
  <c r="Z124" i="5"/>
  <c r="X124" i="5"/>
  <c r="Z159" i="5"/>
  <c r="X159" i="5"/>
  <c r="W149" i="5"/>
  <c r="Z62" i="1"/>
  <c r="AB62" i="1"/>
  <c r="Y137" i="5"/>
  <c r="W13" i="5"/>
  <c r="G47" i="5"/>
  <c r="N297" i="1"/>
  <c r="O249" i="1"/>
  <c r="N246" i="1"/>
  <c r="O224" i="1"/>
  <c r="O236" i="1"/>
  <c r="N219" i="1"/>
  <c r="N235" i="1"/>
  <c r="N268" i="1"/>
  <c r="N344" i="1"/>
  <c r="N252" i="1"/>
  <c r="N217" i="1"/>
  <c r="O234" i="1"/>
  <c r="O256" i="1"/>
  <c r="O315" i="1"/>
  <c r="O345" i="1"/>
  <c r="N255" i="1"/>
  <c r="N234" i="1"/>
  <c r="N240" i="1"/>
  <c r="N256" i="1"/>
  <c r="O250" i="1"/>
  <c r="N310" i="1"/>
  <c r="O333" i="1"/>
  <c r="N244" i="1"/>
  <c r="O246" i="1"/>
  <c r="N224" i="1"/>
  <c r="O216" i="1"/>
  <c r="N232" i="1"/>
  <c r="N261" i="1"/>
  <c r="O266" i="1"/>
  <c r="O220" i="1"/>
  <c r="O168" i="1"/>
  <c r="O171" i="1"/>
  <c r="N167" i="1"/>
  <c r="N160" i="1"/>
  <c r="N34" i="1"/>
  <c r="O167" i="1"/>
  <c r="N81" i="1"/>
  <c r="O122" i="1"/>
  <c r="N127" i="1"/>
  <c r="D3" i="5"/>
  <c r="O34" i="1"/>
  <c r="F3" i="5"/>
  <c r="AA3" i="5"/>
  <c r="W3" i="5"/>
  <c r="N107" i="1"/>
  <c r="Y3" i="5"/>
  <c r="Z52" i="5"/>
  <c r="E52" i="5"/>
  <c r="AA52" i="5"/>
  <c r="W52" i="5"/>
  <c r="Y52" i="5"/>
  <c r="K125" i="5"/>
  <c r="Z125" i="1"/>
  <c r="Y125" i="1"/>
  <c r="AA125" i="1"/>
  <c r="V117" i="5"/>
  <c r="S138" i="5"/>
  <c r="AM138" i="1"/>
  <c r="AL138" i="1"/>
  <c r="AJ138" i="1"/>
  <c r="AW112" i="3"/>
  <c r="Z154" i="1"/>
  <c r="Y23" i="5"/>
  <c r="F23" i="5"/>
  <c r="E23" i="5"/>
  <c r="X23" i="5"/>
  <c r="AC23" i="5"/>
  <c r="Z23" i="5"/>
  <c r="W23" i="5"/>
  <c r="E97" i="5"/>
  <c r="F97" i="5"/>
  <c r="W97" i="5"/>
  <c r="Y97" i="5"/>
  <c r="D97" i="5"/>
  <c r="AC97" i="5"/>
  <c r="Z97" i="5"/>
  <c r="AL134" i="1"/>
  <c r="AK134" i="1"/>
  <c r="AJ134" i="1"/>
  <c r="AG116" i="1"/>
  <c r="L95" i="5"/>
  <c r="Z128" i="5"/>
  <c r="A7" i="14"/>
  <c r="A7" i="5"/>
  <c r="A4" i="9"/>
  <c r="AW28" i="3"/>
  <c r="BE31" i="1"/>
  <c r="S52" i="1"/>
  <c r="J52" i="1"/>
  <c r="Q52" i="1"/>
  <c r="BE52" i="3"/>
  <c r="BL52" i="3" s="1"/>
  <c r="A3" i="14"/>
  <c r="A3" i="5"/>
  <c r="P42" i="5"/>
  <c r="R42" i="5"/>
  <c r="W12" i="1"/>
  <c r="Y82" i="1"/>
  <c r="Z51" i="5"/>
  <c r="Y51" i="5"/>
  <c r="AN91" i="1"/>
  <c r="AP11" i="1"/>
  <c r="AB11" i="5" s="1"/>
  <c r="AC124" i="5"/>
  <c r="W159" i="5"/>
  <c r="AA149" i="5"/>
  <c r="A62" i="5"/>
  <c r="A62" i="14"/>
  <c r="Q188" i="1"/>
  <c r="AD188" i="1"/>
  <c r="BD188" i="1"/>
  <c r="BE188" i="1"/>
  <c r="BU188" i="1" s="1"/>
  <c r="AC155" i="5"/>
  <c r="F155" i="5"/>
  <c r="Z155" i="5"/>
  <c r="Z137" i="5"/>
  <c r="AH88" i="1"/>
  <c r="X75" i="5"/>
  <c r="AA75" i="5"/>
  <c r="AC75" i="5"/>
  <c r="AM195" i="1"/>
  <c r="S195" i="5"/>
  <c r="AK195" i="1"/>
  <c r="F13" i="5"/>
  <c r="AA70" i="1"/>
  <c r="AB70" i="1"/>
  <c r="K70" i="5"/>
  <c r="Z70" i="1"/>
  <c r="U104" i="5"/>
  <c r="V104" i="5"/>
  <c r="T104" i="5"/>
  <c r="AF102" i="1"/>
  <c r="O102" i="5"/>
  <c r="AH102" i="1"/>
  <c r="T96" i="1"/>
  <c r="U96" i="1"/>
  <c r="W96" i="1"/>
  <c r="V96" i="1"/>
  <c r="AQ135" i="1"/>
  <c r="BS135" i="1" s="1"/>
  <c r="A20" i="5"/>
  <c r="A20" i="14"/>
  <c r="F144" i="5"/>
  <c r="BD74" i="1"/>
  <c r="Q153" i="1"/>
  <c r="AD153" i="1"/>
  <c r="J153" i="1"/>
  <c r="AI153" i="1"/>
  <c r="BE153" i="3"/>
  <c r="BL153" i="3" s="1"/>
  <c r="D79" i="5"/>
  <c r="X146" i="5"/>
  <c r="N108" i="5"/>
  <c r="AC113" i="5"/>
  <c r="Y114" i="1"/>
  <c r="O137" i="5"/>
  <c r="E4" i="5"/>
  <c r="X47" i="5"/>
  <c r="E55" i="5"/>
  <c r="AA17" i="5"/>
  <c r="X102" i="5"/>
  <c r="AC133" i="5"/>
  <c r="Y58" i="5"/>
  <c r="AC93" i="5"/>
  <c r="F10" i="5"/>
  <c r="Z109" i="1"/>
  <c r="S133" i="5"/>
  <c r="AA8" i="5"/>
  <c r="D59" i="5"/>
  <c r="E5" i="5"/>
  <c r="E50" i="5"/>
  <c r="W61" i="5"/>
  <c r="AL102" i="1"/>
  <c r="AJ160" i="1"/>
  <c r="A89" i="14"/>
  <c r="A89" i="5"/>
  <c r="AB67" i="1"/>
  <c r="AG101" i="1"/>
  <c r="O101" i="5"/>
  <c r="AE101" i="1"/>
  <c r="AF101" i="1"/>
  <c r="W24" i="5"/>
  <c r="X24" i="5"/>
  <c r="D24" i="5"/>
  <c r="Z24" i="5"/>
  <c r="E24" i="5"/>
  <c r="AC24" i="5"/>
  <c r="A94" i="5"/>
  <c r="A94" i="14"/>
  <c r="AL68" i="1"/>
  <c r="AJ68" i="1"/>
  <c r="AK68" i="1"/>
  <c r="H75" i="5"/>
  <c r="J75" i="5"/>
  <c r="I75" i="5"/>
  <c r="AE110" i="1"/>
  <c r="AH110" i="1"/>
  <c r="AF110" i="1"/>
  <c r="O110" i="5"/>
  <c r="E40" i="5"/>
  <c r="AC40" i="5"/>
  <c r="W40" i="5"/>
  <c r="D40" i="5"/>
  <c r="X40" i="5"/>
  <c r="F40" i="5"/>
  <c r="Y40" i="5"/>
  <c r="U99" i="5"/>
  <c r="T99" i="5"/>
  <c r="BM219" i="3"/>
  <c r="N224" i="5" s="1"/>
  <c r="U57" i="5"/>
  <c r="V57" i="5"/>
  <c r="T57" i="5"/>
  <c r="A117" i="5"/>
  <c r="A109" i="14"/>
  <c r="D55" i="5"/>
  <c r="Z102" i="5"/>
  <c r="N102" i="1" s="1"/>
  <c r="Z57" i="1"/>
  <c r="Y57" i="1"/>
  <c r="AC59" i="5"/>
  <c r="AL160" i="1"/>
  <c r="AQ124" i="1"/>
  <c r="BS124" i="1" s="1"/>
  <c r="BK39" i="1"/>
  <c r="AN39" i="1"/>
  <c r="A24" i="5"/>
  <c r="A24" i="14"/>
  <c r="AM98" i="1"/>
  <c r="AK98" i="1"/>
  <c r="AL98" i="1"/>
  <c r="X54" i="5"/>
  <c r="AC54" i="5"/>
  <c r="E54" i="5"/>
  <c r="W54" i="5"/>
  <c r="F54" i="5"/>
  <c r="AA54" i="5"/>
  <c r="Y54" i="5"/>
  <c r="U95" i="1"/>
  <c r="V95" i="1"/>
  <c r="G95" i="5"/>
  <c r="T95" i="1"/>
  <c r="W95" i="1"/>
  <c r="U199" i="1"/>
  <c r="G199" i="5"/>
  <c r="T199" i="1"/>
  <c r="T134" i="1"/>
  <c r="U134" i="1"/>
  <c r="W134" i="1"/>
  <c r="S113" i="5"/>
  <c r="AJ113" i="1"/>
  <c r="AK113" i="1"/>
  <c r="G60" i="5"/>
  <c r="V60" i="1"/>
  <c r="W60" i="1"/>
  <c r="T60" i="1"/>
  <c r="U60" i="1"/>
  <c r="S98" i="5"/>
  <c r="W153" i="1"/>
  <c r="G153" i="5"/>
  <c r="T153" i="1"/>
  <c r="U153" i="1"/>
  <c r="V153" i="1"/>
  <c r="AM64" i="1"/>
  <c r="AK64" i="1"/>
  <c r="AJ64" i="1"/>
  <c r="AL64" i="1"/>
  <c r="S102" i="5"/>
  <c r="Q156" i="1"/>
  <c r="AD156" i="1"/>
  <c r="BE156" i="3"/>
  <c r="BL156" i="3" s="1"/>
  <c r="AI156" i="1"/>
  <c r="J156" i="1"/>
  <c r="D113" i="5"/>
  <c r="AA114" i="1"/>
  <c r="A4" i="5"/>
  <c r="A4" i="14"/>
  <c r="W47" i="5"/>
  <c r="AC55" i="5"/>
  <c r="D17" i="5"/>
  <c r="Y102" i="5"/>
  <c r="W58" i="5"/>
  <c r="A93" i="5"/>
  <c r="A93" i="14"/>
  <c r="A7" i="9"/>
  <c r="A10" i="5"/>
  <c r="A10" i="14"/>
  <c r="A57" i="14"/>
  <c r="A57" i="5"/>
  <c r="E59" i="5"/>
  <c r="A2" i="9"/>
  <c r="H313" i="1" s="1"/>
  <c r="A5" i="5"/>
  <c r="A5" i="14"/>
  <c r="AD70" i="1"/>
  <c r="Q70" i="1"/>
  <c r="BE70" i="3"/>
  <c r="BL70" i="3" s="1"/>
  <c r="D50" i="5"/>
  <c r="Y61" i="5"/>
  <c r="G73" i="5"/>
  <c r="AK160" i="1"/>
  <c r="Y40" i="1"/>
  <c r="Z40" i="1"/>
  <c r="W36" i="5"/>
  <c r="D36" i="5"/>
  <c r="AC36" i="5"/>
  <c r="Z36" i="5"/>
  <c r="E36" i="5"/>
  <c r="V143" i="1"/>
  <c r="W143" i="1"/>
  <c r="G143" i="5"/>
  <c r="U143" i="1"/>
  <c r="G106" i="5"/>
  <c r="T106" i="1"/>
  <c r="W106" i="1"/>
  <c r="V106" i="1"/>
  <c r="D57" i="5"/>
  <c r="E57" i="5"/>
  <c r="Y57" i="5"/>
  <c r="X57" i="5"/>
  <c r="W57" i="5"/>
  <c r="AA57" i="5"/>
  <c r="AQ155" i="1"/>
  <c r="BS155" i="1" s="1"/>
  <c r="E130" i="5"/>
  <c r="AA130" i="5"/>
  <c r="F130" i="5"/>
  <c r="Y130" i="5"/>
  <c r="W130" i="5"/>
  <c r="AC130" i="5"/>
  <c r="X130" i="5"/>
  <c r="E7" i="5"/>
  <c r="W7" i="5"/>
  <c r="X7" i="5"/>
  <c r="Z7" i="5"/>
  <c r="D7" i="5"/>
  <c r="Y7" i="5"/>
  <c r="AC7" i="5"/>
  <c r="AA7" i="5"/>
  <c r="D54" i="5"/>
  <c r="AN166" i="1"/>
  <c r="BK166" i="1"/>
  <c r="W199" i="1"/>
  <c r="U196" i="1"/>
  <c r="W196" i="1"/>
  <c r="V196" i="1"/>
  <c r="AL113" i="1"/>
  <c r="AA183" i="1"/>
  <c r="K183" i="5"/>
  <c r="Z183" i="1"/>
  <c r="AB183" i="1"/>
  <c r="Y183" i="1"/>
  <c r="W187" i="1"/>
  <c r="U187" i="1"/>
  <c r="G187" i="5"/>
  <c r="V187" i="1"/>
  <c r="T187" i="1"/>
  <c r="AJ41" i="1"/>
  <c r="AM41" i="1"/>
  <c r="AK41" i="1"/>
  <c r="S41" i="5"/>
  <c r="AL41" i="1"/>
  <c r="AL25" i="1"/>
  <c r="AK25" i="1"/>
  <c r="AJ25" i="1"/>
  <c r="S47" i="5"/>
  <c r="AK47" i="1"/>
  <c r="AM47" i="1"/>
  <c r="AJ47" i="1"/>
  <c r="AL47" i="1"/>
  <c r="CA27" i="1"/>
  <c r="AN27" i="1"/>
  <c r="BK27" i="1"/>
  <c r="V121" i="1"/>
  <c r="W121" i="1"/>
  <c r="U121" i="1"/>
  <c r="T121" i="1"/>
  <c r="G121" i="5"/>
  <c r="Q16" i="1"/>
  <c r="AD16" i="1"/>
  <c r="BE16" i="3"/>
  <c r="BL16" i="3" s="1"/>
  <c r="AQ16" i="1"/>
  <c r="BS16" i="1" s="1"/>
  <c r="Q148" i="1"/>
  <c r="AD148" i="1"/>
  <c r="J148" i="1"/>
  <c r="BK148" i="1"/>
  <c r="BE148" i="3"/>
  <c r="BL148" i="3" s="1"/>
  <c r="AD143" i="1"/>
  <c r="Q143" i="1"/>
  <c r="BE143" i="3"/>
  <c r="BL143" i="3" s="1"/>
  <c r="J143" i="1"/>
  <c r="AA120" i="5"/>
  <c r="AW156" i="3"/>
  <c r="M92" i="5"/>
  <c r="L92" i="5"/>
  <c r="AK117" i="1"/>
  <c r="Z114" i="1"/>
  <c r="Y4" i="5"/>
  <c r="AE137" i="1"/>
  <c r="Y133" i="5"/>
  <c r="A29" i="14"/>
  <c r="A29" i="5"/>
  <c r="E58" i="5"/>
  <c r="Z93" i="5"/>
  <c r="Z10" i="5"/>
  <c r="AA142" i="1"/>
  <c r="AA59" i="5"/>
  <c r="Y5" i="5"/>
  <c r="BE70" i="1"/>
  <c r="BU70" i="1" s="1"/>
  <c r="X50" i="5"/>
  <c r="E61" i="5"/>
  <c r="K142" i="5"/>
  <c r="A73" i="5"/>
  <c r="A22" i="9"/>
  <c r="A73" i="14"/>
  <c r="J162" i="5"/>
  <c r="F24" i="5"/>
  <c r="U106" i="1"/>
  <c r="AC57" i="5"/>
  <c r="Z130" i="5"/>
  <c r="F7" i="5"/>
  <c r="Z54" i="5"/>
  <c r="E84" i="5"/>
  <c r="AA84" i="5"/>
  <c r="Y84" i="5"/>
  <c r="W84" i="5"/>
  <c r="AC84" i="5"/>
  <c r="X84" i="5"/>
  <c r="D84" i="5"/>
  <c r="AA134" i="5"/>
  <c r="W134" i="5"/>
  <c r="D134" i="5"/>
  <c r="Z134" i="5"/>
  <c r="E134" i="5"/>
  <c r="AC134" i="5"/>
  <c r="Y134" i="5"/>
  <c r="V199" i="1"/>
  <c r="AM113" i="1"/>
  <c r="T143" i="1"/>
  <c r="AB114" i="1"/>
  <c r="F4" i="5"/>
  <c r="AG137" i="1"/>
  <c r="F58" i="5"/>
  <c r="Y93" i="5"/>
  <c r="AC10" i="5"/>
  <c r="BC112" i="3"/>
  <c r="BE112" i="3"/>
  <c r="BL112" i="3" s="1"/>
  <c r="J112" i="1"/>
  <c r="Q159" i="1"/>
  <c r="AD159" i="1"/>
  <c r="BE159" i="3"/>
  <c r="BL159" i="3" s="1"/>
  <c r="J159" i="1"/>
  <c r="AC5" i="5"/>
  <c r="AP70" i="1"/>
  <c r="AB70" i="5" s="1"/>
  <c r="W50" i="5"/>
  <c r="O190" i="5"/>
  <c r="AH190" i="1"/>
  <c r="AA40" i="1"/>
  <c r="X36" i="5"/>
  <c r="AM122" i="1"/>
  <c r="AJ122" i="1"/>
  <c r="AL122" i="1"/>
  <c r="AK122" i="1"/>
  <c r="S122" i="5"/>
  <c r="Z57" i="5"/>
  <c r="D130" i="5"/>
  <c r="X134" i="5"/>
  <c r="T196" i="1"/>
  <c r="U202" i="1"/>
  <c r="T202" i="1"/>
  <c r="W202" i="1"/>
  <c r="Y32" i="5"/>
  <c r="AC32" i="5"/>
  <c r="AA32" i="5"/>
  <c r="X32" i="5"/>
  <c r="W32" i="5"/>
  <c r="E32" i="5"/>
  <c r="F32" i="5"/>
  <c r="Z32" i="5"/>
  <c r="W64" i="5"/>
  <c r="D64" i="5"/>
  <c r="X64" i="5"/>
  <c r="Y64" i="5"/>
  <c r="AA64" i="5"/>
  <c r="AC64" i="5"/>
  <c r="F64" i="5"/>
  <c r="V57" i="1"/>
  <c r="U57" i="1"/>
  <c r="W57" i="1"/>
  <c r="G57" i="5"/>
  <c r="T57" i="1"/>
  <c r="G39" i="5"/>
  <c r="T39" i="1"/>
  <c r="U39" i="1"/>
  <c r="V39" i="1"/>
  <c r="W39" i="1"/>
  <c r="J56" i="5"/>
  <c r="AN61" i="1"/>
  <c r="Q74" i="1"/>
  <c r="AD74" i="1"/>
  <c r="J74" i="1"/>
  <c r="AI74" i="1"/>
  <c r="AN74" i="1"/>
  <c r="AB105" i="1"/>
  <c r="Z105" i="1"/>
  <c r="Y105" i="1"/>
  <c r="Y120" i="5"/>
  <c r="AJ116" i="1"/>
  <c r="K156" i="1"/>
  <c r="AC4" i="5"/>
  <c r="X55" i="5"/>
  <c r="AC102" i="5"/>
  <c r="D133" i="5"/>
  <c r="AA58" i="5"/>
  <c r="W93" i="5"/>
  <c r="AC140" i="5"/>
  <c r="D10" i="5"/>
  <c r="BD112" i="1"/>
  <c r="BS159" i="1"/>
  <c r="W59" i="5"/>
  <c r="F5" i="5"/>
  <c r="AW70" i="3"/>
  <c r="AA50" i="5"/>
  <c r="AL192" i="1"/>
  <c r="U73" i="1"/>
  <c r="Z121" i="5"/>
  <c r="D121" i="5"/>
  <c r="U113" i="1"/>
  <c r="G113" i="5"/>
  <c r="V113" i="1"/>
  <c r="T113" i="1"/>
  <c r="AG190" i="1"/>
  <c r="BW319" i="1"/>
  <c r="AB40" i="1"/>
  <c r="AA80" i="1"/>
  <c r="AB80" i="1"/>
  <c r="K80" i="5"/>
  <c r="Y80" i="1"/>
  <c r="Y36" i="5"/>
  <c r="AF79" i="1"/>
  <c r="AE79" i="1"/>
  <c r="AH79" i="1"/>
  <c r="AM162" i="1"/>
  <c r="AK162" i="1"/>
  <c r="S162" i="5"/>
  <c r="AJ162" i="1"/>
  <c r="N92" i="5"/>
  <c r="A76" i="5"/>
  <c r="A76" i="14"/>
  <c r="A26" i="9"/>
  <c r="S43" i="5"/>
  <c r="AJ43" i="1"/>
  <c r="AM43" i="1"/>
  <c r="AK43" i="1"/>
  <c r="AL43" i="1"/>
  <c r="Z35" i="5"/>
  <c r="W35" i="5"/>
  <c r="AC35" i="5"/>
  <c r="AA35" i="5"/>
  <c r="X35" i="5"/>
  <c r="D35" i="5"/>
  <c r="F35" i="5"/>
  <c r="V40" i="5"/>
  <c r="T40" i="5"/>
  <c r="G134" i="5"/>
  <c r="X101" i="5"/>
  <c r="E101" i="5"/>
  <c r="Y101" i="5"/>
  <c r="F101" i="5"/>
  <c r="W101" i="5"/>
  <c r="D101" i="5"/>
  <c r="AA101" i="5"/>
  <c r="O101" i="1" s="1"/>
  <c r="W16" i="1"/>
  <c r="V83" i="1"/>
  <c r="W83" i="1"/>
  <c r="G83" i="5"/>
  <c r="T83" i="1"/>
  <c r="U154" i="1"/>
  <c r="W154" i="1"/>
  <c r="T154" i="1"/>
  <c r="V154" i="1"/>
  <c r="AJ96" i="1"/>
  <c r="AM96" i="1"/>
  <c r="S96" i="5"/>
  <c r="AL96" i="1"/>
  <c r="AK96" i="1"/>
  <c r="A121" i="5"/>
  <c r="A113" i="14"/>
  <c r="T183" i="5"/>
  <c r="U183" i="5"/>
  <c r="AL107" i="1"/>
  <c r="AJ107" i="1"/>
  <c r="AQ188" i="1"/>
  <c r="BS188" i="1" s="1"/>
  <c r="AA21" i="5"/>
  <c r="D21" i="5"/>
  <c r="E21" i="5"/>
  <c r="F21" i="5"/>
  <c r="Y21" i="5"/>
  <c r="Z21" i="5"/>
  <c r="T65" i="5"/>
  <c r="Z119" i="5"/>
  <c r="W119" i="5"/>
  <c r="D119" i="5"/>
  <c r="X119" i="5"/>
  <c r="AC119" i="5"/>
  <c r="F119" i="5"/>
  <c r="E119" i="5"/>
  <c r="AK202" i="1"/>
  <c r="AL202" i="1"/>
  <c r="AM202" i="1"/>
  <c r="AJ202" i="1"/>
  <c r="BZ123" i="1"/>
  <c r="BK123" i="1"/>
  <c r="AN123" i="1"/>
  <c r="U24" i="1"/>
  <c r="V24" i="1"/>
  <c r="G24" i="5"/>
  <c r="W24" i="1"/>
  <c r="O79" i="5"/>
  <c r="U25" i="5"/>
  <c r="V25" i="5"/>
  <c r="T25" i="5"/>
  <c r="BG164" i="1"/>
  <c r="BP164" i="1" s="1" a="1"/>
  <c r="BP164" i="1" s="1"/>
  <c r="AZ164" i="1"/>
  <c r="BF164" i="1"/>
  <c r="BW164" i="1"/>
  <c r="L199" i="1"/>
  <c r="AQ199" i="1"/>
  <c r="BS199" i="1" s="1"/>
  <c r="BG97" i="1"/>
  <c r="BP97" i="1" s="1" a="1"/>
  <c r="BP97" i="1" s="1"/>
  <c r="W4" i="5"/>
  <c r="Z55" i="5"/>
  <c r="E102" i="5"/>
  <c r="AA133" i="5"/>
  <c r="X58" i="5"/>
  <c r="AA93" i="5"/>
  <c r="E10" i="5"/>
  <c r="A59" i="14"/>
  <c r="A59" i="5"/>
  <c r="Z5" i="5"/>
  <c r="AC50" i="5"/>
  <c r="AA108" i="1"/>
  <c r="Y32" i="1"/>
  <c r="AB32" i="1"/>
  <c r="K32" i="5"/>
  <c r="BF161" i="1"/>
  <c r="BG161" i="1" s="1"/>
  <c r="BP161" i="1" s="1" a="1"/>
  <c r="BP161" i="1" s="1"/>
  <c r="AA57" i="1"/>
  <c r="A33" i="5"/>
  <c r="A10" i="9"/>
  <c r="A33" i="14"/>
  <c r="X53" i="5"/>
  <c r="D53" i="5"/>
  <c r="AC53" i="5"/>
  <c r="Y53" i="5"/>
  <c r="AA53" i="5"/>
  <c r="AK107" i="1"/>
  <c r="V195" i="1"/>
  <c r="U195" i="1"/>
  <c r="T195" i="1"/>
  <c r="G195" i="5"/>
  <c r="Y119" i="5"/>
  <c r="X126" i="5"/>
  <c r="W126" i="5"/>
  <c r="E126" i="5"/>
  <c r="Z126" i="5"/>
  <c r="AA126" i="5"/>
  <c r="F126" i="5"/>
  <c r="D126" i="5"/>
  <c r="Y126" i="5"/>
  <c r="AA209" i="1"/>
  <c r="AK79" i="1"/>
  <c r="AJ79" i="1"/>
  <c r="S79" i="5"/>
  <c r="AM79" i="1"/>
  <c r="AL79" i="1"/>
  <c r="T33" i="1"/>
  <c r="G33" i="5"/>
  <c r="V33" i="1"/>
  <c r="W33" i="1"/>
  <c r="U33" i="1"/>
  <c r="CD164" i="1"/>
  <c r="A11" i="9"/>
  <c r="A34" i="5"/>
  <c r="A34" i="14"/>
  <c r="L158" i="5"/>
  <c r="M158" i="5"/>
  <c r="AD78" i="1"/>
  <c r="Q78" i="1"/>
  <c r="BE78" i="3"/>
  <c r="BL78" i="3" s="1"/>
  <c r="BE112" i="1"/>
  <c r="AP159" i="1"/>
  <c r="AB159" i="5" s="1"/>
  <c r="AB206" i="1"/>
  <c r="AA206" i="1"/>
  <c r="A14" i="9"/>
  <c r="A65" i="5"/>
  <c r="A65" i="14"/>
  <c r="AJ192" i="1"/>
  <c r="Z32" i="1"/>
  <c r="BK63" i="1"/>
  <c r="AN63" i="1"/>
  <c r="AB57" i="1"/>
  <c r="M155" i="5"/>
  <c r="L155" i="5"/>
  <c r="E53" i="5"/>
  <c r="A68" i="14"/>
  <c r="A17" i="9"/>
  <c r="A68" i="5"/>
  <c r="Z103" i="5"/>
  <c r="N103" i="1" s="1"/>
  <c r="AC103" i="5"/>
  <c r="E103" i="5"/>
  <c r="W103" i="5"/>
  <c r="AA103" i="5"/>
  <c r="O103" i="1" s="1"/>
  <c r="S107" i="5"/>
  <c r="G145" i="5"/>
  <c r="U145" i="1"/>
  <c r="T145" i="1"/>
  <c r="W145" i="1"/>
  <c r="W21" i="5"/>
  <c r="S9" i="5"/>
  <c r="AL9" i="1"/>
  <c r="AJ9" i="1"/>
  <c r="AK9" i="1"/>
  <c r="AA119" i="5"/>
  <c r="CA63" i="1"/>
  <c r="A118" i="14"/>
  <c r="A126" i="5"/>
  <c r="AM190" i="1"/>
  <c r="AK190" i="1"/>
  <c r="S190" i="5"/>
  <c r="U188" i="1"/>
  <c r="G188" i="5"/>
  <c r="T188" i="1"/>
  <c r="V188" i="1"/>
  <c r="W188" i="1"/>
  <c r="T24" i="1"/>
  <c r="J20" i="5"/>
  <c r="I20" i="5"/>
  <c r="H20" i="5"/>
  <c r="AQ112" i="1"/>
  <c r="BS112" i="1" s="1"/>
  <c r="V16" i="1"/>
  <c r="T16" i="1"/>
  <c r="U16" i="1"/>
  <c r="X21" i="5"/>
  <c r="U103" i="1"/>
  <c r="T103" i="1"/>
  <c r="G103" i="5"/>
  <c r="V103" i="1"/>
  <c r="W103" i="1"/>
  <c r="AC126" i="5"/>
  <c r="U51" i="5"/>
  <c r="T51" i="5"/>
  <c r="V51" i="5"/>
  <c r="T135" i="5"/>
  <c r="V135" i="5"/>
  <c r="U135" i="5"/>
  <c r="U55" i="1"/>
  <c r="V55" i="1"/>
  <c r="W55" i="1"/>
  <c r="G55" i="5"/>
  <c r="T55" i="1"/>
  <c r="T169" i="1"/>
  <c r="G169" i="5"/>
  <c r="U169" i="1"/>
  <c r="V169" i="1"/>
  <c r="G163" i="5"/>
  <c r="U163" i="1"/>
  <c r="W163" i="1"/>
  <c r="V163" i="1"/>
  <c r="G196" i="5"/>
  <c r="BM266" i="3"/>
  <c r="N265" i="5" s="1"/>
  <c r="S209" i="5"/>
  <c r="AJ209" i="1"/>
  <c r="AM209" i="1"/>
  <c r="AK209" i="1"/>
  <c r="AL209" i="1"/>
  <c r="AD3" i="1"/>
  <c r="Q3" i="1"/>
  <c r="J3" i="1"/>
  <c r="BK3" i="1"/>
  <c r="AN3" i="1"/>
  <c r="AW3" i="3"/>
  <c r="K41" i="5"/>
  <c r="Y41" i="1"/>
  <c r="AC69" i="5"/>
  <c r="W69" i="5"/>
  <c r="X69" i="5"/>
  <c r="AK183" i="1"/>
  <c r="AM183" i="1"/>
  <c r="Q123" i="1"/>
  <c r="AD123" i="1"/>
  <c r="AI123" i="1"/>
  <c r="J123" i="1"/>
  <c r="AP123" i="1"/>
  <c r="AB123" i="5" s="1"/>
  <c r="BE123" i="1"/>
  <c r="A21" i="5"/>
  <c r="A21" i="14"/>
  <c r="W81" i="5"/>
  <c r="Y99" i="5"/>
  <c r="E99" i="5"/>
  <c r="X99" i="5"/>
  <c r="AC99" i="5"/>
  <c r="D99" i="5"/>
  <c r="AA202" i="1"/>
  <c r="Y202" i="1"/>
  <c r="AD161" i="1"/>
  <c r="Q161" i="1"/>
  <c r="AB161" i="5"/>
  <c r="K161" i="1"/>
  <c r="AN161" i="1"/>
  <c r="AI161" i="1"/>
  <c r="BH161" i="1"/>
  <c r="F90" i="5"/>
  <c r="Y90" i="5"/>
  <c r="W90" i="5"/>
  <c r="E90" i="5"/>
  <c r="AC90" i="5"/>
  <c r="T172" i="1"/>
  <c r="W172" i="1"/>
  <c r="BE123" i="3"/>
  <c r="BL123" i="3" s="1"/>
  <c r="J198" i="5"/>
  <c r="H198" i="5"/>
  <c r="V141" i="1"/>
  <c r="G141" i="5"/>
  <c r="W141" i="1"/>
  <c r="T141" i="1"/>
  <c r="L196" i="1"/>
  <c r="M196" i="1"/>
  <c r="AL99" i="1"/>
  <c r="AJ99" i="1"/>
  <c r="AK99" i="1"/>
  <c r="AM78" i="1"/>
  <c r="S78" i="5"/>
  <c r="AK78" i="1"/>
  <c r="AJ78" i="1"/>
  <c r="K196" i="5"/>
  <c r="Z196" i="1"/>
  <c r="AB196" i="1"/>
  <c r="AA196" i="1"/>
  <c r="S92" i="5"/>
  <c r="AM92" i="1"/>
  <c r="AL92" i="1"/>
  <c r="AM172" i="1"/>
  <c r="S172" i="5"/>
  <c r="AL172" i="1"/>
  <c r="AK172" i="1"/>
  <c r="G15" i="5"/>
  <c r="T15" i="1"/>
  <c r="V15" i="1"/>
  <c r="U15" i="1"/>
  <c r="CD184" i="1"/>
  <c r="BG184" i="1"/>
  <c r="BP184" i="1" s="1" a="1"/>
  <c r="BP184" i="1" s="1"/>
  <c r="AA45" i="5"/>
  <c r="W45" i="5"/>
  <c r="Y45" i="5"/>
  <c r="F118" i="5"/>
  <c r="Y118" i="5"/>
  <c r="E118" i="5"/>
  <c r="V161" i="1"/>
  <c r="W161" i="1"/>
  <c r="U161" i="1"/>
  <c r="Y76" i="5"/>
  <c r="D76" i="5"/>
  <c r="F76" i="5"/>
  <c r="AA76" i="5"/>
  <c r="AC76" i="5"/>
  <c r="E131" i="5"/>
  <c r="W131" i="5"/>
  <c r="Z131" i="5"/>
  <c r="X131" i="5"/>
  <c r="X98" i="5"/>
  <c r="AC98" i="5"/>
  <c r="Z98" i="5"/>
  <c r="N98" i="1" s="1"/>
  <c r="F98" i="5"/>
  <c r="AA98" i="5"/>
  <c r="O98" i="1" s="1"/>
  <c r="Y18" i="5"/>
  <c r="Z18" i="5"/>
  <c r="AA18" i="5"/>
  <c r="F18" i="5"/>
  <c r="D18" i="5"/>
  <c r="S94" i="5"/>
  <c r="AL94" i="1"/>
  <c r="AK94" i="1"/>
  <c r="AJ94" i="1"/>
  <c r="AM94" i="1"/>
  <c r="G101" i="5"/>
  <c r="U101" i="1"/>
  <c r="V101" i="1"/>
  <c r="AM142" i="1"/>
  <c r="AL142" i="1"/>
  <c r="S142" i="5"/>
  <c r="AJ142" i="1"/>
  <c r="BF158" i="1"/>
  <c r="BG158" i="1" s="1"/>
  <c r="BP158" i="1" s="1" a="1"/>
  <c r="BP158" i="1" s="1"/>
  <c r="CD158" i="1"/>
  <c r="BP42" i="1" a="1"/>
  <c r="BP42" i="1" s="1"/>
  <c r="AN42" i="1"/>
  <c r="BG8" i="1"/>
  <c r="BP8" i="1" s="1" a="1"/>
  <c r="BP8" i="1" s="1"/>
  <c r="BF8" i="1"/>
  <c r="BK90" i="1"/>
  <c r="AN90" i="1"/>
  <c r="V27" i="1"/>
  <c r="G27" i="5"/>
  <c r="Z155" i="1"/>
  <c r="Y155" i="1"/>
  <c r="Y160" i="5"/>
  <c r="AC160" i="5"/>
  <c r="F160" i="5"/>
  <c r="F48" i="5"/>
  <c r="E48" i="5"/>
  <c r="AC48" i="5"/>
  <c r="D45" i="5"/>
  <c r="AA118" i="5"/>
  <c r="V162" i="1"/>
  <c r="E95" i="5"/>
  <c r="D95" i="5"/>
  <c r="AC95" i="5"/>
  <c r="Y95" i="5"/>
  <c r="V75" i="1"/>
  <c r="U75" i="1"/>
  <c r="X19" i="5"/>
  <c r="Y19" i="5"/>
  <c r="D19" i="5"/>
  <c r="E19" i="5"/>
  <c r="AC19" i="5"/>
  <c r="Y49" i="5"/>
  <c r="Z49" i="5"/>
  <c r="X49" i="5"/>
  <c r="AC49" i="5"/>
  <c r="D49" i="5"/>
  <c r="X76" i="5"/>
  <c r="AC62" i="5"/>
  <c r="W62" i="5"/>
  <c r="D62" i="5"/>
  <c r="X62" i="5"/>
  <c r="Y107" i="5"/>
  <c r="E107" i="5"/>
  <c r="F107" i="5"/>
  <c r="AA107" i="5"/>
  <c r="O107" i="1" s="1"/>
  <c r="AC131" i="5"/>
  <c r="Z166" i="5"/>
  <c r="AC166" i="5"/>
  <c r="D166" i="5"/>
  <c r="W166" i="5"/>
  <c r="X166" i="5"/>
  <c r="U31" i="1"/>
  <c r="T31" i="1"/>
  <c r="G31" i="5"/>
  <c r="V31" i="1"/>
  <c r="W31" i="1"/>
  <c r="Y98" i="5"/>
  <c r="E18" i="5"/>
  <c r="AK42" i="1"/>
  <c r="W89" i="1"/>
  <c r="U89" i="1"/>
  <c r="V89" i="1"/>
  <c r="I98" i="5"/>
  <c r="J98" i="5"/>
  <c r="AK140" i="1"/>
  <c r="G158" i="5"/>
  <c r="V158" i="1"/>
  <c r="T158" i="1"/>
  <c r="AM145" i="1"/>
  <c r="AK145" i="1"/>
  <c r="S145" i="5"/>
  <c r="AL145" i="1"/>
  <c r="AJ145" i="1"/>
  <c r="AJ72" i="1"/>
  <c r="AK72" i="1"/>
  <c r="W58" i="1"/>
  <c r="T150" i="1"/>
  <c r="G150" i="5"/>
  <c r="V150" i="1"/>
  <c r="W150" i="1"/>
  <c r="V6" i="5"/>
  <c r="CA29" i="1"/>
  <c r="AN29" i="1"/>
  <c r="BK29" i="1"/>
  <c r="BZ29" i="1"/>
  <c r="T17" i="1"/>
  <c r="G17" i="5"/>
  <c r="W17" i="1"/>
  <c r="U17" i="1"/>
  <c r="AA161" i="5"/>
  <c r="Z161" i="5"/>
  <c r="Y161" i="5"/>
  <c r="D161" i="5"/>
  <c r="AC161" i="5"/>
  <c r="AK40" i="1"/>
  <c r="AM40" i="1"/>
  <c r="AL40" i="1"/>
  <c r="AJ40" i="1"/>
  <c r="AJ71" i="1"/>
  <c r="AK71" i="1"/>
  <c r="S71" i="5"/>
  <c r="AM71" i="1"/>
  <c r="T144" i="1"/>
  <c r="G144" i="5"/>
  <c r="V144" i="1"/>
  <c r="U144" i="1"/>
  <c r="AM42" i="1"/>
  <c r="T81" i="1"/>
  <c r="G81" i="5"/>
  <c r="W81" i="1"/>
  <c r="V81" i="1"/>
  <c r="AL140" i="1"/>
  <c r="U158" i="1"/>
  <c r="BK161" i="1"/>
  <c r="V97" i="5"/>
  <c r="G160" i="5"/>
  <c r="U160" i="1"/>
  <c r="W160" i="1"/>
  <c r="V160" i="1"/>
  <c r="BG66" i="1"/>
  <c r="BP66" i="1" s="1" a="1"/>
  <c r="BP66" i="1" s="1"/>
  <c r="CD66" i="1"/>
  <c r="BF66" i="1"/>
  <c r="W27" i="1"/>
  <c r="AA155" i="1"/>
  <c r="D160" i="5"/>
  <c r="W48" i="5"/>
  <c r="F100" i="5"/>
  <c r="W100" i="5"/>
  <c r="D100" i="5"/>
  <c r="X100" i="5"/>
  <c r="E45" i="5"/>
  <c r="W118" i="5"/>
  <c r="W95" i="5"/>
  <c r="T75" i="1"/>
  <c r="AA19" i="5"/>
  <c r="AJ54" i="1"/>
  <c r="AM54" i="1"/>
  <c r="W49" i="5"/>
  <c r="W76" i="5"/>
  <c r="AA123" i="5"/>
  <c r="AC123" i="5"/>
  <c r="D123" i="5"/>
  <c r="Z123" i="5"/>
  <c r="X123" i="5"/>
  <c r="Y62" i="5"/>
  <c r="X107" i="5"/>
  <c r="Y131" i="5"/>
  <c r="AA166" i="5"/>
  <c r="F161" i="5"/>
  <c r="W98" i="5"/>
  <c r="AQ14" i="1"/>
  <c r="BS14" i="1" s="1"/>
  <c r="AC18" i="5"/>
  <c r="AM66" i="1"/>
  <c r="S66" i="5"/>
  <c r="AL66" i="1"/>
  <c r="T109" i="5"/>
  <c r="U109" i="5"/>
  <c r="AM140" i="1"/>
  <c r="T58" i="1"/>
  <c r="G58" i="5"/>
  <c r="V58" i="1"/>
  <c r="AJ36" i="1"/>
  <c r="AL36" i="1"/>
  <c r="AK36" i="1"/>
  <c r="F165" i="5"/>
  <c r="X165" i="5"/>
  <c r="Z165" i="5"/>
  <c r="AC165" i="5"/>
  <c r="AA165" i="5"/>
  <c r="D165" i="5"/>
  <c r="AK48" i="1"/>
  <c r="AM48" i="1"/>
  <c r="S48" i="5"/>
  <c r="AL48" i="1"/>
  <c r="U110" i="5"/>
  <c r="J61" i="5"/>
  <c r="I61" i="5"/>
  <c r="H61" i="5"/>
  <c r="U119" i="5"/>
  <c r="T119" i="5"/>
  <c r="BZ130" i="1"/>
  <c r="AN130" i="1"/>
  <c r="Y81" i="5"/>
  <c r="F81" i="5"/>
  <c r="AA81" i="5"/>
  <c r="O81" i="1" s="1"/>
  <c r="AB192" i="1"/>
  <c r="Z192" i="1"/>
  <c r="W161" i="5"/>
  <c r="AM146" i="1"/>
  <c r="AJ146" i="1"/>
  <c r="S146" i="5"/>
  <c r="V78" i="1"/>
  <c r="G78" i="5"/>
  <c r="T78" i="1"/>
  <c r="W78" i="1"/>
  <c r="W138" i="1"/>
  <c r="U138" i="1"/>
  <c r="T138" i="1"/>
  <c r="V91" i="1"/>
  <c r="W91" i="1"/>
  <c r="G91" i="5"/>
  <c r="T91" i="1"/>
  <c r="AM198" i="1"/>
  <c r="G156" i="5"/>
  <c r="T156" i="1"/>
  <c r="U156" i="1"/>
  <c r="AL112" i="1"/>
  <c r="S112" i="5"/>
  <c r="AM112" i="1"/>
  <c r="AJ112" i="1"/>
  <c r="K184" i="5"/>
  <c r="T114" i="1"/>
  <c r="W114" i="1"/>
  <c r="V114" i="1"/>
  <c r="U114" i="1"/>
  <c r="AL49" i="1"/>
  <c r="AK49" i="1"/>
  <c r="AJ49" i="1"/>
  <c r="V30" i="1"/>
  <c r="G30" i="5"/>
  <c r="U30" i="1"/>
  <c r="W30" i="1"/>
  <c r="V17" i="1"/>
  <c r="U141" i="1"/>
  <c r="I200" i="5"/>
  <c r="H200" i="5"/>
  <c r="J200" i="5"/>
  <c r="AN121" i="1"/>
  <c r="BK121" i="1"/>
  <c r="S72" i="5"/>
  <c r="AA68" i="5"/>
  <c r="Y68" i="5"/>
  <c r="AC68" i="5"/>
  <c r="Z68" i="5"/>
  <c r="W94" i="5"/>
  <c r="Z94" i="5"/>
  <c r="D94" i="5"/>
  <c r="AA94" i="5"/>
  <c r="A39" i="9"/>
  <c r="A204" i="5"/>
  <c r="AL183" i="1"/>
  <c r="G117" i="5"/>
  <c r="T117" i="1"/>
  <c r="U117" i="1"/>
  <c r="W117" i="1"/>
  <c r="AK194" i="1"/>
  <c r="AL194" i="1"/>
  <c r="AJ194" i="1"/>
  <c r="S149" i="5"/>
  <c r="AL149" i="1"/>
  <c r="AK149" i="1"/>
  <c r="AJ149" i="1"/>
  <c r="AA192" i="1"/>
  <c r="T161" i="1"/>
  <c r="AL199" i="1"/>
  <c r="AJ199" i="1"/>
  <c r="AK199" i="1"/>
  <c r="AM199" i="1"/>
  <c r="E161" i="5"/>
  <c r="U167" i="5"/>
  <c r="N202" i="5"/>
  <c r="AK146" i="1"/>
  <c r="AQ2" i="1"/>
  <c r="BS2" i="1" s="1"/>
  <c r="AK130" i="1"/>
  <c r="AJ130" i="1"/>
  <c r="AL130" i="1"/>
  <c r="AM130" i="1"/>
  <c r="T140" i="5"/>
  <c r="U140" i="5"/>
  <c r="W74" i="1"/>
  <c r="V74" i="1"/>
  <c r="T74" i="1"/>
  <c r="G74" i="5"/>
  <c r="U74" i="1"/>
  <c r="AJ198" i="1"/>
  <c r="V156" i="1"/>
  <c r="S14" i="5"/>
  <c r="AK14" i="1"/>
  <c r="AL14" i="1"/>
  <c r="Z184" i="1"/>
  <c r="AB184" i="1"/>
  <c r="U197" i="1"/>
  <c r="W197" i="1"/>
  <c r="T197" i="1"/>
  <c r="G197" i="5"/>
  <c r="Y184" i="1"/>
  <c r="J86" i="5"/>
  <c r="H86" i="5"/>
  <c r="S67" i="5"/>
  <c r="AL67" i="1"/>
  <c r="AM67" i="1"/>
  <c r="AK67" i="1"/>
  <c r="AM99" i="1"/>
  <c r="AL60" i="1"/>
  <c r="S60" i="5"/>
  <c r="AK60" i="1"/>
  <c r="AJ60" i="1"/>
  <c r="AM60" i="1"/>
  <c r="G29" i="5"/>
  <c r="U29" i="1"/>
  <c r="W29" i="1"/>
  <c r="V29" i="1"/>
  <c r="BF130" i="1"/>
  <c r="BG130" i="1" s="1"/>
  <c r="BP130" i="1" s="1" a="1"/>
  <c r="BP130" i="1" s="1"/>
  <c r="T132" i="1"/>
  <c r="U132" i="1"/>
  <c r="W132" i="1"/>
  <c r="G132" i="5"/>
  <c r="V132" i="1"/>
  <c r="T146" i="1"/>
  <c r="V146" i="1"/>
  <c r="U147" i="1"/>
  <c r="G62" i="5"/>
  <c r="U62" i="1"/>
  <c r="V62" i="1"/>
  <c r="U194" i="1"/>
  <c r="G194" i="5"/>
  <c r="W194" i="1"/>
  <c r="V85" i="1"/>
  <c r="G85" i="5"/>
  <c r="W85" i="1"/>
  <c r="T85" i="1"/>
  <c r="AL69" i="1"/>
  <c r="AM69" i="1"/>
  <c r="AL61" i="1"/>
  <c r="AM56" i="1"/>
  <c r="AJ56" i="1"/>
  <c r="AL56" i="1"/>
  <c r="S56" i="5"/>
  <c r="H136" i="5"/>
  <c r="Q27" i="1"/>
  <c r="J27" i="1"/>
  <c r="BE27" i="1"/>
  <c r="AP27" i="1"/>
  <c r="AB27" i="5" s="1"/>
  <c r="BD27" i="1"/>
  <c r="AW27" i="3"/>
  <c r="G139" i="5"/>
  <c r="U139" i="1"/>
  <c r="W139" i="1"/>
  <c r="BK109" i="1"/>
  <c r="AN109" i="1"/>
  <c r="BP95" i="1" a="1"/>
  <c r="BP95" i="1" s="1"/>
  <c r="AN95" i="1"/>
  <c r="BK95" i="1"/>
  <c r="Y33" i="5"/>
  <c r="Y83" i="5"/>
  <c r="Z37" i="5"/>
  <c r="K186" i="5"/>
  <c r="AM65" i="1"/>
  <c r="AJ65" i="1"/>
  <c r="AK65" i="1"/>
  <c r="E132" i="5"/>
  <c r="E125" i="5"/>
  <c r="W158" i="5"/>
  <c r="W86" i="5"/>
  <c r="A84" i="14"/>
  <c r="A84" i="5"/>
  <c r="Z66" i="5"/>
  <c r="W114" i="5"/>
  <c r="AA186" i="1"/>
  <c r="AK125" i="1"/>
  <c r="S125" i="5"/>
  <c r="F77" i="5"/>
  <c r="AC77" i="5"/>
  <c r="E87" i="5"/>
  <c r="V165" i="1"/>
  <c r="W165" i="1"/>
  <c r="A71" i="5"/>
  <c r="A20" i="9"/>
  <c r="A71" i="14"/>
  <c r="W14" i="1"/>
  <c r="AA127" i="5"/>
  <c r="O127" i="1" s="1"/>
  <c r="F127" i="5"/>
  <c r="Y116" i="5"/>
  <c r="AA116" i="5"/>
  <c r="X116" i="5"/>
  <c r="AM136" i="1"/>
  <c r="AJ184" i="1"/>
  <c r="AM200" i="1"/>
  <c r="AL200" i="1"/>
  <c r="AA208" i="1"/>
  <c r="K208" i="5"/>
  <c r="Y208" i="1"/>
  <c r="BQ71" i="1"/>
  <c r="BN71" i="1" s="1"/>
  <c r="AJ33" i="1"/>
  <c r="AM34" i="1"/>
  <c r="W71" i="1"/>
  <c r="S203" i="5"/>
  <c r="J120" i="5"/>
  <c r="S35" i="5"/>
  <c r="AK35" i="1"/>
  <c r="AJ35" i="1"/>
  <c r="AK57" i="1"/>
  <c r="AJ57" i="1"/>
  <c r="AL57" i="1"/>
  <c r="AA162" i="5"/>
  <c r="E162" i="5"/>
  <c r="F162" i="5"/>
  <c r="Z162" i="5"/>
  <c r="U61" i="1"/>
  <c r="T61" i="1"/>
  <c r="V61" i="1"/>
  <c r="AL51" i="1"/>
  <c r="W62" i="1"/>
  <c r="T194" i="1"/>
  <c r="S185" i="5"/>
  <c r="U126" i="1"/>
  <c r="G126" i="5"/>
  <c r="CD116" i="1"/>
  <c r="BG116" i="1"/>
  <c r="BP116" i="1" s="1" a="1"/>
  <c r="BP116" i="1" s="1"/>
  <c r="CD32" i="1"/>
  <c r="BG32" i="1"/>
  <c r="BP32" i="1" s="1" a="1"/>
  <c r="BP32" i="1" s="1"/>
  <c r="X66" i="5"/>
  <c r="AB186" i="1"/>
  <c r="AL125" i="1"/>
  <c r="A77" i="5"/>
  <c r="A77" i="14"/>
  <c r="U107" i="1"/>
  <c r="BN130" i="1"/>
  <c r="W127" i="5"/>
  <c r="F116" i="5"/>
  <c r="D163" i="5"/>
  <c r="Z163" i="5"/>
  <c r="U120" i="1"/>
  <c r="Z208" i="1"/>
  <c r="V192" i="1"/>
  <c r="K198" i="5"/>
  <c r="AB198" i="1"/>
  <c r="V131" i="1"/>
  <c r="Z162" i="1"/>
  <c r="AB162" i="1"/>
  <c r="S26" i="5"/>
  <c r="AM26" i="1"/>
  <c r="AM35" i="1"/>
  <c r="T4" i="1"/>
  <c r="W4" i="1"/>
  <c r="AM57" i="1"/>
  <c r="D162" i="5"/>
  <c r="S106" i="5"/>
  <c r="AK106" i="1"/>
  <c r="AM106" i="1"/>
  <c r="AJ81" i="1"/>
  <c r="AL81" i="1"/>
  <c r="V126" i="1"/>
  <c r="V196" i="5"/>
  <c r="T196" i="5"/>
  <c r="BF116" i="1"/>
  <c r="U90" i="1"/>
  <c r="T90" i="1"/>
  <c r="G90" i="5"/>
  <c r="V90" i="1"/>
  <c r="X88" i="1"/>
  <c r="BD88" i="1"/>
  <c r="K88" i="1"/>
  <c r="BS88" i="1"/>
  <c r="BU32" i="1"/>
  <c r="AW88" i="3"/>
  <c r="I152" i="5"/>
  <c r="H152" i="5"/>
  <c r="V204" i="1"/>
  <c r="T204" i="1"/>
  <c r="G204" i="5"/>
  <c r="U204" i="1"/>
  <c r="AW134" i="3"/>
  <c r="A40" i="14"/>
  <c r="A40" i="5"/>
  <c r="A36" i="5"/>
  <c r="A36" i="14"/>
  <c r="G123" i="5"/>
  <c r="W130" i="1"/>
  <c r="AB2" i="1"/>
  <c r="AD166" i="1"/>
  <c r="Q166" i="1"/>
  <c r="J166" i="1"/>
  <c r="Z132" i="5"/>
  <c r="X86" i="5"/>
  <c r="U35" i="1"/>
  <c r="G35" i="5"/>
  <c r="D150" i="5"/>
  <c r="F150" i="5"/>
  <c r="S15" i="5"/>
  <c r="AJ15" i="1"/>
  <c r="W209" i="1"/>
  <c r="AC87" i="5"/>
  <c r="AK95" i="1"/>
  <c r="AL163" i="1"/>
  <c r="G119" i="5"/>
  <c r="E122" i="5"/>
  <c r="W122" i="5"/>
  <c r="S184" i="5"/>
  <c r="E71" i="5"/>
  <c r="AA71" i="5"/>
  <c r="AC38" i="5"/>
  <c r="Z38" i="5"/>
  <c r="E38" i="5"/>
  <c r="H10" i="5"/>
  <c r="W208" i="1"/>
  <c r="AJ185" i="1"/>
  <c r="W40" i="1"/>
  <c r="G40" i="5"/>
  <c r="S61" i="5"/>
  <c r="J82" i="5"/>
  <c r="V87" i="1"/>
  <c r="U87" i="1"/>
  <c r="U40" i="1"/>
  <c r="AK70" i="1"/>
  <c r="AJ70" i="1"/>
  <c r="AL70" i="1"/>
  <c r="X207" i="1"/>
  <c r="AD207" i="1"/>
  <c r="Q207" i="1"/>
  <c r="BE191" i="3"/>
  <c r="BL191" i="3" s="1"/>
  <c r="BD207" i="1"/>
  <c r="BE207" i="1"/>
  <c r="J207" i="1"/>
  <c r="AA185" i="1"/>
  <c r="AL88" i="1"/>
  <c r="T165" i="1"/>
  <c r="W148" i="1"/>
  <c r="T148" i="1"/>
  <c r="G148" i="5"/>
  <c r="W41" i="1"/>
  <c r="U41" i="1"/>
  <c r="V41" i="1"/>
  <c r="AJ5" i="1"/>
  <c r="S5" i="5"/>
  <c r="AK5" i="1"/>
  <c r="AL5" i="1"/>
  <c r="J36" i="5"/>
  <c r="I36" i="5"/>
  <c r="H36" i="5"/>
  <c r="AD202" i="1"/>
  <c r="Q202" i="1"/>
  <c r="BE186" i="3"/>
  <c r="BL186" i="3" s="1"/>
  <c r="BK202" i="1"/>
  <c r="J202" i="1"/>
  <c r="BE202" i="1"/>
  <c r="AP202" i="1"/>
  <c r="AB202" i="5" s="1"/>
  <c r="BE88" i="1"/>
  <c r="BU88" i="1" s="1"/>
  <c r="BK196" i="1"/>
  <c r="AN196" i="1"/>
  <c r="AM173" i="1"/>
  <c r="S173" i="5"/>
  <c r="AL173" i="1"/>
  <c r="AQ136" i="1"/>
  <c r="BS136" i="1" s="1"/>
  <c r="S45" i="5"/>
  <c r="AJ45" i="1"/>
  <c r="AJ34" i="1"/>
  <c r="S34" i="5"/>
  <c r="T119" i="1"/>
  <c r="G173" i="5"/>
  <c r="W173" i="1"/>
  <c r="N239" i="5"/>
  <c r="W35" i="1"/>
  <c r="W185" i="1"/>
  <c r="G185" i="5"/>
  <c r="U185" i="1"/>
  <c r="T185" i="1"/>
  <c r="V40" i="1"/>
  <c r="J69" i="5"/>
  <c r="I69" i="5"/>
  <c r="AC162" i="5"/>
  <c r="H4" i="5"/>
  <c r="K207" i="1"/>
  <c r="G93" i="5"/>
  <c r="V93" i="1"/>
  <c r="AJ119" i="1"/>
  <c r="AK119" i="1"/>
  <c r="AL119" i="1"/>
  <c r="AK86" i="1"/>
  <c r="AM86" i="1"/>
  <c r="S86" i="5"/>
  <c r="AM110" i="1"/>
  <c r="AK88" i="1"/>
  <c r="U165" i="1"/>
  <c r="AQ166" i="1"/>
  <c r="BS166" i="1" s="1"/>
  <c r="AJ86" i="1"/>
  <c r="V148" i="1"/>
  <c r="AM8" i="1"/>
  <c r="AJ8" i="1"/>
  <c r="S8" i="5"/>
  <c r="AL8" i="1"/>
  <c r="AL12" i="1"/>
  <c r="S12" i="5"/>
  <c r="AM12" i="1"/>
  <c r="AJ12" i="1"/>
  <c r="CD129" i="1"/>
  <c r="K202" i="1"/>
  <c r="AM119" i="1"/>
  <c r="T111" i="5"/>
  <c r="BF68" i="1"/>
  <c r="BG68" i="1"/>
  <c r="BP68" i="1" s="1" a="1"/>
  <c r="BP68" i="1" s="1"/>
  <c r="CD68" i="1"/>
  <c r="AD206" i="1"/>
  <c r="BC190" i="3"/>
  <c r="BD206" i="1"/>
  <c r="K206" i="1"/>
  <c r="AI206" i="1"/>
  <c r="AW289" i="3"/>
  <c r="J206" i="1"/>
  <c r="V130" i="1"/>
  <c r="AA2" i="1"/>
  <c r="AC132" i="5"/>
  <c r="A81" i="14"/>
  <c r="A81" i="5"/>
  <c r="Z86" i="5"/>
  <c r="X87" i="5"/>
  <c r="AJ189" i="1"/>
  <c r="AL189" i="1"/>
  <c r="AM189" i="1"/>
  <c r="AK45" i="1"/>
  <c r="AL170" i="1"/>
  <c r="Y122" i="5"/>
  <c r="W71" i="5"/>
  <c r="W38" i="5"/>
  <c r="AK201" i="1"/>
  <c r="AJ201" i="1"/>
  <c r="U208" i="1"/>
  <c r="U119" i="1"/>
  <c r="H130" i="5"/>
  <c r="T35" i="1"/>
  <c r="AL185" i="1"/>
  <c r="S200" i="5"/>
  <c r="AJ203" i="1"/>
  <c r="AK6" i="1"/>
  <c r="AM6" i="1"/>
  <c r="AL6" i="1"/>
  <c r="T92" i="1"/>
  <c r="G92" i="5"/>
  <c r="V92" i="1"/>
  <c r="AK29" i="1"/>
  <c r="AL29" i="1"/>
  <c r="AF209" i="1"/>
  <c r="O209" i="5"/>
  <c r="AG209" i="1"/>
  <c r="AE209" i="1"/>
  <c r="AL110" i="1"/>
  <c r="AK76" i="1"/>
  <c r="AM76" i="1"/>
  <c r="AL46" i="1"/>
  <c r="T86" i="1"/>
  <c r="V86" i="1"/>
  <c r="U86" i="1"/>
  <c r="W86" i="1"/>
  <c r="H140" i="5"/>
  <c r="Y162" i="1"/>
  <c r="W146" i="1"/>
  <c r="BF162" i="1"/>
  <c r="CD162" i="1"/>
  <c r="AM81" i="1"/>
  <c r="BW160" i="1"/>
  <c r="BF160" i="1"/>
  <c r="CD160" i="1"/>
  <c r="BG160" i="1"/>
  <c r="BP160" i="1" s="1" a="1"/>
  <c r="BP160" i="1" s="1"/>
  <c r="BU160" i="1"/>
  <c r="BF185" i="1"/>
  <c r="CD185" i="1"/>
  <c r="BQ193" i="1"/>
  <c r="BN193" i="1" s="1"/>
  <c r="AD20" i="1"/>
  <c r="Q20" i="1"/>
  <c r="AQ20" i="1"/>
  <c r="BS20" i="1" s="1"/>
  <c r="K20" i="1"/>
  <c r="AP20" i="1"/>
  <c r="AB20" i="5" s="1"/>
  <c r="BE20" i="1"/>
  <c r="AM196" i="1"/>
  <c r="AK196" i="1"/>
  <c r="AJ196" i="1"/>
  <c r="AL196" i="1"/>
  <c r="CD114" i="1"/>
  <c r="CD95" i="1"/>
  <c r="S139" i="5"/>
  <c r="AL139" i="1"/>
  <c r="AK139" i="1"/>
  <c r="AJ139" i="1"/>
  <c r="J18" i="5"/>
  <c r="AL58" i="1"/>
  <c r="S58" i="5"/>
  <c r="AJ58" i="1"/>
  <c r="AK58" i="1"/>
  <c r="AM58" i="1"/>
  <c r="AN184" i="1"/>
  <c r="Q57" i="1"/>
  <c r="AD57" i="1"/>
  <c r="BE57" i="3"/>
  <c r="BL57" i="3" s="1"/>
  <c r="BE57" i="1"/>
  <c r="J57" i="1"/>
  <c r="K57" i="1"/>
  <c r="AW57" i="3"/>
  <c r="AN57" i="1"/>
  <c r="AP57" i="1"/>
  <c r="AB57" i="5" s="1"/>
  <c r="BD57" i="1"/>
  <c r="Q64" i="1"/>
  <c r="AD64" i="1"/>
  <c r="AP64" i="1"/>
  <c r="AB64" i="5" s="1"/>
  <c r="AW64" i="3"/>
  <c r="AQ64" i="1"/>
  <c r="BS64" i="1" s="1"/>
  <c r="J64" i="1"/>
  <c r="K64" i="1"/>
  <c r="BD64" i="1"/>
  <c r="BE64" i="1"/>
  <c r="BF95" i="1"/>
  <c r="AD71" i="1"/>
  <c r="Q71" i="1"/>
  <c r="BE71" i="3"/>
  <c r="BL71" i="3" s="1"/>
  <c r="J71" i="1"/>
  <c r="AP71" i="1"/>
  <c r="AB71" i="5" s="1"/>
  <c r="BD71" i="1"/>
  <c r="AL59" i="1"/>
  <c r="A199" i="5"/>
  <c r="A40" i="9"/>
  <c r="W22" i="5"/>
  <c r="E22" i="5"/>
  <c r="AJ109" i="1"/>
  <c r="AL109" i="1"/>
  <c r="AM109" i="1"/>
  <c r="G34" i="5"/>
  <c r="V34" i="1"/>
  <c r="T34" i="1"/>
  <c r="S10" i="5"/>
  <c r="AM10" i="1"/>
  <c r="AL10" i="1"/>
  <c r="AM197" i="1"/>
  <c r="AK197" i="1"/>
  <c r="G206" i="5"/>
  <c r="W206" i="1"/>
  <c r="T206" i="1"/>
  <c r="AK53" i="1"/>
  <c r="AM53" i="1"/>
  <c r="AJ73" i="1"/>
  <c r="S73" i="5"/>
  <c r="AM73" i="1"/>
  <c r="AK73" i="1"/>
  <c r="AK148" i="1"/>
  <c r="AM148" i="1"/>
  <c r="S148" i="5"/>
  <c r="AL148" i="1"/>
  <c r="AW20" i="3"/>
  <c r="AQ161" i="1"/>
  <c r="BS161" i="1" s="1"/>
  <c r="CD89" i="1"/>
  <c r="BG89" i="1"/>
  <c r="BP89" i="1" s="1" a="1"/>
  <c r="BP89" i="1" s="1"/>
  <c r="BF89" i="1"/>
  <c r="BE71" i="1"/>
  <c r="AK59" i="1"/>
  <c r="AK50" i="1"/>
  <c r="BK117" i="1"/>
  <c r="G191" i="5"/>
  <c r="W191" i="1"/>
  <c r="U191" i="1"/>
  <c r="T191" i="1"/>
  <c r="V191" i="1"/>
  <c r="CD7" i="1"/>
  <c r="AJ59" i="1"/>
  <c r="S59" i="5"/>
  <c r="BP129" i="1" a="1"/>
  <c r="BP129" i="1" s="1"/>
  <c r="BK129" i="1"/>
  <c r="AN129" i="1"/>
  <c r="BF7" i="1"/>
  <c r="AD82" i="1"/>
  <c r="Q82" i="1"/>
  <c r="AP82" i="1"/>
  <c r="AB82" i="5" s="1"/>
  <c r="K82" i="1"/>
  <c r="AW82" i="3"/>
  <c r="BE82" i="1"/>
  <c r="BD82" i="1"/>
  <c r="AQ82" i="1"/>
  <c r="BS82" i="1" s="1"/>
  <c r="J82" i="1"/>
  <c r="AN128" i="1"/>
  <c r="BK128" i="1"/>
  <c r="BG131" i="1"/>
  <c r="BP131" i="1" s="1" a="1"/>
  <c r="BP131" i="1" s="1"/>
  <c r="CD131" i="1"/>
  <c r="CA103" i="1"/>
  <c r="BK103" i="1"/>
  <c r="AN103" i="1"/>
  <c r="H108" i="5"/>
  <c r="AD134" i="1"/>
  <c r="Q134" i="1"/>
  <c r="BE134" i="1"/>
  <c r="BD134" i="1"/>
  <c r="AP134" i="1"/>
  <c r="AB134" i="5" s="1"/>
  <c r="J134" i="1"/>
  <c r="K134" i="1"/>
  <c r="S164" i="5"/>
  <c r="AL164" i="1"/>
  <c r="AJ164" i="1"/>
  <c r="I37" i="5"/>
  <c r="H37" i="5"/>
  <c r="AM13" i="1"/>
  <c r="S13" i="5"/>
  <c r="AK13" i="1"/>
  <c r="G193" i="5"/>
  <c r="U193" i="1"/>
  <c r="V193" i="1"/>
  <c r="T193" i="1"/>
  <c r="BG140" i="1"/>
  <c r="BP140" i="1" s="1" a="1"/>
  <c r="BP140" i="1" s="1"/>
  <c r="CD140" i="1"/>
  <c r="BK206" i="1"/>
  <c r="G94" i="5"/>
  <c r="V94" i="1"/>
  <c r="U94" i="1"/>
  <c r="AK109" i="1"/>
  <c r="J128" i="5"/>
  <c r="I128" i="5"/>
  <c r="AJ121" i="1"/>
  <c r="AL121" i="1"/>
  <c r="AM121" i="1"/>
  <c r="S121" i="5"/>
  <c r="AK121" i="1"/>
  <c r="BF203" i="1"/>
  <c r="BG203" i="1"/>
  <c r="BP203" i="1" s="1" a="1"/>
  <c r="BP203" i="1" s="1"/>
  <c r="BW203" i="1"/>
  <c r="AD127" i="1"/>
  <c r="Q127" i="1"/>
  <c r="J127" i="1"/>
  <c r="BE127" i="1"/>
  <c r="BK127" i="1"/>
  <c r="BD127" i="1"/>
  <c r="AP127" i="1"/>
  <c r="AB127" i="5" s="1"/>
  <c r="AW127" i="3"/>
  <c r="T99" i="1"/>
  <c r="W99" i="1"/>
  <c r="G99" i="5"/>
  <c r="V99" i="1"/>
  <c r="A35" i="14"/>
  <c r="A35" i="5"/>
  <c r="A18" i="14"/>
  <c r="A18" i="5"/>
  <c r="BN196" i="1"/>
  <c r="BE193" i="3"/>
  <c r="BL193" i="3" s="1"/>
  <c r="J209" i="1"/>
  <c r="BC193" i="3"/>
  <c r="BM193" i="3" s="1"/>
  <c r="W100" i="1"/>
  <c r="V205" i="1"/>
  <c r="U205" i="1"/>
  <c r="V102" i="1"/>
  <c r="T102" i="1"/>
  <c r="J273" i="5"/>
  <c r="AM37" i="1"/>
  <c r="S37" i="5"/>
  <c r="W3" i="1"/>
  <c r="T3" i="1"/>
  <c r="S39" i="5"/>
  <c r="AL39" i="1"/>
  <c r="G166" i="5"/>
  <c r="V166" i="1"/>
  <c r="AD33" i="1"/>
  <c r="Q33" i="1"/>
  <c r="J33" i="1"/>
  <c r="BD33" i="1"/>
  <c r="AP33" i="1"/>
  <c r="AB33" i="5" s="1"/>
  <c r="AQ33" i="1"/>
  <c r="BS33" i="1" s="1"/>
  <c r="BK33" i="1"/>
  <c r="V82" i="1"/>
  <c r="CD17" i="1"/>
  <c r="BF17" i="1"/>
  <c r="V152" i="1"/>
  <c r="T152" i="1"/>
  <c r="U152" i="1"/>
  <c r="W152" i="1"/>
  <c r="AN53" i="1"/>
  <c r="CD22" i="1"/>
  <c r="BF22" i="1"/>
  <c r="BG22" i="1"/>
  <c r="BP22" i="1" s="1" a="1"/>
  <c r="BP22" i="1" s="1"/>
  <c r="AN189" i="1"/>
  <c r="BK189" i="1"/>
  <c r="AM166" i="1"/>
  <c r="AK166" i="1"/>
  <c r="S166" i="5"/>
  <c r="AJ166" i="1"/>
  <c r="AL166" i="1"/>
  <c r="AN33" i="1"/>
  <c r="AD132" i="1"/>
  <c r="Q132" i="1"/>
  <c r="AI132" i="1"/>
  <c r="BE132" i="1"/>
  <c r="AD205" i="1"/>
  <c r="Q205" i="1"/>
  <c r="AI205" i="1"/>
  <c r="AQ205" i="1"/>
  <c r="BS205" i="1" s="1"/>
  <c r="G205" i="5"/>
  <c r="BG65" i="1"/>
  <c r="BP65" i="1" s="1" a="1"/>
  <c r="BP65" i="1" s="1"/>
  <c r="T159" i="1"/>
  <c r="G159" i="5"/>
  <c r="T198" i="1"/>
  <c r="AM100" i="1"/>
  <c r="BG118" i="1"/>
  <c r="BP118" i="1" s="1" a="1"/>
  <c r="BP118" i="1" s="1"/>
  <c r="W98" i="1"/>
  <c r="W128" i="1"/>
  <c r="U128" i="1"/>
  <c r="V128" i="1"/>
  <c r="CD125" i="1"/>
  <c r="BG125" i="1"/>
  <c r="BP125" i="1" s="1" a="1"/>
  <c r="BP125" i="1" s="1"/>
  <c r="BU125" i="1"/>
  <c r="BF125" i="1"/>
  <c r="AD109" i="1"/>
  <c r="Q109" i="1"/>
  <c r="BE109" i="3"/>
  <c r="BL109" i="3" s="1"/>
  <c r="AQ109" i="1"/>
  <c r="BS109" i="1" s="1"/>
  <c r="BD109" i="1"/>
  <c r="AP109" i="1"/>
  <c r="AB109" i="5" s="1"/>
  <c r="J109" i="1"/>
  <c r="BU60" i="1"/>
  <c r="BF60" i="1"/>
  <c r="BG60" i="1" s="1"/>
  <c r="BP60" i="1" s="1" a="1"/>
  <c r="BP60" i="1" s="1"/>
  <c r="CD60" i="1"/>
  <c r="CD40" i="1"/>
  <c r="BF40" i="1"/>
  <c r="BG40" i="1" s="1"/>
  <c r="BP40" i="1" s="1" a="1"/>
  <c r="BP40" i="1" s="1"/>
  <c r="BE109" i="1"/>
  <c r="AC189" i="5"/>
  <c r="X189" i="5"/>
  <c r="Z189" i="5"/>
  <c r="E189" i="5"/>
  <c r="D189" i="5"/>
  <c r="W189" i="5"/>
  <c r="AA189" i="5"/>
  <c r="BK34" i="1"/>
  <c r="AN34" i="1"/>
  <c r="AQ50" i="1"/>
  <c r="BS50" i="1" s="1"/>
  <c r="AP50" i="1"/>
  <c r="AB50" i="5" s="1"/>
  <c r="BD50" i="1"/>
  <c r="BE50" i="1"/>
  <c r="BU50" i="1" s="1"/>
  <c r="K109" i="1"/>
  <c r="BF102" i="1"/>
  <c r="CD102" i="1"/>
  <c r="BG102" i="1"/>
  <c r="BP102" i="1" s="1" a="1"/>
  <c r="BP102" i="1" s="1"/>
  <c r="T128" i="1"/>
  <c r="BK5" i="1"/>
  <c r="BP5" i="1" a="1"/>
  <c r="BP5" i="1" s="1"/>
  <c r="AW50" i="3"/>
  <c r="BU102" i="1"/>
  <c r="BK208" i="1"/>
  <c r="AN208" i="1"/>
  <c r="S63" i="5"/>
  <c r="AK63" i="1"/>
  <c r="AL63" i="1"/>
  <c r="G76" i="5"/>
  <c r="V76" i="1"/>
  <c r="AK108" i="1"/>
  <c r="BG99" i="1"/>
  <c r="BP99" i="1" s="1" a="1"/>
  <c r="BP99" i="1" s="1"/>
  <c r="BF99" i="1"/>
  <c r="S30" i="5"/>
  <c r="AK30" i="1"/>
  <c r="S44" i="5"/>
  <c r="J207" i="5"/>
  <c r="H207" i="5"/>
  <c r="I207" i="5"/>
  <c r="S21" i="5"/>
  <c r="AK21" i="1"/>
  <c r="AL21" i="1"/>
  <c r="AJ21" i="1"/>
  <c r="J109" i="5"/>
  <c r="I109" i="5"/>
  <c r="AQ132" i="1"/>
  <c r="BS132" i="1" s="1"/>
  <c r="BG85" i="1"/>
  <c r="BP85" i="1" s="1" a="1"/>
  <c r="BP85" i="1" s="1"/>
  <c r="AN205" i="1"/>
  <c r="AN69" i="1"/>
  <c r="BK69" i="1"/>
  <c r="Z199" i="5"/>
  <c r="CA160" i="1"/>
  <c r="AN160" i="1"/>
  <c r="AQ97" i="1"/>
  <c r="BS97" i="1" s="1"/>
  <c r="BE97" i="1"/>
  <c r="BU97" i="1" s="1"/>
  <c r="AW97" i="3"/>
  <c r="K97" i="1"/>
  <c r="BK165" i="1"/>
  <c r="AN165" i="1"/>
  <c r="BE45" i="1"/>
  <c r="K45" i="1"/>
  <c r="AB45" i="5"/>
  <c r="AW45" i="3"/>
  <c r="BS45" i="1"/>
  <c r="BD45" i="1"/>
  <c r="AD73" i="1"/>
  <c r="Q73" i="1"/>
  <c r="K73" i="1"/>
  <c r="BE73" i="1"/>
  <c r="BU73" i="1" s="1"/>
  <c r="BD73" i="1"/>
  <c r="BP73" i="1" a="1"/>
  <c r="BP73" i="1" s="1"/>
  <c r="L193" i="1"/>
  <c r="M193" i="1"/>
  <c r="BF29" i="1"/>
  <c r="BG29" i="1"/>
  <c r="BP29" i="1" s="1" a="1"/>
  <c r="BP29" i="1" s="1"/>
  <c r="CD29" i="1"/>
  <c r="BU21" i="1"/>
  <c r="CD163" i="1"/>
  <c r="BF163" i="1"/>
  <c r="BF138" i="1"/>
  <c r="CD138" i="1"/>
  <c r="BG138" i="1"/>
  <c r="BP138" i="1" s="1" a="1"/>
  <c r="BP138" i="1" s="1"/>
  <c r="U109" i="1"/>
  <c r="BG55" i="1"/>
  <c r="BP55" i="1" s="1" a="1"/>
  <c r="BP55" i="1" s="1"/>
  <c r="BK125" i="1"/>
  <c r="AW73" i="3"/>
  <c r="AD25" i="1"/>
  <c r="Q25" i="1"/>
  <c r="BE25" i="3"/>
  <c r="BL25" i="3" s="1"/>
  <c r="J25" i="1"/>
  <c r="CD41" i="1"/>
  <c r="AD204" i="1"/>
  <c r="Q204" i="1"/>
  <c r="AW311" i="3"/>
  <c r="AQ204" i="1"/>
  <c r="BS204" i="1" s="1"/>
  <c r="T141" i="5"/>
  <c r="U141" i="5"/>
  <c r="T140" i="1"/>
  <c r="AN21" i="1"/>
  <c r="U68" i="1"/>
  <c r="BK197" i="1"/>
  <c r="AN197" i="1"/>
  <c r="AD93" i="1"/>
  <c r="BE93" i="3"/>
  <c r="BL93" i="3" s="1"/>
  <c r="Q93" i="1"/>
  <c r="K93" i="1"/>
  <c r="AP93" i="1"/>
  <c r="AB93" i="5" s="1"/>
  <c r="BE93" i="1"/>
  <c r="J93" i="1"/>
  <c r="AW93" i="3"/>
  <c r="AP73" i="1"/>
  <c r="AB73" i="5" s="1"/>
  <c r="CA208" i="1"/>
  <c r="BK12" i="1"/>
  <c r="AN12" i="1"/>
  <c r="Q41" i="1"/>
  <c r="AD41" i="1"/>
  <c r="AP41" i="1"/>
  <c r="AB41" i="5" s="1"/>
  <c r="K41" i="1"/>
  <c r="BE41" i="1"/>
  <c r="BU41" i="1" s="1"/>
  <c r="AW41" i="3"/>
  <c r="BP41" i="1" a="1"/>
  <c r="BP41" i="1" s="1"/>
  <c r="BK150" i="1"/>
  <c r="AN150" i="1"/>
  <c r="AQ207" i="1"/>
  <c r="BS207" i="1" s="1"/>
  <c r="AW61" i="3"/>
  <c r="BD41" i="1"/>
  <c r="AD121" i="1"/>
  <c r="Q121" i="1"/>
  <c r="AQ121" i="1"/>
  <c r="BS121" i="1" s="1"/>
  <c r="BE121" i="1"/>
  <c r="BD121" i="1"/>
  <c r="AW121" i="3"/>
  <c r="J121" i="1"/>
  <c r="K121" i="1"/>
  <c r="AP121" i="1"/>
  <c r="AB121" i="5" s="1"/>
  <c r="AN77" i="1"/>
  <c r="BK77" i="1"/>
  <c r="J253" i="5"/>
  <c r="BG191" i="1"/>
  <c r="BP191" i="1" s="1" a="1"/>
  <c r="BP191" i="1" s="1"/>
  <c r="CD191" i="1"/>
  <c r="BU191" i="1"/>
  <c r="Y186" i="5"/>
  <c r="E186" i="5"/>
  <c r="X186" i="5"/>
  <c r="F186" i="5"/>
  <c r="Z186" i="5"/>
  <c r="AA186" i="5"/>
  <c r="D186" i="5"/>
  <c r="BS41" i="1"/>
  <c r="W170" i="5"/>
  <c r="X170" i="5"/>
  <c r="F170" i="5"/>
  <c r="Y170" i="5"/>
  <c r="D170" i="5"/>
  <c r="E170" i="5"/>
  <c r="AC170" i="5"/>
  <c r="Z170" i="5"/>
  <c r="N170" i="1" s="1"/>
  <c r="AA170" i="5"/>
  <c r="O170" i="1" s="1"/>
  <c r="BG76" i="1"/>
  <c r="BP76" i="1" s="1" a="1"/>
  <c r="BP76" i="1" s="1"/>
  <c r="BF76" i="1"/>
  <c r="CD76" i="1"/>
  <c r="AN18" i="1"/>
  <c r="BK18" i="1"/>
  <c r="H109" i="5"/>
  <c r="BW80" i="1"/>
  <c r="BG80" i="1"/>
  <c r="BP80" i="1" s="1" a="1"/>
  <c r="BP80" i="1" s="1"/>
  <c r="Q46" i="1"/>
  <c r="X46" i="1"/>
  <c r="AQ46" i="1"/>
  <c r="BS46" i="1" s="1"/>
  <c r="AP46" i="1"/>
  <c r="AB46" i="5" s="1"/>
  <c r="AW46" i="3"/>
  <c r="BE46" i="1"/>
  <c r="J46" i="1"/>
  <c r="BD46" i="1"/>
  <c r="K46" i="1"/>
  <c r="BK20" i="1"/>
  <c r="AN20" i="1"/>
  <c r="D190" i="5"/>
  <c r="Y190" i="5"/>
  <c r="Z190" i="5"/>
  <c r="AC190" i="5"/>
  <c r="AW191" i="3"/>
  <c r="X199" i="5"/>
  <c r="F199" i="5"/>
  <c r="D199" i="5"/>
  <c r="E199" i="5"/>
  <c r="Y199" i="5"/>
  <c r="W199" i="5"/>
  <c r="CD80" i="1"/>
  <c r="BN48" i="1"/>
  <c r="AN118" i="1"/>
  <c r="BK118" i="1"/>
  <c r="CD38" i="1"/>
  <c r="BG38" i="1"/>
  <c r="BP38" i="1" s="1" a="1"/>
  <c r="BP38" i="1" s="1"/>
  <c r="D169" i="5"/>
  <c r="X169" i="5"/>
  <c r="AA169" i="5"/>
  <c r="O169" i="1" s="1"/>
  <c r="F169" i="5"/>
  <c r="AC169" i="5"/>
  <c r="Z169" i="5"/>
  <c r="N169" i="1" s="1"/>
  <c r="Y169" i="5"/>
  <c r="E169" i="5"/>
  <c r="AN116" i="1"/>
  <c r="BG48" i="1"/>
  <c r="BP48" i="1" s="1" a="1"/>
  <c r="BP48" i="1" s="1"/>
  <c r="BF48" i="1"/>
  <c r="Q196" i="1"/>
  <c r="AD196" i="1"/>
  <c r="J196" i="1"/>
  <c r="BD196" i="1"/>
  <c r="K196" i="1"/>
  <c r="BE196" i="1"/>
  <c r="AW196" i="3"/>
  <c r="AP196" i="1"/>
  <c r="AB196" i="5" s="1"/>
  <c r="AQ196" i="1"/>
  <c r="BS196" i="1" s="1"/>
  <c r="AD198" i="1"/>
  <c r="Q198" i="1"/>
  <c r="AQ198" i="1"/>
  <c r="BS198" i="1" s="1"/>
  <c r="BD198" i="1"/>
  <c r="AP198" i="1"/>
  <c r="AB198" i="5" s="1"/>
  <c r="K198" i="1"/>
  <c r="W169" i="5"/>
  <c r="AW203" i="3"/>
  <c r="AD84" i="1"/>
  <c r="Q84" i="1"/>
  <c r="AI84" i="1"/>
  <c r="AW84" i="3"/>
  <c r="AP84" i="1"/>
  <c r="AB84" i="5" s="1"/>
  <c r="BD84" i="1"/>
  <c r="CA206" i="1"/>
  <c r="BU34" i="1"/>
  <c r="BF34" i="1"/>
  <c r="BG34" i="1"/>
  <c r="BP34" i="1" s="1" a="1"/>
  <c r="BP34" i="1" s="1"/>
  <c r="CD34" i="1"/>
  <c r="CD186" i="1"/>
  <c r="BF186" i="1"/>
  <c r="BG186" i="1"/>
  <c r="BP186" i="1" s="1" a="1"/>
  <c r="BP186" i="1" s="1"/>
  <c r="Q21" i="1"/>
  <c r="AD21" i="1"/>
  <c r="S21" i="1"/>
  <c r="K21" i="1"/>
  <c r="AW21" i="3"/>
  <c r="AP21" i="1"/>
  <c r="AB21" i="5" s="1"/>
  <c r="Q4" i="1"/>
  <c r="AD4" i="1"/>
  <c r="AI4" i="1"/>
  <c r="AW4" i="3"/>
  <c r="BE4" i="1"/>
  <c r="AP4" i="1"/>
  <c r="AB4" i="5" s="1"/>
  <c r="J4" i="1"/>
  <c r="K4" i="1"/>
  <c r="AD165" i="1"/>
  <c r="Q165" i="1"/>
  <c r="J165" i="1"/>
  <c r="AP165" i="1"/>
  <c r="AB165" i="5" s="1"/>
  <c r="AD100" i="1"/>
  <c r="Q100" i="1"/>
  <c r="BE100" i="3"/>
  <c r="BL100" i="3" s="1"/>
  <c r="J100" i="1"/>
  <c r="X173" i="5"/>
  <c r="Y173" i="5"/>
  <c r="AA173" i="5"/>
  <c r="AC173" i="5"/>
  <c r="BG96" i="1"/>
  <c r="BP96" i="1" s="1" a="1"/>
  <c r="BP96" i="1" s="1"/>
  <c r="BG59" i="1"/>
  <c r="BP59" i="1" s="1" a="1"/>
  <c r="BP59" i="1" s="1"/>
  <c r="BU59" i="1"/>
  <c r="AD170" i="1"/>
  <c r="Q170" i="1"/>
  <c r="AQ170" i="1"/>
  <c r="BS170" i="1" s="1"/>
  <c r="BD170" i="1"/>
  <c r="CA201" i="1"/>
  <c r="AN201" i="1"/>
  <c r="AN101" i="1"/>
  <c r="BK101" i="1"/>
  <c r="BK24" i="1"/>
  <c r="AN24" i="1"/>
  <c r="BF94" i="1"/>
  <c r="BG94" i="1" s="1"/>
  <c r="BP94" i="1" s="1" a="1"/>
  <c r="BP94" i="1" s="1"/>
  <c r="AN200" i="1"/>
  <c r="BK200" i="1"/>
  <c r="AD108" i="1"/>
  <c r="Q108" i="1"/>
  <c r="BE108" i="1"/>
  <c r="BU108" i="1" s="1"/>
  <c r="AP108" i="1"/>
  <c r="AB108" i="5" s="1"/>
  <c r="AN108" i="1"/>
  <c r="BK108" i="1"/>
  <c r="AW108" i="3"/>
  <c r="K108" i="1"/>
  <c r="AQ206" i="1"/>
  <c r="BS206" i="1" s="1"/>
  <c r="CA99" i="1"/>
  <c r="AN99" i="1"/>
  <c r="T36" i="1"/>
  <c r="AN19" i="1"/>
  <c r="BD165" i="1"/>
  <c r="BS100" i="1"/>
  <c r="F193" i="5"/>
  <c r="X193" i="5"/>
  <c r="W193" i="5"/>
  <c r="AD72" i="1"/>
  <c r="AQ72" i="1"/>
  <c r="BS72" i="1" s="1"/>
  <c r="K72" i="1"/>
  <c r="AW72" i="3"/>
  <c r="BD72" i="1"/>
  <c r="BK192" i="1"/>
  <c r="BK133" i="1"/>
  <c r="E173" i="5"/>
  <c r="AP170" i="1"/>
  <c r="AB170" i="5" s="1"/>
  <c r="BK100" i="1"/>
  <c r="AN100" i="1"/>
  <c r="BK201" i="1"/>
  <c r="CA41" i="1"/>
  <c r="AD38" i="1"/>
  <c r="AQ38" i="1"/>
  <c r="C38" i="14" s="1"/>
  <c r="G38" i="14" s="1"/>
  <c r="BD38" i="1"/>
  <c r="BE38" i="1"/>
  <c r="BU38" i="1" s="1"/>
  <c r="AP38" i="1"/>
  <c r="AB38" i="5" s="1"/>
  <c r="Q173" i="1"/>
  <c r="AD173" i="1"/>
  <c r="K173" i="1"/>
  <c r="AP173" i="1"/>
  <c r="AB173" i="5" s="1"/>
  <c r="J173" i="1"/>
  <c r="AQ173" i="1"/>
  <c r="BS173" i="1" s="1"/>
  <c r="BE173" i="3"/>
  <c r="BL173" i="3" s="1"/>
  <c r="BK173" i="1"/>
  <c r="AW173" i="3"/>
  <c r="AN173" i="1"/>
  <c r="BD173" i="1"/>
  <c r="AN45" i="1"/>
  <c r="J72" i="1"/>
  <c r="Q125" i="1"/>
  <c r="AD125" i="1"/>
  <c r="V131" i="5"/>
  <c r="U131" i="5"/>
  <c r="T131" i="5"/>
  <c r="BK104" i="1"/>
  <c r="AN104" i="1"/>
  <c r="Z173" i="5"/>
  <c r="K170" i="1"/>
  <c r="BK162" i="1"/>
  <c r="AN162" i="1"/>
  <c r="AN186" i="1"/>
  <c r="CA61" i="1"/>
  <c r="AN59" i="1"/>
  <c r="BK59" i="1"/>
  <c r="Q90" i="1"/>
  <c r="AD90" i="1"/>
  <c r="AI90" i="1"/>
  <c r="BE90" i="3"/>
  <c r="BL90" i="3" s="1"/>
  <c r="AP90" i="1"/>
  <c r="AB90" i="5" s="1"/>
  <c r="J90" i="1"/>
  <c r="K90" i="1"/>
  <c r="BD90" i="1"/>
  <c r="BE90" i="1"/>
  <c r="CD167" i="1"/>
  <c r="BF167" i="1"/>
  <c r="BU167" i="1"/>
  <c r="BW167" i="1"/>
  <c r="BG167" i="1"/>
  <c r="BP167" i="1" s="1" a="1"/>
  <c r="BP167" i="1" s="1"/>
  <c r="CA104" i="1"/>
  <c r="BG10" i="1"/>
  <c r="BP10" i="1" s="1" a="1"/>
  <c r="BP10" i="1" s="1"/>
  <c r="BF10" i="1"/>
  <c r="AD85" i="1"/>
  <c r="Q85" i="1"/>
  <c r="BE85" i="1"/>
  <c r="BU85" i="1" s="1"/>
  <c r="K85" i="1"/>
  <c r="BD85" i="1"/>
  <c r="AQ85" i="1"/>
  <c r="BS85" i="1" s="1"/>
  <c r="AP85" i="1"/>
  <c r="AB85" i="5" s="1"/>
  <c r="AW85" i="3"/>
  <c r="AW90" i="3"/>
  <c r="AQ202" i="1"/>
  <c r="BS202" i="1" s="1"/>
  <c r="E202" i="5"/>
  <c r="F202" i="5"/>
  <c r="Z202" i="5"/>
  <c r="D202" i="5"/>
  <c r="AA202" i="5"/>
  <c r="W202" i="5"/>
  <c r="BF24" i="1"/>
  <c r="BG24" i="1" s="1"/>
  <c r="BP24" i="1" s="1" a="1"/>
  <c r="BP24" i="1" s="1"/>
  <c r="Q80" i="1"/>
  <c r="K80" i="1"/>
  <c r="AP80" i="1"/>
  <c r="AB80" i="5" s="1"/>
  <c r="BE80" i="1"/>
  <c r="BU80" i="1" s="1"/>
  <c r="BD80" i="1"/>
  <c r="CA48" i="1"/>
  <c r="BK48" i="1"/>
  <c r="T167" i="1"/>
  <c r="V167" i="1"/>
  <c r="K61" i="1"/>
  <c r="BF193" i="1"/>
  <c r="W167" i="1"/>
  <c r="X96" i="1"/>
  <c r="K96" i="1"/>
  <c r="AQ96" i="1"/>
  <c r="BS96" i="1" s="1"/>
  <c r="BE96" i="3"/>
  <c r="BL96" i="3" s="1"/>
  <c r="AW96" i="3"/>
  <c r="BD49" i="1"/>
  <c r="AB49" i="5"/>
  <c r="AQ49" i="1"/>
  <c r="C49" i="14" s="1"/>
  <c r="G49" i="14" s="1"/>
  <c r="K10" i="1"/>
  <c r="Z188" i="5"/>
  <c r="Y188" i="5"/>
  <c r="X188" i="5"/>
  <c r="AC188" i="5"/>
  <c r="CA202" i="1"/>
  <c r="Q69" i="1"/>
  <c r="AD69" i="1"/>
  <c r="AP69" i="1"/>
  <c r="AB69" i="5" s="1"/>
  <c r="K69" i="1"/>
  <c r="BE69" i="1"/>
  <c r="BU69" i="1" s="1"/>
  <c r="BD69" i="1"/>
  <c r="BP108" i="1" a="1"/>
  <c r="BP108" i="1" s="1"/>
  <c r="K49" i="1"/>
  <c r="AD37" i="1"/>
  <c r="Q37" i="1"/>
  <c r="AQ37" i="1"/>
  <c r="BS37" i="1" s="1"/>
  <c r="AP37" i="1"/>
  <c r="AB37" i="5" s="1"/>
  <c r="J37" i="1"/>
  <c r="K37" i="1"/>
  <c r="BP50" i="1" a="1"/>
  <c r="BP50" i="1" s="1"/>
  <c r="AN50" i="1"/>
  <c r="AD106" i="1"/>
  <c r="Q106" i="1"/>
  <c r="BE106" i="1"/>
  <c r="BU106" i="1" s="1"/>
  <c r="BK106" i="1"/>
  <c r="AP106" i="1"/>
  <c r="AB106" i="5" s="1"/>
  <c r="K106" i="1"/>
  <c r="W188" i="5"/>
  <c r="AN190" i="1"/>
  <c r="AW69" i="3"/>
  <c r="BK57" i="1"/>
  <c r="AC200" i="5"/>
  <c r="W200" i="5"/>
  <c r="Y200" i="5"/>
  <c r="X200" i="5"/>
  <c r="AA200" i="5"/>
  <c r="O200" i="1" s="1"/>
  <c r="F200" i="5"/>
  <c r="Z200" i="5"/>
  <c r="N200" i="1" s="1"/>
  <c r="D200" i="5"/>
  <c r="E200" i="5"/>
  <c r="BN141" i="1"/>
  <c r="AD66" i="1"/>
  <c r="Q66" i="1"/>
  <c r="AQ66" i="1"/>
  <c r="BS66" i="1" s="1"/>
  <c r="AP66" i="1"/>
  <c r="AB66" i="5" s="1"/>
  <c r="K66" i="1"/>
  <c r="AW66" i="3"/>
  <c r="BE66" i="1"/>
  <c r="BU66" i="1" s="1"/>
  <c r="BD66" i="1"/>
  <c r="AQ106" i="1"/>
  <c r="BS106" i="1" s="1"/>
  <c r="AQ22" i="1"/>
  <c r="BS22" i="1" s="1"/>
  <c r="BN114" i="1"/>
  <c r="BP98" i="1" a="1"/>
  <c r="BP98" i="1" s="1"/>
  <c r="BU170" i="1"/>
  <c r="BN101" i="1"/>
  <c r="AD192" i="1"/>
  <c r="Q192" i="1"/>
  <c r="AW192" i="3"/>
  <c r="K192" i="1"/>
  <c r="AD32" i="1"/>
  <c r="Q32" i="1"/>
  <c r="BD32" i="1"/>
  <c r="AW32" i="3"/>
  <c r="K32" i="1"/>
  <c r="Q191" i="1"/>
  <c r="AD191" i="1"/>
  <c r="AI191" i="1"/>
  <c r="AB191" i="5"/>
  <c r="K191" i="1"/>
  <c r="BD191" i="1"/>
  <c r="Z197" i="5"/>
  <c r="E197" i="5"/>
  <c r="F197" i="5"/>
  <c r="AC197" i="5"/>
  <c r="W197" i="5"/>
  <c r="AW54" i="3"/>
  <c r="BE54" i="1"/>
  <c r="BU54" i="1" s="1"/>
  <c r="AP54" i="1"/>
  <c r="AB54" i="5" s="1"/>
  <c r="J61" i="1"/>
  <c r="BF107" i="1"/>
  <c r="AQ134" i="1"/>
  <c r="BS134" i="1" s="1"/>
  <c r="CA106" i="1"/>
  <c r="BN96" i="1"/>
  <c r="Q133" i="1"/>
  <c r="AD133" i="1"/>
  <c r="AQ133" i="1"/>
  <c r="BS133" i="1" s="1"/>
  <c r="BE133" i="1"/>
  <c r="BD133" i="1"/>
  <c r="J133" i="1"/>
  <c r="AP133" i="1"/>
  <c r="AB133" i="5" s="1"/>
  <c r="AW169" i="3"/>
  <c r="CA203" i="1"/>
  <c r="CA172" i="1"/>
  <c r="AQ25" i="1"/>
  <c r="BS25" i="1" s="1"/>
  <c r="X185" i="5"/>
  <c r="E185" i="5"/>
  <c r="D185" i="5"/>
  <c r="W185" i="5"/>
  <c r="Y185" i="5"/>
  <c r="AD201" i="1"/>
  <c r="Q201" i="1"/>
  <c r="AW270" i="3"/>
  <c r="AP201" i="1"/>
  <c r="AB201" i="5" s="1"/>
  <c r="K201" i="1"/>
  <c r="BE201" i="1"/>
  <c r="BU201" i="1" s="1"/>
  <c r="AW126" i="3"/>
  <c r="AQ201" i="1"/>
  <c r="BS201" i="1" s="1"/>
  <c r="AD77" i="1"/>
  <c r="Q77" i="1"/>
  <c r="BE77" i="3"/>
  <c r="BL77" i="3" s="1"/>
  <c r="AN195" i="1"/>
  <c r="Z183" i="5"/>
  <c r="W191" i="5"/>
  <c r="T124" i="1"/>
  <c r="BG106" i="1"/>
  <c r="BP106" i="1" s="1" a="1"/>
  <c r="BP106" i="1" s="1"/>
  <c r="AN127" i="1"/>
  <c r="AD48" i="1"/>
  <c r="Q48" i="1"/>
  <c r="BE48" i="1"/>
  <c r="BU48" i="1" s="1"/>
  <c r="K48" i="1"/>
  <c r="AQ48" i="1"/>
  <c r="BS48" i="1" s="1"/>
  <c r="AP48" i="1"/>
  <c r="AB48" i="5" s="1"/>
  <c r="Q62" i="1"/>
  <c r="AD62" i="1"/>
  <c r="AQ62" i="1"/>
  <c r="BS62" i="1" s="1"/>
  <c r="AB62" i="5"/>
  <c r="BE62" i="1"/>
  <c r="BD62" i="1"/>
  <c r="BK64" i="1"/>
  <c r="Q86" i="1"/>
  <c r="AD86" i="1"/>
  <c r="BE86" i="3"/>
  <c r="BL86" i="3" s="1"/>
  <c r="BE86" i="1"/>
  <c r="BD86" i="1"/>
  <c r="J86" i="1"/>
  <c r="AW86" i="3"/>
  <c r="AN86" i="1"/>
  <c r="J62" i="1"/>
  <c r="BG104" i="1"/>
  <c r="BP104" i="1" s="1" a="1"/>
  <c r="BP104" i="1" s="1"/>
  <c r="Q40" i="1"/>
  <c r="AD40" i="1"/>
  <c r="K40" i="1"/>
  <c r="AP40" i="1"/>
  <c r="AB40" i="5" s="1"/>
  <c r="BE40" i="1"/>
  <c r="BU40" i="1" s="1"/>
  <c r="Z185" i="5"/>
  <c r="R102" i="1"/>
  <c r="BD201" i="1"/>
  <c r="AD22" i="1"/>
  <c r="Q22" i="1"/>
  <c r="K22" i="1"/>
  <c r="BE22" i="1"/>
  <c r="BU22" i="1" s="1"/>
  <c r="AW22" i="3"/>
  <c r="K133" i="1"/>
  <c r="BK163" i="1"/>
  <c r="AN163" i="1"/>
  <c r="AD61" i="1"/>
  <c r="Q61" i="1"/>
  <c r="BD61" i="1"/>
  <c r="AQ61" i="1"/>
  <c r="BS61" i="1" s="1"/>
  <c r="Z203" i="5"/>
  <c r="W203" i="5"/>
  <c r="F203" i="5"/>
  <c r="BF12" i="1"/>
  <c r="AN23" i="1"/>
  <c r="AN38" i="1"/>
  <c r="BK38" i="1"/>
  <c r="Q10" i="1"/>
  <c r="AD10" i="1"/>
  <c r="BE10" i="1"/>
  <c r="BU10" i="1" s="1"/>
  <c r="AW10" i="3"/>
  <c r="BD10" i="1"/>
  <c r="AD94" i="1"/>
  <c r="Q94" i="1"/>
  <c r="BE94" i="3"/>
  <c r="BL94" i="3" s="1"/>
  <c r="AQ94" i="1"/>
  <c r="BS94" i="1" s="1"/>
  <c r="AW94" i="3"/>
  <c r="K94" i="1"/>
  <c r="AP94" i="1"/>
  <c r="AB94" i="5" s="1"/>
  <c r="AA185" i="5"/>
  <c r="BN64" i="1"/>
  <c r="BN39" i="1"/>
  <c r="AJ52" i="1"/>
  <c r="AK52" i="1"/>
  <c r="T170" i="1"/>
  <c r="CA209" i="1"/>
  <c r="AP77" i="1"/>
  <c r="AB77" i="5" s="1"/>
  <c r="AD200" i="1"/>
  <c r="Q200" i="1"/>
  <c r="AQ127" i="1"/>
  <c r="BS127" i="1" s="1"/>
  <c r="BP163" i="1" a="1"/>
  <c r="BP163" i="1" s="1"/>
  <c r="G167" i="5"/>
  <c r="AP61" i="1"/>
  <c r="AB61" i="5" s="1"/>
  <c r="X203" i="5"/>
  <c r="BG12" i="1"/>
  <c r="BP12" i="1" s="1" a="1"/>
  <c r="BP12" i="1" s="1"/>
  <c r="AN131" i="1"/>
  <c r="CD122" i="1"/>
  <c r="U167" i="1"/>
  <c r="BP107" i="1" a="1"/>
  <c r="BP107" i="1" s="1"/>
  <c r="BG172" i="1"/>
  <c r="BP172" i="1" s="1" a="1"/>
  <c r="BP172" i="1" s="1"/>
  <c r="BW172" i="1"/>
  <c r="BK23" i="1"/>
  <c r="AP96" i="1"/>
  <c r="AB96" i="5" s="1"/>
  <c r="AN202" i="1"/>
  <c r="AC209" i="5"/>
  <c r="W209" i="5"/>
  <c r="E209" i="5"/>
  <c r="F209" i="5"/>
  <c r="D209" i="5"/>
  <c r="AB86" i="5"/>
  <c r="AB10" i="5"/>
  <c r="AD81" i="1"/>
  <c r="Q81" i="1"/>
  <c r="BE81" i="3"/>
  <c r="BL81" i="3" s="1"/>
  <c r="AW81" i="3"/>
  <c r="BD81" i="1"/>
  <c r="AB81" i="5"/>
  <c r="W205" i="5"/>
  <c r="D205" i="5"/>
  <c r="Z205" i="5"/>
  <c r="Y205" i="5"/>
  <c r="X205" i="5"/>
  <c r="Q19" i="1"/>
  <c r="AD19" i="1"/>
  <c r="AI19" i="1"/>
  <c r="BE19" i="1"/>
  <c r="BU19" i="1" s="1"/>
  <c r="AP19" i="1"/>
  <c r="AB19" i="5" s="1"/>
  <c r="AW19" i="3"/>
  <c r="AQ19" i="1"/>
  <c r="BS19" i="1" s="1"/>
  <c r="AD58" i="1"/>
  <c r="Q58" i="1"/>
  <c r="BE58" i="3"/>
  <c r="BL58" i="3" s="1"/>
  <c r="AQ58" i="1"/>
  <c r="BS58" i="1" s="1"/>
  <c r="BD58" i="1"/>
  <c r="AP58" i="1"/>
  <c r="AB58" i="5" s="1"/>
  <c r="J58" i="1"/>
  <c r="BE58" i="1"/>
  <c r="CD104" i="1"/>
  <c r="BE94" i="1"/>
  <c r="BU94" i="1" s="1"/>
  <c r="BD40" i="1"/>
  <c r="AC185" i="5"/>
  <c r="CA127" i="1"/>
  <c r="AD23" i="1"/>
  <c r="Q23" i="1"/>
  <c r="AW23" i="3"/>
  <c r="AP23" i="1"/>
  <c r="AB23" i="5" s="1"/>
  <c r="BE23" i="1"/>
  <c r="BU23" i="1" s="1"/>
  <c r="BK170" i="1"/>
  <c r="AN170" i="1"/>
  <c r="AN106" i="1"/>
  <c r="BN115" i="1"/>
  <c r="BN52" i="1"/>
  <c r="N164" i="5"/>
  <c r="L164" i="5"/>
  <c r="M164" i="5"/>
  <c r="Q163" i="1"/>
  <c r="AD163" i="1"/>
  <c r="AW163" i="3"/>
  <c r="AD76" i="1"/>
  <c r="Q76" i="1"/>
  <c r="BE76" i="3"/>
  <c r="BL76" i="3" s="1"/>
  <c r="Q87" i="1"/>
  <c r="AD87" i="1"/>
  <c r="BE87" i="1"/>
  <c r="BU87" i="1" s="1"/>
  <c r="AN82" i="1"/>
  <c r="BN12" i="1"/>
  <c r="AQ138" i="1"/>
  <c r="BS138" i="1" s="1"/>
  <c r="BN60" i="1"/>
  <c r="AQ60" i="1"/>
  <c r="BS60" i="1" s="1"/>
  <c r="BN26" i="1"/>
  <c r="Q95" i="1"/>
  <c r="AD95" i="1"/>
  <c r="AQ189" i="1"/>
  <c r="BS189" i="1" s="1"/>
  <c r="Q189" i="1"/>
  <c r="AD34" i="1"/>
  <c r="Q34" i="1"/>
  <c r="AQ34" i="1"/>
  <c r="BS34" i="1" s="1"/>
  <c r="AD89" i="1"/>
  <c r="Q89" i="1"/>
  <c r="E208" i="5"/>
  <c r="AP7" i="1"/>
  <c r="AB7" i="5" s="1"/>
  <c r="AW29" i="3"/>
  <c r="AB117" i="5"/>
  <c r="AN98" i="1"/>
  <c r="BF170" i="1"/>
  <c r="BE119" i="1"/>
  <c r="Q98" i="1"/>
  <c r="AD98" i="1"/>
  <c r="BE98" i="3"/>
  <c r="BL98" i="3" s="1"/>
  <c r="AD118" i="1"/>
  <c r="Q118" i="1"/>
  <c r="AQ118" i="1"/>
  <c r="BS118" i="1" s="1"/>
  <c r="J36" i="1"/>
  <c r="Y164" i="1"/>
  <c r="BE163" i="1"/>
  <c r="BU163" i="1" s="1"/>
  <c r="AB44" i="5"/>
  <c r="J345" i="5"/>
  <c r="J285" i="5"/>
  <c r="AD17" i="1"/>
  <c r="Q17" i="1"/>
  <c r="AQ17" i="1"/>
  <c r="BS17" i="1" s="1"/>
  <c r="AW12" i="3"/>
  <c r="BD42" i="1"/>
  <c r="AW76" i="3"/>
  <c r="AC206" i="5"/>
  <c r="X197" i="1"/>
  <c r="BD197" i="1"/>
  <c r="E198" i="5"/>
  <c r="BE55" i="1"/>
  <c r="BU55" i="1" s="1"/>
  <c r="AA39" i="1"/>
  <c r="BD184" i="1"/>
  <c r="Y172" i="5"/>
  <c r="BL290" i="3"/>
  <c r="J237" i="5" s="1"/>
  <c r="BN153" i="1"/>
  <c r="BN15" i="1"/>
  <c r="K168" i="5"/>
  <c r="Z168" i="1"/>
  <c r="Y168" i="1"/>
  <c r="AB168" i="1"/>
  <c r="Q36" i="1"/>
  <c r="AD36" i="1"/>
  <c r="AP76" i="1"/>
  <c r="AB76" i="5" s="1"/>
  <c r="Q138" i="1"/>
  <c r="AD138" i="1"/>
  <c r="BE138" i="1"/>
  <c r="BU138" i="1" s="1"/>
  <c r="BD138" i="1"/>
  <c r="BN44" i="1"/>
  <c r="Q158" i="1"/>
  <c r="AD158" i="1"/>
  <c r="AQ158" i="1"/>
  <c r="BS158" i="1" s="1"/>
  <c r="AP158" i="1"/>
  <c r="AB158" i="5" s="1"/>
  <c r="BE158" i="1"/>
  <c r="BU158" i="1" s="1"/>
  <c r="AW158" i="3"/>
  <c r="K158" i="1"/>
  <c r="BN149" i="1"/>
  <c r="BE24" i="1"/>
  <c r="BU24" i="1" s="1"/>
  <c r="K95" i="1"/>
  <c r="BD189" i="1"/>
  <c r="AD140" i="1"/>
  <c r="Q140" i="1"/>
  <c r="BE140" i="3"/>
  <c r="BL140" i="3" s="1"/>
  <c r="K107" i="1"/>
  <c r="AW34" i="3"/>
  <c r="K160" i="1"/>
  <c r="BE89" i="1"/>
  <c r="BU89" i="1" s="1"/>
  <c r="AP164" i="1"/>
  <c r="AB164" i="5" s="1"/>
  <c r="X208" i="5"/>
  <c r="BK73" i="1"/>
  <c r="AW7" i="3"/>
  <c r="BE190" i="1"/>
  <c r="BU190" i="1" s="1"/>
  <c r="AP29" i="1"/>
  <c r="AB29" i="5" s="1"/>
  <c r="X194" i="5"/>
  <c r="BE117" i="1"/>
  <c r="BU117" i="1" s="1"/>
  <c r="W192" i="5"/>
  <c r="BD101" i="1"/>
  <c r="AA200" i="1"/>
  <c r="N227" i="5"/>
  <c r="W207" i="5"/>
  <c r="AP98" i="1"/>
  <c r="AB98" i="5" s="1"/>
  <c r="BD118" i="1"/>
  <c r="Z164" i="1"/>
  <c r="BS163" i="1"/>
  <c r="BD44" i="1"/>
  <c r="BS36" i="1"/>
  <c r="BE17" i="1"/>
  <c r="BU17" i="1" s="1"/>
  <c r="K12" i="1"/>
  <c r="K42" i="1"/>
  <c r="BD76" i="1"/>
  <c r="Z206" i="5"/>
  <c r="N206" i="1" s="1"/>
  <c r="AB197" i="5"/>
  <c r="Z198" i="5"/>
  <c r="K55" i="1"/>
  <c r="AP87" i="1"/>
  <c r="AB87" i="5" s="1"/>
  <c r="AP138" i="1"/>
  <c r="AB138" i="5" s="1"/>
  <c r="BN132" i="1"/>
  <c r="BD158" i="1"/>
  <c r="AQ86" i="1"/>
  <c r="BS86" i="1" s="1"/>
  <c r="BN109" i="1"/>
  <c r="K159" i="5"/>
  <c r="AA159" i="1"/>
  <c r="Y159" i="1"/>
  <c r="AB159" i="1"/>
  <c r="Q199" i="1"/>
  <c r="AD199" i="1"/>
  <c r="BE164" i="1"/>
  <c r="BU164" i="1" s="1"/>
  <c r="AD68" i="1"/>
  <c r="Q68" i="1"/>
  <c r="BE183" i="3"/>
  <c r="BL183" i="3" s="1"/>
  <c r="Z208" i="5"/>
  <c r="AW190" i="3"/>
  <c r="AQ169" i="1"/>
  <c r="BS169" i="1" s="1"/>
  <c r="Q169" i="1"/>
  <c r="BP169" i="1" a="1"/>
  <c r="BP169" i="1" s="1"/>
  <c r="Q150" i="1"/>
  <c r="AD150" i="1"/>
  <c r="AI150" i="1"/>
  <c r="AQ150" i="1"/>
  <c r="BS150" i="1" s="1"/>
  <c r="K163" i="1"/>
  <c r="BE44" i="1"/>
  <c r="BU44" i="1" s="1"/>
  <c r="BD36" i="1"/>
  <c r="BE76" i="1"/>
  <c r="BU76" i="1" s="1"/>
  <c r="E206" i="5"/>
  <c r="CA107" i="1"/>
  <c r="AA198" i="5"/>
  <c r="Q193" i="1"/>
  <c r="AD193" i="1"/>
  <c r="AQ193" i="1"/>
  <c r="BS193" i="1" s="1"/>
  <c r="BE193" i="1"/>
  <c r="BU193" i="1" s="1"/>
  <c r="AB193" i="5"/>
  <c r="AD126" i="1"/>
  <c r="Q126" i="1"/>
  <c r="BN41" i="1"/>
  <c r="BN21" i="1"/>
  <c r="AQ99" i="1"/>
  <c r="C99" i="14" s="1"/>
  <c r="G99" i="14" s="1"/>
  <c r="H99" i="14" s="1"/>
  <c r="M101" i="5"/>
  <c r="BN93" i="1"/>
  <c r="BN18" i="1"/>
  <c r="AD203" i="1"/>
  <c r="Q203" i="1"/>
  <c r="Q35" i="1"/>
  <c r="AD35" i="1"/>
  <c r="AB95" i="5"/>
  <c r="AP189" i="1"/>
  <c r="AB189" i="5" s="1"/>
  <c r="Q183" i="1"/>
  <c r="AD183" i="1"/>
  <c r="AQ183" i="1"/>
  <c r="BS183" i="1" s="1"/>
  <c r="AD122" i="1"/>
  <c r="Q122" i="1"/>
  <c r="BE122" i="3"/>
  <c r="BL122" i="3" s="1"/>
  <c r="AQ122" i="1"/>
  <c r="BS122" i="1" s="1"/>
  <c r="BD34" i="1"/>
  <c r="AP89" i="1"/>
  <c r="AB89" i="5" s="1"/>
  <c r="AB199" i="5"/>
  <c r="BD68" i="1"/>
  <c r="D208" i="5"/>
  <c r="AA194" i="5"/>
  <c r="E192" i="5"/>
  <c r="AB116" i="5"/>
  <c r="BK193" i="1"/>
  <c r="F207" i="5"/>
  <c r="AW98" i="3"/>
  <c r="AD67" i="1"/>
  <c r="Q67" i="1"/>
  <c r="BK203" i="1"/>
  <c r="K150" i="1"/>
  <c r="AP163" i="1"/>
  <c r="AB163" i="5" s="1"/>
  <c r="AW44" i="3"/>
  <c r="AB36" i="5"/>
  <c r="K17" i="1"/>
  <c r="BE187" i="3"/>
  <c r="BL187" i="3" s="1"/>
  <c r="X206" i="5"/>
  <c r="D184" i="5"/>
  <c r="F184" i="5"/>
  <c r="K197" i="1"/>
  <c r="AW102" i="3"/>
  <c r="AC198" i="5"/>
  <c r="K87" i="1"/>
  <c r="BD126" i="1"/>
  <c r="K138" i="1"/>
  <c r="AQ101" i="1"/>
  <c r="BS101" i="1" s="1"/>
  <c r="CA207" i="1"/>
  <c r="BN65" i="1"/>
  <c r="K28" i="5"/>
  <c r="Z28" i="1"/>
  <c r="AB28" i="1"/>
  <c r="Y28" i="1"/>
  <c r="AA28" i="1"/>
  <c r="AQ126" i="1"/>
  <c r="BS126" i="1" s="1"/>
  <c r="BN84" i="1"/>
  <c r="M118" i="5"/>
  <c r="N118" i="5"/>
  <c r="L118" i="5"/>
  <c r="BN54" i="1"/>
  <c r="BD169" i="1"/>
  <c r="AW150" i="3"/>
  <c r="BS44" i="1"/>
  <c r="AW36" i="3"/>
  <c r="AD104" i="1"/>
  <c r="Q104" i="1"/>
  <c r="Y206" i="5"/>
  <c r="Y204" i="5"/>
  <c r="AC204" i="5"/>
  <c r="Y198" i="5"/>
  <c r="AD185" i="1"/>
  <c r="Q185" i="1"/>
  <c r="BE185" i="1"/>
  <c r="BU185" i="1" s="1"/>
  <c r="AB185" i="5"/>
  <c r="K193" i="1"/>
  <c r="AW138" i="3"/>
  <c r="J119" i="1"/>
  <c r="BN147" i="1"/>
  <c r="L205" i="5"/>
  <c r="N205" i="5"/>
  <c r="M205" i="5"/>
  <c r="AQ21" i="1"/>
  <c r="BS21" i="1" s="1"/>
  <c r="BN185" i="1"/>
  <c r="AQ5" i="1"/>
  <c r="BS5" i="1" s="1"/>
  <c r="K102" i="5"/>
  <c r="Z102" i="1"/>
  <c r="AA102" i="1"/>
  <c r="AB102" i="1"/>
  <c r="Y102" i="1"/>
  <c r="M143" i="5"/>
  <c r="L143" i="5"/>
  <c r="N143" i="5"/>
  <c r="AQ57" i="1"/>
  <c r="BS57" i="1" s="1"/>
  <c r="BN42" i="1"/>
  <c r="AQ104" i="1"/>
  <c r="BS104" i="1" s="1"/>
  <c r="BN164" i="1"/>
  <c r="Z204" i="5"/>
  <c r="W198" i="5"/>
  <c r="AW185" i="3"/>
  <c r="AW193" i="3"/>
  <c r="BE126" i="1"/>
  <c r="BU126" i="1" s="1"/>
  <c r="AD129" i="1"/>
  <c r="Q129" i="1"/>
  <c r="BE129" i="1"/>
  <c r="BU129" i="1" s="1"/>
  <c r="AP129" i="1"/>
  <c r="AB129" i="5" s="1"/>
  <c r="BD129" i="1"/>
  <c r="K129" i="1"/>
  <c r="CA80" i="1"/>
  <c r="AD5" i="1"/>
  <c r="BE5" i="3"/>
  <c r="BL5" i="3" s="1"/>
  <c r="Q5" i="1"/>
  <c r="S5" i="1"/>
  <c r="AP5" i="1"/>
  <c r="AB5" i="5" s="1"/>
  <c r="BD5" i="1"/>
  <c r="K5" i="1"/>
  <c r="AW5" i="3"/>
  <c r="AQ69" i="1"/>
  <c r="C69" i="14" s="1"/>
  <c r="G69" i="14" s="1"/>
  <c r="H69" i="14" s="1"/>
  <c r="K195" i="5"/>
  <c r="Y195" i="1"/>
  <c r="AB195" i="1"/>
  <c r="AA195" i="1"/>
  <c r="AD24" i="1"/>
  <c r="Q24" i="1"/>
  <c r="BE203" i="1"/>
  <c r="BU203" i="1" s="1"/>
  <c r="AD83" i="1"/>
  <c r="Q83" i="1"/>
  <c r="AD195" i="1"/>
  <c r="Q195" i="1"/>
  <c r="AQ195" i="1"/>
  <c r="BS195" i="1" s="1"/>
  <c r="Q160" i="1"/>
  <c r="AD160" i="1"/>
  <c r="BE199" i="1"/>
  <c r="AP68" i="1"/>
  <c r="AB68" i="5" s="1"/>
  <c r="W208" i="5"/>
  <c r="AD186" i="1"/>
  <c r="Q186" i="1"/>
  <c r="AQ186" i="1"/>
  <c r="BS186" i="1" s="1"/>
  <c r="K190" i="1"/>
  <c r="E194" i="5"/>
  <c r="Z192" i="5"/>
  <c r="Q60" i="1"/>
  <c r="AD60" i="1"/>
  <c r="BE60" i="3"/>
  <c r="BL60" i="3" s="1"/>
  <c r="BG170" i="1"/>
  <c r="BP170" i="1" s="1" a="1"/>
  <c r="BP170" i="1" s="1"/>
  <c r="BP183" i="1" a="1"/>
  <c r="BP183" i="1" s="1"/>
  <c r="Q59" i="1"/>
  <c r="AD59" i="1"/>
  <c r="BE59" i="3"/>
  <c r="BL59" i="3" s="1"/>
  <c r="AW59" i="3"/>
  <c r="BD150" i="1"/>
  <c r="AB104" i="5"/>
  <c r="Q99" i="1"/>
  <c r="AD99" i="1"/>
  <c r="BE99" i="3"/>
  <c r="BL99" i="3" s="1"/>
  <c r="BE99" i="1"/>
  <c r="BU99" i="1" s="1"/>
  <c r="W204" i="5"/>
  <c r="D198" i="5"/>
  <c r="AP126" i="1"/>
  <c r="AB126" i="5" s="1"/>
  <c r="BN43" i="1"/>
  <c r="BE5" i="1"/>
  <c r="BU5" i="1" s="1"/>
  <c r="AQ67" i="1"/>
  <c r="BS67" i="1" s="1"/>
  <c r="CA170" i="1"/>
  <c r="BN61" i="1"/>
  <c r="AQ73" i="1"/>
  <c r="BS73" i="1" s="1"/>
  <c r="AQ129" i="1"/>
  <c r="BS129" i="1" s="1"/>
  <c r="Q164" i="1"/>
  <c r="AD164" i="1"/>
  <c r="AQ164" i="1"/>
  <c r="BS164" i="1" s="1"/>
  <c r="BK199" i="1"/>
  <c r="Q7" i="1"/>
  <c r="AD7" i="1"/>
  <c r="AQ7" i="1"/>
  <c r="BS7" i="1" s="1"/>
  <c r="Z190" i="1"/>
  <c r="Q29" i="1"/>
  <c r="X29" i="1"/>
  <c r="AD29" i="1"/>
  <c r="Z194" i="5"/>
  <c r="AD117" i="1"/>
  <c r="Q117" i="1"/>
  <c r="AC192" i="5"/>
  <c r="Q119" i="1"/>
  <c r="AD119" i="1"/>
  <c r="BE119" i="3"/>
  <c r="BL119" i="3" s="1"/>
  <c r="AQ119" i="1"/>
  <c r="BS119" i="1" s="1"/>
  <c r="AP169" i="1"/>
  <c r="AB169" i="5" s="1"/>
  <c r="AB59" i="5"/>
  <c r="BE150" i="1"/>
  <c r="BU150" i="1" s="1"/>
  <c r="BN67" i="1"/>
  <c r="AD12" i="1"/>
  <c r="Q12" i="1"/>
  <c r="AW42" i="3"/>
  <c r="K104" i="1"/>
  <c r="AW99" i="3"/>
  <c r="F204" i="5"/>
  <c r="AD55" i="1"/>
  <c r="Q55" i="1"/>
  <c r="BE55" i="3"/>
  <c r="BL55" i="3" s="1"/>
  <c r="BS55" i="1"/>
  <c r="K185" i="1"/>
  <c r="AB39" i="1"/>
  <c r="Q65" i="1"/>
  <c r="AD65" i="1"/>
  <c r="K65" i="1"/>
  <c r="BE65" i="1"/>
  <c r="BU65" i="1" s="1"/>
  <c r="K126" i="1"/>
  <c r="BN125" i="1"/>
  <c r="AB172" i="5"/>
  <c r="AQ90" i="1"/>
  <c r="BS90" i="1" s="1"/>
  <c r="BN49" i="1"/>
  <c r="K187" i="5"/>
  <c r="AA187" i="1"/>
  <c r="Z187" i="1"/>
  <c r="AB187" i="1"/>
  <c r="Y187" i="1"/>
  <c r="AP24" i="1"/>
  <c r="AB24" i="5" s="1"/>
  <c r="K203" i="1"/>
  <c r="Q107" i="1"/>
  <c r="AD107" i="1"/>
  <c r="BD195" i="1"/>
  <c r="BS160" i="1"/>
  <c r="J199" i="1"/>
  <c r="K7" i="1"/>
  <c r="BD190" i="1"/>
  <c r="K29" i="1"/>
  <c r="AW117" i="3"/>
  <c r="AW60" i="3"/>
  <c r="AW119" i="3"/>
  <c r="BE169" i="1"/>
  <c r="BU169" i="1" s="1"/>
  <c r="Q56" i="1"/>
  <c r="AD56" i="1"/>
  <c r="BE56" i="3"/>
  <c r="BL56" i="3" s="1"/>
  <c r="AQ56" i="1"/>
  <c r="BS56" i="1" s="1"/>
  <c r="AA164" i="1"/>
  <c r="K59" i="1"/>
  <c r="BD163" i="1"/>
  <c r="AB12" i="5"/>
  <c r="BE42" i="1"/>
  <c r="BU42" i="1" s="1"/>
  <c r="K76" i="1"/>
  <c r="BE104" i="1"/>
  <c r="BU104" i="1" s="1"/>
  <c r="BE169" i="3"/>
  <c r="BL169" i="3" s="1"/>
  <c r="X204" i="5"/>
  <c r="AW55" i="3"/>
  <c r="BD87" i="1"/>
  <c r="M39" i="5"/>
  <c r="L39" i="5"/>
  <c r="BN34" i="1"/>
  <c r="AD184" i="1"/>
  <c r="Q184" i="1"/>
  <c r="BE184" i="1"/>
  <c r="BU184" i="1" s="1"/>
  <c r="AP184" i="1"/>
  <c r="AB184" i="5" s="1"/>
  <c r="AW184" i="3"/>
  <c r="D172" i="5"/>
  <c r="W172" i="5"/>
  <c r="X172" i="5"/>
  <c r="AC172" i="5"/>
  <c r="F172" i="5"/>
  <c r="Z172" i="5"/>
  <c r="N172" i="1" s="1"/>
  <c r="BK82" i="1"/>
  <c r="AQ81" i="1"/>
  <c r="BS81" i="1" s="1"/>
  <c r="BN206" i="1"/>
  <c r="BN133" i="1"/>
  <c r="AQ98" i="1"/>
  <c r="BS98" i="1" s="1"/>
  <c r="K36" i="5"/>
  <c r="Z36" i="1"/>
  <c r="AB36" i="1"/>
  <c r="AA36" i="1"/>
  <c r="Y36" i="1"/>
  <c r="N151" i="5"/>
  <c r="M151" i="5"/>
  <c r="L151" i="5"/>
  <c r="BD8" i="1"/>
  <c r="K47" i="1"/>
  <c r="AB205" i="1"/>
  <c r="BE172" i="1"/>
  <c r="BU172" i="1" s="1"/>
  <c r="M85" i="5"/>
  <c r="Z141" i="1"/>
  <c r="AB31" i="1"/>
  <c r="AB143" i="1"/>
  <c r="BN32" i="1"/>
  <c r="K99" i="5"/>
  <c r="AA99" i="1"/>
  <c r="Y99" i="1"/>
  <c r="BN134" i="1"/>
  <c r="BN5" i="1"/>
  <c r="Z106" i="1"/>
  <c r="K106" i="5"/>
  <c r="AA106" i="1"/>
  <c r="AB106" i="1"/>
  <c r="AQ40" i="1"/>
  <c r="BS40" i="1" s="1"/>
  <c r="BN103" i="1"/>
  <c r="AQ140" i="1"/>
  <c r="BS140" i="1" s="1"/>
  <c r="BN63" i="1"/>
  <c r="AD162" i="1"/>
  <c r="Q162" i="1"/>
  <c r="AW8" i="3"/>
  <c r="BS47" i="1"/>
  <c r="Z22" i="1"/>
  <c r="Y205" i="1"/>
  <c r="AW128" i="3"/>
  <c r="BD172" i="1"/>
  <c r="Z85" i="1"/>
  <c r="AA141" i="1"/>
  <c r="Y31" i="1"/>
  <c r="AQ10" i="1"/>
  <c r="BS10" i="1" s="1"/>
  <c r="BL293" i="3"/>
  <c r="J328" i="5" s="1"/>
  <c r="M76" i="5"/>
  <c r="L76" i="5"/>
  <c r="L124" i="5"/>
  <c r="M124" i="5"/>
  <c r="N124" i="5"/>
  <c r="K199" i="5"/>
  <c r="AB199" i="1"/>
  <c r="Y199" i="1"/>
  <c r="BN203" i="1"/>
  <c r="AQ32" i="1"/>
  <c r="BS32" i="1" s="1"/>
  <c r="BN75" i="1"/>
  <c r="BN199" i="1"/>
  <c r="BN102" i="1"/>
  <c r="AQ23" i="1"/>
  <c r="BS23" i="1" s="1"/>
  <c r="K8" i="5"/>
  <c r="Y8" i="1"/>
  <c r="AB8" i="1"/>
  <c r="Z8" i="1"/>
  <c r="AA8" i="1"/>
  <c r="AQ95" i="1"/>
  <c r="BS95" i="1" s="1"/>
  <c r="BN146" i="1"/>
  <c r="BN140" i="1"/>
  <c r="AQ65" i="1"/>
  <c r="BS65" i="1" s="1"/>
  <c r="BN95" i="1"/>
  <c r="BN208" i="1"/>
  <c r="M58" i="5"/>
  <c r="AD167" i="1"/>
  <c r="Q167" i="1"/>
  <c r="AD131" i="1"/>
  <c r="Q131" i="1"/>
  <c r="BE131" i="3"/>
  <c r="BL131" i="3" s="1"/>
  <c r="BS8" i="1"/>
  <c r="AC167" i="5"/>
  <c r="Q18" i="1"/>
  <c r="AD18" i="1"/>
  <c r="AI18" i="1"/>
  <c r="Z157" i="1"/>
  <c r="N5" i="5"/>
  <c r="M5" i="5"/>
  <c r="L5" i="5"/>
  <c r="AB100" i="1"/>
  <c r="Y85" i="1"/>
  <c r="K87" i="5"/>
  <c r="AD103" i="1"/>
  <c r="Q103" i="1"/>
  <c r="AD114" i="1"/>
  <c r="Q114" i="1"/>
  <c r="AA143" i="1"/>
  <c r="CA199" i="1"/>
  <c r="M21" i="5"/>
  <c r="L201" i="5"/>
  <c r="M201" i="5"/>
  <c r="AA199" i="1"/>
  <c r="AQ35" i="1"/>
  <c r="BS35" i="1" s="1"/>
  <c r="BN159" i="1"/>
  <c r="BN156" i="1"/>
  <c r="BN204" i="1"/>
  <c r="BN160" i="1"/>
  <c r="K111" i="5"/>
  <c r="Z111" i="1"/>
  <c r="AA111" i="1"/>
  <c r="Y111" i="1"/>
  <c r="AB111" i="1"/>
  <c r="BN6" i="1"/>
  <c r="N157" i="5"/>
  <c r="L157" i="5"/>
  <c r="M157" i="5"/>
  <c r="N100" i="5"/>
  <c r="L100" i="5"/>
  <c r="M100" i="5"/>
  <c r="BN56" i="1"/>
  <c r="AA87" i="1"/>
  <c r="Z143" i="1"/>
  <c r="BN90" i="1"/>
  <c r="N77" i="5"/>
  <c r="M77" i="5"/>
  <c r="L77" i="5"/>
  <c r="AQ167" i="1"/>
  <c r="BS167" i="1" s="1"/>
  <c r="AQ114" i="1"/>
  <c r="BS114" i="1" s="1"/>
  <c r="BN73" i="1"/>
  <c r="BN51" i="1"/>
  <c r="BN202" i="1"/>
  <c r="AD130" i="1"/>
  <c r="Q130" i="1"/>
  <c r="BE130" i="3"/>
  <c r="BL130" i="3" s="1"/>
  <c r="BS162" i="1"/>
  <c r="AP167" i="1"/>
  <c r="AB167" i="5" s="1"/>
  <c r="W167" i="5"/>
  <c r="N121" i="5"/>
  <c r="L121" i="5"/>
  <c r="AP18" i="1"/>
  <c r="AB18" i="5" s="1"/>
  <c r="Y157" i="1"/>
  <c r="AA5" i="1"/>
  <c r="Z100" i="1"/>
  <c r="L165" i="5"/>
  <c r="N165" i="5"/>
  <c r="L33" i="5"/>
  <c r="AB101" i="1"/>
  <c r="AB103" i="5"/>
  <c r="N19" i="5"/>
  <c r="M19" i="5"/>
  <c r="BN117" i="1"/>
  <c r="Y87" i="1"/>
  <c r="K114" i="1"/>
  <c r="N201" i="5"/>
  <c r="Y145" i="1"/>
  <c r="AB145" i="1"/>
  <c r="Z145" i="1"/>
  <c r="AA145" i="1"/>
  <c r="K145" i="5"/>
  <c r="K37" i="5"/>
  <c r="Y37" i="1"/>
  <c r="AA37" i="1"/>
  <c r="AQ108" i="1"/>
  <c r="BS108" i="1" s="1"/>
  <c r="BN89" i="1"/>
  <c r="BN70" i="1"/>
  <c r="K170" i="5"/>
  <c r="Z170" i="1"/>
  <c r="AB170" i="1"/>
  <c r="Y170" i="1"/>
  <c r="AA170" i="1"/>
  <c r="Y140" i="1"/>
  <c r="K140" i="5"/>
  <c r="AB140" i="1"/>
  <c r="AA140" i="1"/>
  <c r="Z140" i="1"/>
  <c r="BD130" i="1"/>
  <c r="BD162" i="1"/>
  <c r="AW167" i="3"/>
  <c r="AP131" i="1"/>
  <c r="AB131" i="5" s="1"/>
  <c r="AB121" i="1"/>
  <c r="BD18" i="1"/>
  <c r="Y134" i="1"/>
  <c r="AA157" i="1"/>
  <c r="Y5" i="1"/>
  <c r="Y100" i="1"/>
  <c r="AA165" i="1"/>
  <c r="AW103" i="3"/>
  <c r="Y19" i="1"/>
  <c r="Z87" i="1"/>
  <c r="AB146" i="1"/>
  <c r="K146" i="5"/>
  <c r="AQ131" i="1"/>
  <c r="BS131" i="1" s="1"/>
  <c r="AB37" i="1"/>
  <c r="BN36" i="1"/>
  <c r="CA32" i="1"/>
  <c r="BN72" i="1"/>
  <c r="BN59" i="1"/>
  <c r="BN105" i="1"/>
  <c r="M134" i="5"/>
  <c r="N134" i="5"/>
  <c r="L134" i="5"/>
  <c r="AB157" i="1"/>
  <c r="AA100" i="1"/>
  <c r="Y107" i="1"/>
  <c r="BE103" i="1"/>
  <c r="BU103" i="1" s="1"/>
  <c r="AB114" i="5"/>
  <c r="CD168" i="1"/>
  <c r="BW168" i="1"/>
  <c r="AQ76" i="1"/>
  <c r="BS76" i="1" s="1"/>
  <c r="K203" i="5"/>
  <c r="Z203" i="1"/>
  <c r="AA203" i="1"/>
  <c r="Y203" i="1"/>
  <c r="Z37" i="1"/>
  <c r="M17" i="5"/>
  <c r="BN16" i="1"/>
  <c r="AQ103" i="1"/>
  <c r="BS103" i="1" s="1"/>
  <c r="AD172" i="1"/>
  <c r="Q172" i="1"/>
  <c r="N107" i="5"/>
  <c r="M107" i="5"/>
  <c r="L107" i="5"/>
  <c r="BN152" i="1"/>
  <c r="BN99" i="1"/>
  <c r="AA90" i="1"/>
  <c r="Y90" i="1"/>
  <c r="K90" i="5"/>
  <c r="BN128" i="1"/>
  <c r="AQ80" i="1"/>
  <c r="BS80" i="1" s="1"/>
  <c r="AQ87" i="1"/>
  <c r="BS87" i="1" s="1"/>
  <c r="AQ93" i="1"/>
  <c r="BS93" i="1" s="1"/>
  <c r="BN189" i="1"/>
  <c r="AQ130" i="1"/>
  <c r="BS130" i="1" s="1"/>
  <c r="K16" i="5"/>
  <c r="AA16" i="1"/>
  <c r="AB16" i="1"/>
  <c r="Z93" i="1"/>
  <c r="K93" i="5"/>
  <c r="AA93" i="1"/>
  <c r="Y93" i="1"/>
  <c r="AB93" i="1"/>
  <c r="BN50" i="1"/>
  <c r="BN35" i="1"/>
  <c r="AQ128" i="1"/>
  <c r="BS128" i="1" s="1"/>
  <c r="AD8" i="1"/>
  <c r="Q8" i="1"/>
  <c r="AD47" i="1"/>
  <c r="Q47" i="1"/>
  <c r="AD128" i="1"/>
  <c r="Q128" i="1"/>
  <c r="M141" i="5"/>
  <c r="N141" i="5"/>
  <c r="L141" i="5"/>
  <c r="AB107" i="1"/>
  <c r="BN104" i="1"/>
  <c r="AQ68" i="1"/>
  <c r="BS68" i="1" s="1"/>
  <c r="BF168" i="1"/>
  <c r="Z161" i="1"/>
  <c r="K161" i="5"/>
  <c r="AB161" i="1"/>
  <c r="S168" i="5"/>
  <c r="AM168" i="1"/>
  <c r="AJ168" i="1"/>
  <c r="Z16" i="1"/>
  <c r="Y119" i="1"/>
  <c r="AB119" i="1"/>
  <c r="AA119" i="1"/>
  <c r="Z119" i="1"/>
  <c r="K119" i="5"/>
  <c r="BN38" i="1"/>
  <c r="Y106" i="1"/>
  <c r="BN129" i="1"/>
  <c r="BN23" i="1"/>
  <c r="BN119" i="1"/>
  <c r="AQ54" i="1"/>
  <c r="BS54" i="1" s="1"/>
  <c r="BN110" i="1"/>
  <c r="N133" i="5"/>
  <c r="M133" i="5"/>
  <c r="M84" i="5"/>
  <c r="L84" i="5"/>
  <c r="N84" i="5"/>
  <c r="AA9" i="1"/>
  <c r="AA116" i="1"/>
  <c r="AB152" i="1"/>
  <c r="AB136" i="1"/>
  <c r="BN83" i="1"/>
  <c r="BN137" i="1"/>
  <c r="AQ59" i="1"/>
  <c r="BS59" i="1" s="1"/>
  <c r="Y3" i="1"/>
  <c r="K65" i="5"/>
  <c r="K123" i="5"/>
  <c r="AB173" i="1"/>
  <c r="Y171" i="1"/>
  <c r="AB47" i="1"/>
  <c r="Z133" i="1"/>
  <c r="AB84" i="1"/>
  <c r="AJ171" i="1"/>
  <c r="AB38" i="1"/>
  <c r="L10" i="5"/>
  <c r="M10" i="5"/>
  <c r="N10" i="5"/>
  <c r="AA144" i="1"/>
  <c r="K163" i="5"/>
  <c r="K139" i="5"/>
  <c r="N116" i="5"/>
  <c r="M116" i="5"/>
  <c r="Z152" i="1"/>
  <c r="AA103" i="1"/>
  <c r="AA136" i="1"/>
  <c r="AQ4" i="1"/>
  <c r="BS4" i="1" s="1"/>
  <c r="L104" i="5"/>
  <c r="Z193" i="1"/>
  <c r="Y193" i="1"/>
  <c r="AA193" i="1"/>
  <c r="K193" i="5"/>
  <c r="BN135" i="1"/>
  <c r="AQ190" i="1"/>
  <c r="BS190" i="1" s="1"/>
  <c r="AA47" i="1"/>
  <c r="K47" i="5"/>
  <c r="AA133" i="1"/>
  <c r="Z84" i="1"/>
  <c r="K35" i="5"/>
  <c r="AA63" i="1"/>
  <c r="Z116" i="1"/>
  <c r="Y152" i="1"/>
  <c r="AB103" i="1"/>
  <c r="K144" i="5"/>
  <c r="M104" i="5"/>
  <c r="AB129" i="1"/>
  <c r="K129" i="5"/>
  <c r="Y129" i="1"/>
  <c r="AA129" i="1"/>
  <c r="AQ18" i="1"/>
  <c r="BS18" i="1" s="1"/>
  <c r="AQ197" i="1"/>
  <c r="BS197" i="1" s="1"/>
  <c r="L83" i="5"/>
  <c r="M83" i="5"/>
  <c r="L64" i="5"/>
  <c r="M64" i="5"/>
  <c r="Y24" i="1"/>
  <c r="L149" i="5"/>
  <c r="M149" i="5"/>
  <c r="Y21" i="1"/>
  <c r="AA173" i="1"/>
  <c r="M91" i="5"/>
  <c r="L91" i="5"/>
  <c r="AA76" i="1"/>
  <c r="Y133" i="1"/>
  <c r="AA84" i="1"/>
  <c r="Z10" i="1"/>
  <c r="K18" i="5"/>
  <c r="AB75" i="1"/>
  <c r="W105" i="1"/>
  <c r="Y63" i="1"/>
  <c r="Y130" i="1"/>
  <c r="AB116" i="1"/>
  <c r="AB147" i="1"/>
  <c r="Y147" i="1"/>
  <c r="AA147" i="1"/>
  <c r="Y103" i="1"/>
  <c r="K9" i="5"/>
  <c r="L66" i="5"/>
  <c r="M66" i="5"/>
  <c r="L30" i="5"/>
  <c r="N30" i="5"/>
  <c r="Z147" i="1"/>
  <c r="K20" i="5"/>
  <c r="G105" i="5"/>
  <c r="Z129" i="1"/>
  <c r="BN122" i="1"/>
  <c r="AB191" i="1"/>
  <c r="AA69" i="1"/>
  <c r="AA21" i="1"/>
  <c r="Z171" i="1"/>
  <c r="AA98" i="1"/>
  <c r="AB10" i="1"/>
  <c r="AB166" i="1"/>
  <c r="AB139" i="1"/>
  <c r="AB63" i="1"/>
  <c r="Z130" i="1"/>
  <c r="Y116" i="1"/>
  <c r="Y151" i="1"/>
  <c r="AA135" i="1"/>
  <c r="BN69" i="1"/>
  <c r="AA4" i="1"/>
  <c r="K156" i="5"/>
  <c r="AB156" i="1"/>
  <c r="Z156" i="1"/>
  <c r="Y156" i="1"/>
  <c r="N89" i="5"/>
  <c r="M89" i="5"/>
  <c r="BN172" i="1"/>
  <c r="N98" i="5"/>
  <c r="M98" i="5"/>
  <c r="L98" i="5"/>
  <c r="Y20" i="1"/>
  <c r="K63" i="5"/>
  <c r="L166" i="5"/>
  <c r="M166" i="5"/>
  <c r="N166" i="5"/>
  <c r="Y74" i="1"/>
  <c r="AA130" i="1"/>
  <c r="AA104" i="1"/>
  <c r="Z124" i="1"/>
  <c r="AA124" i="1"/>
  <c r="AB124" i="1"/>
  <c r="Y124" i="1"/>
  <c r="AB68" i="1"/>
  <c r="AQ165" i="1"/>
  <c r="BS165" i="1" s="1"/>
  <c r="M4" i="5"/>
  <c r="L4" i="5"/>
  <c r="N4" i="5"/>
  <c r="N204" i="5"/>
  <c r="L204" i="5"/>
  <c r="BN37" i="1"/>
  <c r="K135" i="5"/>
  <c r="BW338" i="1"/>
  <c r="AQ172" i="1"/>
  <c r="BS172" i="1" s="1"/>
  <c r="M74" i="5"/>
  <c r="N74" i="5"/>
  <c r="L74" i="5"/>
  <c r="L68" i="5"/>
  <c r="M68" i="5"/>
  <c r="N68" i="5"/>
  <c r="AB135" i="1"/>
  <c r="Y128" i="1"/>
  <c r="AA128" i="1"/>
  <c r="AB128" i="1"/>
  <c r="K128" i="5"/>
  <c r="AB4" i="1"/>
  <c r="AQ42" i="1"/>
  <c r="BS42" i="1" s="1"/>
  <c r="L133" i="5"/>
  <c r="K110" i="5"/>
  <c r="AQ125" i="1"/>
  <c r="BS125" i="1" s="1"/>
  <c r="BK74" i="1"/>
  <c r="Y98" i="1"/>
  <c r="AB20" i="1"/>
  <c r="V168" i="1"/>
  <c r="W171" i="1"/>
  <c r="AB163" i="1"/>
  <c r="Z166" i="1"/>
  <c r="AB172" i="1"/>
  <c r="AA139" i="1"/>
  <c r="AA74" i="1"/>
  <c r="AB104" i="1"/>
  <c r="Y68" i="1"/>
  <c r="Z135" i="1"/>
  <c r="AQ29" i="1"/>
  <c r="BS29" i="1" s="1"/>
  <c r="BN200" i="1"/>
  <c r="BN145" i="1"/>
  <c r="Z4" i="1"/>
  <c r="M204" i="5"/>
  <c r="AA59" i="1"/>
  <c r="K59" i="5"/>
  <c r="AB59" i="1"/>
  <c r="K38" i="5"/>
  <c r="AQ192" i="1"/>
  <c r="BS192" i="1" s="1"/>
  <c r="G168" i="5"/>
  <c r="Z98" i="1"/>
  <c r="AA20" i="1"/>
  <c r="T168" i="1"/>
  <c r="M167" i="5"/>
  <c r="Y166" i="1"/>
  <c r="Z74" i="1"/>
  <c r="M73" i="5"/>
  <c r="N73" i="5"/>
  <c r="L73" i="5"/>
  <c r="L131" i="5"/>
  <c r="Z104" i="1"/>
  <c r="AA167" i="1"/>
  <c r="J243" i="5"/>
  <c r="Z68" i="1"/>
  <c r="Z18" i="1"/>
  <c r="BN157" i="1"/>
  <c r="AQ102" i="1"/>
  <c r="BS102" i="1" s="1"/>
  <c r="Y4" i="1"/>
  <c r="Y59" i="1"/>
  <c r="W171" i="5"/>
  <c r="Y171" i="5"/>
  <c r="Z171" i="5"/>
  <c r="N171" i="1" s="1"/>
  <c r="F171" i="5"/>
  <c r="AC171" i="5"/>
  <c r="BN138" i="1"/>
  <c r="BN198" i="1"/>
  <c r="AA150" i="1"/>
  <c r="W168" i="1"/>
  <c r="T171" i="1"/>
  <c r="N122" i="5"/>
  <c r="M122" i="5"/>
  <c r="AB110" i="1"/>
  <c r="AK171" i="1"/>
  <c r="Y163" i="1"/>
  <c r="Z172" i="1"/>
  <c r="AB74" i="1"/>
  <c r="AB123" i="1"/>
  <c r="Y104" i="1"/>
  <c r="Y167" i="1"/>
  <c r="AA68" i="1"/>
  <c r="Y61" i="1"/>
  <c r="K61" i="5"/>
  <c r="AQ83" i="1"/>
  <c r="BS83" i="1" s="1"/>
  <c r="Y126" i="1"/>
  <c r="K126" i="5"/>
  <c r="Z126" i="1"/>
  <c r="AA18" i="1"/>
  <c r="AQ185" i="1"/>
  <c r="BS185" i="1" s="1"/>
  <c r="BN167" i="1"/>
  <c r="AB193" i="1"/>
  <c r="BP187" i="1" a="1"/>
  <c r="BP187" i="1" s="1"/>
  <c r="U171" i="1"/>
  <c r="V171" i="5"/>
  <c r="T171" i="5"/>
  <c r="U171" i="5"/>
  <c r="Y172" i="1"/>
  <c r="Y73" i="1"/>
  <c r="Y131" i="1"/>
  <c r="AB61" i="1"/>
  <c r="AB126" i="1"/>
  <c r="AB18" i="1"/>
  <c r="BN68" i="1"/>
  <c r="BN170" i="1"/>
  <c r="AQ84" i="1"/>
  <c r="BS84" i="1" s="1"/>
  <c r="K3" i="5"/>
  <c r="AA3" i="1"/>
  <c r="L122" i="5"/>
  <c r="AQ191" i="1"/>
  <c r="BS191" i="1" s="1"/>
  <c r="BN187" i="1"/>
  <c r="K81" i="5"/>
  <c r="AQ107" i="1"/>
  <c r="BS107" i="1" s="1"/>
  <c r="BN30" i="1"/>
  <c r="BN31" i="1"/>
  <c r="AN2" i="1"/>
  <c r="O300" i="1"/>
  <c r="AA14" i="1"/>
  <c r="BN173" i="1"/>
  <c r="Z83" i="1"/>
  <c r="BN186" i="1"/>
  <c r="AB14" i="1"/>
  <c r="AA12" i="1"/>
  <c r="M23" i="5"/>
  <c r="Y14" i="1"/>
  <c r="M12" i="5"/>
  <c r="L12" i="5"/>
  <c r="N12" i="5"/>
  <c r="K117" i="5"/>
  <c r="N243" i="5"/>
  <c r="AQ117" i="1"/>
  <c r="BS117" i="1" s="1"/>
  <c r="AB81" i="1"/>
  <c r="Y78" i="1"/>
  <c r="K14" i="5"/>
  <c r="AB30" i="1"/>
  <c r="AB153" i="1"/>
  <c r="Y12" i="1"/>
  <c r="Z58" i="1"/>
  <c r="BN62" i="1"/>
  <c r="AB78" i="1"/>
  <c r="AB71" i="1"/>
  <c r="N216" i="1"/>
  <c r="O218" i="1"/>
  <c r="N249" i="1"/>
  <c r="AV249" i="3" s="1"/>
  <c r="BR249" i="1" s="1"/>
  <c r="N343" i="1"/>
  <c r="O231" i="1"/>
  <c r="O316" i="1"/>
  <c r="N258" i="1"/>
  <c r="E2" i="5"/>
  <c r="O262" i="1"/>
  <c r="N245" i="1"/>
  <c r="O252" i="1"/>
  <c r="O229" i="1"/>
  <c r="N225" i="1"/>
  <c r="N233" i="1"/>
  <c r="N290" i="1"/>
  <c r="N239" i="1"/>
  <c r="N278" i="1"/>
  <c r="O232" i="1"/>
  <c r="D2" i="5"/>
  <c r="O309" i="1"/>
  <c r="N228" i="1"/>
  <c r="O291" i="1"/>
  <c r="N288" i="1"/>
  <c r="N279" i="1"/>
  <c r="BK2" i="1"/>
  <c r="O267" i="1"/>
  <c r="O245" i="1"/>
  <c r="O219" i="1"/>
  <c r="O340" i="1"/>
  <c r="O182" i="1"/>
  <c r="O278" i="1"/>
  <c r="X2" i="5"/>
  <c r="N257" i="1"/>
  <c r="O258" i="1"/>
  <c r="O268" i="1"/>
  <c r="N182" i="1"/>
  <c r="O235" i="1"/>
  <c r="BK187" i="1"/>
  <c r="O174" i="1"/>
  <c r="N174" i="1"/>
  <c r="N340" i="1"/>
  <c r="W2" i="5"/>
  <c r="AA2" i="5"/>
  <c r="O255" i="1"/>
  <c r="O239" i="1"/>
  <c r="N236" i="1"/>
  <c r="N262" i="1"/>
  <c r="O225" i="1"/>
  <c r="N231" i="1"/>
  <c r="N300" i="1"/>
  <c r="O226" i="1"/>
  <c r="O227" i="1"/>
  <c r="O257" i="1"/>
  <c r="N277" i="1"/>
  <c r="N220" i="1"/>
  <c r="O261" i="1"/>
  <c r="N241" i="1"/>
  <c r="N218" i="1"/>
  <c r="O289" i="1"/>
  <c r="O279" i="1"/>
  <c r="N309" i="1"/>
  <c r="O244" i="1"/>
  <c r="N291" i="1"/>
  <c r="N345" i="1"/>
  <c r="N316" i="1"/>
  <c r="O228" i="1"/>
  <c r="O238" i="1"/>
  <c r="N276" i="1"/>
  <c r="N267" i="1"/>
  <c r="O310" i="1"/>
  <c r="N227" i="1"/>
  <c r="O221" i="1"/>
  <c r="N250" i="1"/>
  <c r="O217" i="1"/>
  <c r="N315" i="1"/>
  <c r="AV213" i="3" s="1"/>
  <c r="BR315" i="1" s="1"/>
  <c r="O290" i="1"/>
  <c r="O297" i="1"/>
  <c r="O344" i="1"/>
  <c r="O288" i="1"/>
  <c r="N229" i="1"/>
  <c r="O276" i="1"/>
  <c r="O240" i="1"/>
  <c r="F2" i="5"/>
  <c r="O241" i="1"/>
  <c r="O277" i="1"/>
  <c r="BW339" i="1"/>
  <c r="O343" i="1"/>
  <c r="N266" i="1"/>
  <c r="AN120" i="1"/>
  <c r="N333" i="1"/>
  <c r="AV246" i="3" s="1"/>
  <c r="BR333" i="1" s="1"/>
  <c r="N289" i="1"/>
  <c r="N221" i="1"/>
  <c r="Z2" i="5"/>
  <c r="N238" i="1"/>
  <c r="O233" i="1"/>
  <c r="N226" i="1"/>
  <c r="AN148" i="1"/>
  <c r="BW272" i="1"/>
  <c r="O168" i="5"/>
  <c r="BN190" i="1"/>
  <c r="BW270" i="1"/>
  <c r="AN13" i="1"/>
  <c r="BK13" i="1"/>
  <c r="BW178" i="1"/>
  <c r="BW263" i="1"/>
  <c r="BW323" i="1"/>
  <c r="AH168" i="1"/>
  <c r="AG168" i="1"/>
  <c r="BW259" i="1"/>
  <c r="BW299" i="1"/>
  <c r="H299" i="1"/>
  <c r="H251" i="1"/>
  <c r="BW251" i="1"/>
  <c r="BW177" i="1"/>
  <c r="BW282" i="1"/>
  <c r="BW179" i="1"/>
  <c r="BW223" i="1"/>
  <c r="BW317" i="1"/>
  <c r="BW181" i="1"/>
  <c r="BN168" i="1"/>
  <c r="BN171" i="1"/>
  <c r="H280" i="1"/>
  <c r="BW280" i="1"/>
  <c r="BW306" i="1"/>
  <c r="H273" i="1"/>
  <c r="BW273" i="1"/>
  <c r="BF171" i="1"/>
  <c r="BG171" i="1"/>
  <c r="BP171" i="1" s="1" a="1"/>
  <c r="BP171" i="1" s="1"/>
  <c r="H230" i="1"/>
  <c r="BW171" i="1"/>
  <c r="AF171" i="1"/>
  <c r="O171" i="5"/>
  <c r="BW175" i="1"/>
  <c r="BU171" i="1"/>
  <c r="BW248" i="1"/>
  <c r="AG171" i="1"/>
  <c r="CD171" i="1"/>
  <c r="BW294" i="1"/>
  <c r="BW215" i="1"/>
  <c r="BK171" i="1"/>
  <c r="BW253" i="1"/>
  <c r="BW283" i="1"/>
  <c r="BW260" i="1"/>
  <c r="BW269" i="1"/>
  <c r="BW274" i="1"/>
  <c r="H274" i="1"/>
  <c r="BW180" i="1"/>
  <c r="K168" i="1"/>
  <c r="BD168" i="1"/>
  <c r="AP168" i="1"/>
  <c r="AB168" i="5" s="1"/>
  <c r="AW171" i="3"/>
  <c r="Q168" i="1"/>
  <c r="BD171" i="1"/>
  <c r="AV269" i="3" l="1"/>
  <c r="BR216" i="1" s="1"/>
  <c r="Q27" i="5"/>
  <c r="P27" i="5"/>
  <c r="AE168" i="1"/>
  <c r="G208" i="5"/>
  <c r="I208" i="5" s="1"/>
  <c r="AJ115" i="1"/>
  <c r="J104" i="5"/>
  <c r="U8" i="1"/>
  <c r="BF195" i="1"/>
  <c r="H202" i="5"/>
  <c r="BF126" i="1"/>
  <c r="I9" i="5"/>
  <c r="V167" i="5"/>
  <c r="T6" i="5"/>
  <c r="P52" i="5"/>
  <c r="AV237" i="3"/>
  <c r="BF110" i="1"/>
  <c r="J9" i="5"/>
  <c r="BF197" i="1"/>
  <c r="AJ163" i="1"/>
  <c r="BU18" i="1"/>
  <c r="U97" i="5"/>
  <c r="CD110" i="1"/>
  <c r="H104" i="5"/>
  <c r="H18" i="5"/>
  <c r="I28" i="5"/>
  <c r="N85" i="5"/>
  <c r="BF67" i="1"/>
  <c r="K51" i="5"/>
  <c r="M51" i="5" s="1"/>
  <c r="H203" i="5"/>
  <c r="T165" i="5"/>
  <c r="BG126" i="1"/>
  <c r="BP126" i="1" s="1" a="1"/>
  <c r="BP126" i="1" s="1"/>
  <c r="BG92" i="1"/>
  <c r="BP92" i="1" s="1" a="1"/>
  <c r="BP92" i="1" s="1"/>
  <c r="CD98" i="1"/>
  <c r="J203" i="5"/>
  <c r="T88" i="5"/>
  <c r="V8" i="1"/>
  <c r="H49" i="14"/>
  <c r="AV235" i="3"/>
  <c r="Y190" i="1"/>
  <c r="BR190" i="1" s="1"/>
  <c r="AV276" i="3"/>
  <c r="BR340" i="1" s="1"/>
  <c r="H340" i="1" s="1"/>
  <c r="CD67" i="1"/>
  <c r="U186" i="5"/>
  <c r="V186" i="5"/>
  <c r="W8" i="1"/>
  <c r="BU110" i="1"/>
  <c r="AA51" i="1"/>
  <c r="BU92" i="1"/>
  <c r="I162" i="5"/>
  <c r="BU186" i="1"/>
  <c r="U65" i="5"/>
  <c r="AV212" i="3"/>
  <c r="BR236" i="1" s="1"/>
  <c r="U76" i="5"/>
  <c r="L103" i="5"/>
  <c r="AV275" i="3"/>
  <c r="BR345" i="1" s="1"/>
  <c r="H345" i="1" s="1"/>
  <c r="H171" i="5"/>
  <c r="AA190" i="1"/>
  <c r="AB51" i="1"/>
  <c r="J171" i="5"/>
  <c r="J138" i="5"/>
  <c r="BG195" i="1"/>
  <c r="BP195" i="1" s="1" a="1"/>
  <c r="BP195" i="1" s="1"/>
  <c r="T87" i="5"/>
  <c r="L54" i="5"/>
  <c r="BF204" i="1"/>
  <c r="W72" i="1"/>
  <c r="J136" i="5"/>
  <c r="BG204" i="1"/>
  <c r="BP204" i="1" s="1" a="1"/>
  <c r="BP204" i="1" s="1"/>
  <c r="AK105" i="1"/>
  <c r="V52" i="5"/>
  <c r="U33" i="5"/>
  <c r="BG67" i="1"/>
  <c r="BP67" i="1" s="1" a="1"/>
  <c r="BP67" i="1" s="1"/>
  <c r="Y51" i="1"/>
  <c r="L167" i="5"/>
  <c r="M33" i="5"/>
  <c r="L62" i="5"/>
  <c r="U49" i="5"/>
  <c r="T49" i="5"/>
  <c r="U126" i="5"/>
  <c r="V160" i="5"/>
  <c r="T117" i="5"/>
  <c r="T38" i="5"/>
  <c r="M24" i="5"/>
  <c r="H183" i="5"/>
  <c r="I183" i="5"/>
  <c r="N24" i="5"/>
  <c r="L101" i="5"/>
  <c r="N103" i="5"/>
  <c r="J142" i="5"/>
  <c r="P43" i="5"/>
  <c r="AL31" i="1"/>
  <c r="U43" i="1"/>
  <c r="V36" i="5"/>
  <c r="U189" i="5"/>
  <c r="V189" i="5"/>
  <c r="J12" i="5"/>
  <c r="H65" i="5"/>
  <c r="U208" i="5"/>
  <c r="V27" i="5"/>
  <c r="I84" i="5"/>
  <c r="N69" i="5"/>
  <c r="L69" i="5"/>
  <c r="N72" i="5"/>
  <c r="L72" i="5"/>
  <c r="N22" i="5"/>
  <c r="L150" i="5"/>
  <c r="M138" i="5"/>
  <c r="J88" i="5"/>
  <c r="N138" i="5"/>
  <c r="U93" i="5"/>
  <c r="L120" i="5"/>
  <c r="CD107" i="1"/>
  <c r="N94" i="5"/>
  <c r="BU45" i="1"/>
  <c r="BU7" i="1"/>
  <c r="AK20" i="1"/>
  <c r="BG154" i="1"/>
  <c r="BP154" i="1" s="1" a="1"/>
  <c r="BP154" i="1" s="1"/>
  <c r="BG208" i="1"/>
  <c r="BP208" i="1" s="1" a="1"/>
  <c r="BP208" i="1" s="1"/>
  <c r="P169" i="5"/>
  <c r="AM20" i="1"/>
  <c r="BG53" i="1"/>
  <c r="BP53" i="1" s="1" a="1"/>
  <c r="BP53" i="1" s="1"/>
  <c r="CD101" i="1"/>
  <c r="J202" i="5"/>
  <c r="G43" i="5"/>
  <c r="V43" i="1"/>
  <c r="AM154" i="1"/>
  <c r="BU198" i="1"/>
  <c r="BF101" i="1"/>
  <c r="T70" i="5"/>
  <c r="BU154" i="1"/>
  <c r="BU53" i="1"/>
  <c r="AK154" i="1"/>
  <c r="U52" i="5"/>
  <c r="M189" i="5"/>
  <c r="AL105" i="1"/>
  <c r="J201" i="5"/>
  <c r="M2" i="5"/>
  <c r="S20" i="5"/>
  <c r="BF45" i="1"/>
  <c r="AK31" i="1"/>
  <c r="BF198" i="1"/>
  <c r="BG198" i="1" s="1"/>
  <c r="BP198" i="1" s="1" a="1"/>
  <c r="BP198" i="1" s="1"/>
  <c r="CD45" i="1"/>
  <c r="BU132" i="1"/>
  <c r="AL20" i="1"/>
  <c r="K190" i="5"/>
  <c r="N21" i="5"/>
  <c r="N31" i="5"/>
  <c r="Y209" i="1"/>
  <c r="AA112" i="1"/>
  <c r="M150" i="5"/>
  <c r="AB209" i="1"/>
  <c r="N131" i="5"/>
  <c r="AB50" i="1"/>
  <c r="K50" i="5"/>
  <c r="L50" i="5" s="1"/>
  <c r="K53" i="5"/>
  <c r="L53" i="5" s="1"/>
  <c r="K209" i="5"/>
  <c r="M209" i="5" s="1"/>
  <c r="AB53" i="1"/>
  <c r="Y53" i="1"/>
  <c r="AV171" i="3"/>
  <c r="H281" i="1"/>
  <c r="M191" i="5"/>
  <c r="N191" i="5"/>
  <c r="M31" i="5"/>
  <c r="N58" i="5"/>
  <c r="L188" i="5"/>
  <c r="L17" i="5"/>
  <c r="N120" i="5"/>
  <c r="M188" i="5"/>
  <c r="L162" i="5"/>
  <c r="L82" i="5"/>
  <c r="I12" i="5"/>
  <c r="V64" i="1"/>
  <c r="W79" i="1"/>
  <c r="N82" i="5"/>
  <c r="L152" i="5"/>
  <c r="U165" i="5"/>
  <c r="U88" i="5"/>
  <c r="V76" i="5"/>
  <c r="AM115" i="1"/>
  <c r="T42" i="5"/>
  <c r="AB43" i="1"/>
  <c r="G72" i="5"/>
  <c r="J72" i="5" s="1"/>
  <c r="T46" i="5"/>
  <c r="T79" i="1"/>
  <c r="V72" i="1"/>
  <c r="CD96" i="1"/>
  <c r="BG45" i="1"/>
  <c r="BP45" i="1" s="1" a="1"/>
  <c r="BP45" i="1" s="1"/>
  <c r="AJ105" i="1"/>
  <c r="CD11" i="1"/>
  <c r="S105" i="5"/>
  <c r="T105" i="5" s="1"/>
  <c r="T69" i="5"/>
  <c r="V115" i="5"/>
  <c r="V93" i="5"/>
  <c r="H149" i="5"/>
  <c r="T126" i="5"/>
  <c r="H12" i="5"/>
  <c r="N152" i="5"/>
  <c r="Z44" i="1"/>
  <c r="K112" i="5"/>
  <c r="L171" i="5"/>
  <c r="K44" i="5"/>
  <c r="N44" i="5" s="1"/>
  <c r="M171" i="5"/>
  <c r="V158" i="5"/>
  <c r="U158" i="5"/>
  <c r="H54" i="5"/>
  <c r="BU91" i="1"/>
  <c r="CD92" i="1"/>
  <c r="H28" i="5"/>
  <c r="V79" i="1"/>
  <c r="AM158" i="1"/>
  <c r="I41" i="5"/>
  <c r="AM127" i="1"/>
  <c r="BU195" i="1"/>
  <c r="L71" i="5"/>
  <c r="T72" i="1"/>
  <c r="M71" i="5"/>
  <c r="N172" i="5"/>
  <c r="L172" i="5"/>
  <c r="L75" i="5"/>
  <c r="N75" i="5"/>
  <c r="BG193" i="1"/>
  <c r="BP193" i="1" s="1" a="1"/>
  <c r="BP193" i="1" s="1"/>
  <c r="U188" i="5"/>
  <c r="S89" i="5"/>
  <c r="T89" i="5" s="1"/>
  <c r="G79" i="5"/>
  <c r="M22" i="5"/>
  <c r="T188" i="5"/>
  <c r="BF92" i="1"/>
  <c r="BU200" i="1"/>
  <c r="BU84" i="1"/>
  <c r="H23" i="5"/>
  <c r="U46" i="5"/>
  <c r="I147" i="5"/>
  <c r="I68" i="5"/>
  <c r="N78" i="5"/>
  <c r="L94" i="5"/>
  <c r="U87" i="5"/>
  <c r="J157" i="5"/>
  <c r="AV190" i="3"/>
  <c r="T54" i="5"/>
  <c r="H68" i="5"/>
  <c r="BR208" i="1"/>
  <c r="AV311" i="3"/>
  <c r="BR220" i="1" s="1"/>
  <c r="H220" i="1" s="1"/>
  <c r="BU107" i="1"/>
  <c r="H201" i="5"/>
  <c r="I100" i="5"/>
  <c r="BG84" i="1"/>
  <c r="BP84" i="1" s="1" a="1"/>
  <c r="BP84" i="1" s="1"/>
  <c r="T53" i="1"/>
  <c r="I108" i="5"/>
  <c r="BF84" i="1"/>
  <c r="L202" i="5"/>
  <c r="I142" i="5"/>
  <c r="H157" i="5"/>
  <c r="V33" i="5"/>
  <c r="V70" i="5"/>
  <c r="H53" i="5"/>
  <c r="BU208" i="1"/>
  <c r="U53" i="1"/>
  <c r="BU189" i="1"/>
  <c r="H155" i="5"/>
  <c r="V42" i="5"/>
  <c r="I189" i="5"/>
  <c r="R54" i="5"/>
  <c r="V192" i="5"/>
  <c r="Q54" i="5"/>
  <c r="BF189" i="1"/>
  <c r="H190" i="5"/>
  <c r="T169" i="5"/>
  <c r="V29" i="5"/>
  <c r="Q197" i="5"/>
  <c r="I77" i="5"/>
  <c r="V169" i="5"/>
  <c r="T29" i="5"/>
  <c r="L113" i="5"/>
  <c r="P197" i="5"/>
  <c r="I23" i="5"/>
  <c r="R53" i="5"/>
  <c r="M113" i="5"/>
  <c r="AJ89" i="1"/>
  <c r="BG91" i="1"/>
  <c r="BP91" i="1" s="1" a="1"/>
  <c r="BP91" i="1" s="1"/>
  <c r="G112" i="5"/>
  <c r="J112" i="5" s="1"/>
  <c r="AL89" i="1"/>
  <c r="BF91" i="1"/>
  <c r="H50" i="5"/>
  <c r="BU67" i="1"/>
  <c r="M162" i="5"/>
  <c r="AM89" i="1"/>
  <c r="L51" i="5"/>
  <c r="V11" i="5"/>
  <c r="U11" i="5"/>
  <c r="T209" i="1"/>
  <c r="BR209" i="1" s="1"/>
  <c r="H209" i="1" s="1"/>
  <c r="U103" i="5"/>
  <c r="J116" i="5"/>
  <c r="H124" i="5"/>
  <c r="H129" i="5"/>
  <c r="CD20" i="1"/>
  <c r="I56" i="5"/>
  <c r="N105" i="5"/>
  <c r="I124" i="5"/>
  <c r="AZ193" i="1"/>
  <c r="J84" i="5"/>
  <c r="J190" i="5"/>
  <c r="T27" i="5"/>
  <c r="I14" i="5"/>
  <c r="AJ154" i="1"/>
  <c r="U118" i="5"/>
  <c r="N34" i="5"/>
  <c r="V209" i="1"/>
  <c r="S154" i="5"/>
  <c r="T154" i="5" s="1"/>
  <c r="L105" i="5"/>
  <c r="G209" i="5"/>
  <c r="J209" i="5" s="1"/>
  <c r="BG110" i="1"/>
  <c r="BP110" i="1" s="1" a="1"/>
  <c r="BP110" i="1" s="1"/>
  <c r="AV248" i="3"/>
  <c r="BR238" i="1" s="1"/>
  <c r="H238" i="1" s="1"/>
  <c r="AV238" i="3"/>
  <c r="BR245" i="1" s="1"/>
  <c r="BW245" i="1" s="1"/>
  <c r="J53" i="5"/>
  <c r="AZ208" i="1"/>
  <c r="BF208" i="1"/>
  <c r="BF35" i="1"/>
  <c r="BG35" i="1" s="1"/>
  <c r="BP35" i="1" s="1" a="1"/>
  <c r="BP35" i="1" s="1"/>
  <c r="H223" i="1"/>
  <c r="J147" i="5"/>
  <c r="U69" i="5"/>
  <c r="I65" i="5"/>
  <c r="G164" i="5"/>
  <c r="H164" i="5" s="1"/>
  <c r="AB27" i="1"/>
  <c r="AL115" i="1"/>
  <c r="V97" i="1"/>
  <c r="BR97" i="1" s="1"/>
  <c r="H97" i="1" s="1"/>
  <c r="N54" i="5"/>
  <c r="BG21" i="1"/>
  <c r="BP21" i="1" s="1" a="1"/>
  <c r="BP21" i="1" s="1"/>
  <c r="W118" i="1"/>
  <c r="BU78" i="1"/>
  <c r="Y44" i="1"/>
  <c r="BR44" i="1" s="1"/>
  <c r="AA44" i="1"/>
  <c r="I122" i="5"/>
  <c r="AA27" i="1"/>
  <c r="I172" i="5"/>
  <c r="T118" i="1"/>
  <c r="BF151" i="1"/>
  <c r="BG151" i="1" s="1"/>
  <c r="BP151" i="1" s="1" a="1"/>
  <c r="BP151" i="1" s="1"/>
  <c r="W112" i="1"/>
  <c r="U38" i="5"/>
  <c r="BF85" i="1"/>
  <c r="CD85" i="1"/>
  <c r="AV277" i="3"/>
  <c r="BR250" i="1" s="1"/>
  <c r="H250" i="1" s="1"/>
  <c r="I88" i="5"/>
  <c r="I129" i="5"/>
  <c r="J41" i="5"/>
  <c r="I155" i="5"/>
  <c r="R43" i="5"/>
  <c r="N189" i="5"/>
  <c r="H172" i="5"/>
  <c r="BG194" i="1"/>
  <c r="BP194" i="1" s="1" a="1"/>
  <c r="BP194" i="1" s="1"/>
  <c r="D39" i="14"/>
  <c r="E39" i="14" s="1"/>
  <c r="BF194" i="1"/>
  <c r="BF21" i="1"/>
  <c r="AK115" i="1"/>
  <c r="T103" i="5"/>
  <c r="L127" i="5"/>
  <c r="CD194" i="1"/>
  <c r="T32" i="5"/>
  <c r="W43" i="1"/>
  <c r="B51" i="14"/>
  <c r="F51" i="14" s="1"/>
  <c r="CD21" i="1"/>
  <c r="BG189" i="1"/>
  <c r="BP189" i="1" s="1" a="1"/>
  <c r="BP189" i="1" s="1"/>
  <c r="V95" i="5"/>
  <c r="BF144" i="1"/>
  <c r="BG144" i="1" s="1"/>
  <c r="BP144" i="1" s="1" a="1"/>
  <c r="BP144" i="1" s="1"/>
  <c r="BF78" i="1"/>
  <c r="G118" i="5"/>
  <c r="T22" i="5"/>
  <c r="CD189" i="1"/>
  <c r="T95" i="5"/>
  <c r="BG78" i="1"/>
  <c r="BP78" i="1" s="1" a="1"/>
  <c r="BP78" i="1" s="1"/>
  <c r="CD144" i="1"/>
  <c r="CD154" i="1"/>
  <c r="CD78" i="1"/>
  <c r="N2" i="5"/>
  <c r="U22" i="5"/>
  <c r="AA43" i="1"/>
  <c r="V53" i="1"/>
  <c r="W53" i="1"/>
  <c r="BU194" i="1"/>
  <c r="V112" i="1"/>
  <c r="T112" i="1"/>
  <c r="V54" i="5"/>
  <c r="J77" i="5"/>
  <c r="AK3" i="1"/>
  <c r="J122" i="5"/>
  <c r="J186" i="5"/>
  <c r="BU35" i="1"/>
  <c r="T192" i="5"/>
  <c r="H14" i="5"/>
  <c r="H87" i="5"/>
  <c r="H100" i="5"/>
  <c r="AV223" i="3"/>
  <c r="BR241" i="1" s="1"/>
  <c r="Z52" i="1"/>
  <c r="BG101" i="1"/>
  <c r="BP101" i="1" s="1" a="1"/>
  <c r="BP101" i="1" s="1"/>
  <c r="BU204" i="1"/>
  <c r="J208" i="5"/>
  <c r="I89" i="5"/>
  <c r="H146" i="5"/>
  <c r="AA52" i="1"/>
  <c r="BU101" i="1"/>
  <c r="H208" i="5"/>
  <c r="H89" i="5"/>
  <c r="J146" i="5"/>
  <c r="Y52" i="1"/>
  <c r="AB52" i="1"/>
  <c r="AV169" i="3"/>
  <c r="CD205" i="1"/>
  <c r="J71" i="5"/>
  <c r="BU205" i="1"/>
  <c r="H71" i="5"/>
  <c r="BG205" i="1"/>
  <c r="BP205" i="1" s="1" a="1"/>
  <c r="BP205" i="1" s="1"/>
  <c r="U32" i="5"/>
  <c r="AV174" i="3"/>
  <c r="BR174" i="1" s="1"/>
  <c r="J149" i="5"/>
  <c r="J54" i="5"/>
  <c r="N45" i="5"/>
  <c r="K49" i="5"/>
  <c r="H116" i="5"/>
  <c r="T158" i="5"/>
  <c r="R88" i="5"/>
  <c r="Q88" i="5"/>
  <c r="BF150" i="1"/>
  <c r="BG150" i="1" s="1"/>
  <c r="BP150" i="1" s="1" a="1"/>
  <c r="BP150" i="1" s="1"/>
  <c r="CD150" i="1"/>
  <c r="I10" i="5"/>
  <c r="J10" i="5"/>
  <c r="H38" i="14"/>
  <c r="H253" i="1"/>
  <c r="H181" i="1"/>
  <c r="H138" i="5"/>
  <c r="Q169" i="5"/>
  <c r="R52" i="5"/>
  <c r="J87" i="5"/>
  <c r="B38" i="14"/>
  <c r="F38" i="14" s="1"/>
  <c r="M34" i="5"/>
  <c r="BU20" i="1"/>
  <c r="W116" i="1"/>
  <c r="T116" i="1"/>
  <c r="BR116" i="1" s="1"/>
  <c r="H116" i="1" s="1"/>
  <c r="AV205" i="3"/>
  <c r="BR218" i="1" s="1"/>
  <c r="H312" i="1"/>
  <c r="P53" i="5"/>
  <c r="V118" i="5"/>
  <c r="H338" i="1"/>
  <c r="N192" i="5"/>
  <c r="I127" i="5"/>
  <c r="I186" i="5"/>
  <c r="M62" i="5"/>
  <c r="N127" i="5"/>
  <c r="BG11" i="1"/>
  <c r="BP11" i="1" s="1" a="1"/>
  <c r="BP11" i="1" s="1"/>
  <c r="AZ11" i="1"/>
  <c r="AV226" i="3"/>
  <c r="BR228" i="1" s="1"/>
  <c r="H228" i="1" s="1"/>
  <c r="H127" i="5"/>
  <c r="CD8" i="1"/>
  <c r="AZ8" i="1"/>
  <c r="BF53" i="1"/>
  <c r="AZ53" i="1"/>
  <c r="N7" i="5"/>
  <c r="W97" i="1"/>
  <c r="I80" i="5"/>
  <c r="AV102" i="3"/>
  <c r="BR102" i="1" s="1"/>
  <c r="Z49" i="1"/>
  <c r="U97" i="1"/>
  <c r="G97" i="5"/>
  <c r="J80" i="5"/>
  <c r="J67" i="5"/>
  <c r="I67" i="5"/>
  <c r="AM31" i="1"/>
  <c r="AJ31" i="1"/>
  <c r="CD197" i="1"/>
  <c r="BG197" i="1"/>
  <c r="BP197" i="1" s="1" a="1"/>
  <c r="BP197" i="1" s="1"/>
  <c r="N91" i="1"/>
  <c r="AV91" i="3" s="1"/>
  <c r="AV233" i="3"/>
  <c r="BR267" i="1" s="1"/>
  <c r="AV234" i="3"/>
  <c r="BR257" i="1" s="1"/>
  <c r="BW257" i="1" s="1"/>
  <c r="H293" i="1"/>
  <c r="H324" i="1"/>
  <c r="H177" i="1"/>
  <c r="H264" i="1"/>
  <c r="AV172" i="3"/>
  <c r="H283" i="1"/>
  <c r="H215" i="1"/>
  <c r="H248" i="1"/>
  <c r="H282" i="1"/>
  <c r="H292" i="1"/>
  <c r="H323" i="1"/>
  <c r="H333" i="1"/>
  <c r="H180" i="1"/>
  <c r="H275" i="1"/>
  <c r="H222" i="1"/>
  <c r="H263" i="1"/>
  <c r="H272" i="1"/>
  <c r="AV257" i="3"/>
  <c r="BR277" i="1" s="1"/>
  <c r="H277" i="1" s="1"/>
  <c r="M78" i="5"/>
  <c r="BU12" i="1"/>
  <c r="AZ12" i="1"/>
  <c r="BG114" i="1"/>
  <c r="BP114" i="1" s="1" a="1"/>
  <c r="BP114" i="1" s="1"/>
  <c r="BF114" i="1"/>
  <c r="I50" i="5"/>
  <c r="BU98" i="1"/>
  <c r="U55" i="5"/>
  <c r="T55" i="5"/>
  <c r="V55" i="5"/>
  <c r="AA169" i="1"/>
  <c r="Z169" i="1"/>
  <c r="Y169" i="1"/>
  <c r="AB169" i="1"/>
  <c r="K169" i="5"/>
  <c r="CD18" i="1"/>
  <c r="BF18" i="1"/>
  <c r="V170" i="5"/>
  <c r="U170" i="5"/>
  <c r="T170" i="5"/>
  <c r="L192" i="5"/>
  <c r="T128" i="5"/>
  <c r="BG7" i="1"/>
  <c r="BP7" i="1" s="1" a="1"/>
  <c r="BP7" i="1" s="1"/>
  <c r="J140" i="5"/>
  <c r="V128" i="5"/>
  <c r="CD48" i="1"/>
  <c r="AZ48" i="1"/>
  <c r="S127" i="5"/>
  <c r="AJ127" i="1"/>
  <c r="AK127" i="1"/>
  <c r="S163" i="5"/>
  <c r="AK163" i="1"/>
  <c r="Q208" i="5"/>
  <c r="R208" i="5"/>
  <c r="AV219" i="3"/>
  <c r="BR224" i="1" s="1"/>
  <c r="S3" i="5"/>
  <c r="AL3" i="1"/>
  <c r="AM3" i="1"/>
  <c r="H269" i="1"/>
  <c r="H271" i="1"/>
  <c r="H317" i="1"/>
  <c r="H178" i="1"/>
  <c r="H214" i="1"/>
  <c r="U80" i="5"/>
  <c r="V208" i="5"/>
  <c r="U36" i="5"/>
  <c r="M7" i="5"/>
  <c r="BF98" i="1"/>
  <c r="W164" i="1"/>
  <c r="T164" i="1"/>
  <c r="V164" i="1"/>
  <c r="H175" i="1"/>
  <c r="H306" i="1"/>
  <c r="H259" i="1"/>
  <c r="H342" i="1"/>
  <c r="H339" i="1"/>
  <c r="H303" i="1"/>
  <c r="H213" i="1"/>
  <c r="H329" i="1"/>
  <c r="H298" i="1"/>
  <c r="H260" i="1"/>
  <c r="H294" i="1"/>
  <c r="H179" i="1"/>
  <c r="H247" i="1"/>
  <c r="H270" i="1"/>
  <c r="T80" i="5"/>
  <c r="C15" i="14"/>
  <c r="G15" i="14" s="1"/>
  <c r="H15" i="14" s="1"/>
  <c r="I15" i="14" s="1"/>
  <c r="J15" i="14" s="1"/>
  <c r="M53" i="5"/>
  <c r="BF81" i="1"/>
  <c r="BG81" i="1"/>
  <c r="BP81" i="1" s="1" a="1"/>
  <c r="BP81" i="1" s="1"/>
  <c r="CD81" i="1"/>
  <c r="BU81" i="1"/>
  <c r="Y49" i="1"/>
  <c r="BR49" i="1" s="1"/>
  <c r="AB49" i="1"/>
  <c r="BF69" i="1"/>
  <c r="CD69" i="1"/>
  <c r="AZ69" i="1"/>
  <c r="AV108" i="3"/>
  <c r="K43" i="5"/>
  <c r="N43" i="5" s="1"/>
  <c r="Y43" i="1"/>
  <c r="BR43" i="1" s="1"/>
  <c r="H43" i="1" s="1"/>
  <c r="AV243" i="3"/>
  <c r="BR316" i="1" s="1"/>
  <c r="H316" i="1" s="1"/>
  <c r="AV34" i="3"/>
  <c r="AV208" i="3"/>
  <c r="BR256" i="1" s="1"/>
  <c r="H256" i="1" s="1"/>
  <c r="BR42" i="1"/>
  <c r="BW42" i="1" s="1"/>
  <c r="U91" i="5"/>
  <c r="T91" i="5"/>
  <c r="V91" i="5"/>
  <c r="BF200" i="1"/>
  <c r="AZ200" i="1"/>
  <c r="BG200" i="1"/>
  <c r="BP200" i="1" s="1" a="1"/>
  <c r="BP200" i="1" s="1"/>
  <c r="CD200" i="1"/>
  <c r="T24" i="5"/>
  <c r="V24" i="5"/>
  <c r="U24" i="5"/>
  <c r="V194" i="5"/>
  <c r="T194" i="5"/>
  <c r="U194" i="5"/>
  <c r="AV104" i="3"/>
  <c r="V201" i="5"/>
  <c r="T201" i="5"/>
  <c r="U201" i="5"/>
  <c r="R26" i="5"/>
  <c r="Q26" i="5"/>
  <c r="P26" i="5"/>
  <c r="P112" i="5"/>
  <c r="R112" i="5"/>
  <c r="BR258" i="1"/>
  <c r="H258" i="1" s="1"/>
  <c r="AV217" i="3"/>
  <c r="BR291" i="1" s="1"/>
  <c r="H291" i="1" s="1"/>
  <c r="AV236" i="3"/>
  <c r="BR234" i="1" s="1"/>
  <c r="H234" i="1" s="1"/>
  <c r="U129" i="5"/>
  <c r="V129" i="5"/>
  <c r="T129" i="5"/>
  <c r="I19" i="5"/>
  <c r="J19" i="5"/>
  <c r="H19" i="5"/>
  <c r="V144" i="5"/>
  <c r="T144" i="5"/>
  <c r="H115" i="5"/>
  <c r="I115" i="5"/>
  <c r="J115" i="5"/>
  <c r="T23" i="5"/>
  <c r="U23" i="5"/>
  <c r="U155" i="5"/>
  <c r="V155" i="5"/>
  <c r="H341" i="1"/>
  <c r="AV27" i="3"/>
  <c r="BS51" i="1"/>
  <c r="U100" i="5"/>
  <c r="V100" i="5"/>
  <c r="T100" i="5"/>
  <c r="V147" i="5"/>
  <c r="T147" i="5"/>
  <c r="U147" i="5"/>
  <c r="J2" i="5"/>
  <c r="I2" i="5"/>
  <c r="H2" i="5"/>
  <c r="AV160" i="3"/>
  <c r="N136" i="5"/>
  <c r="L136" i="5"/>
  <c r="M136" i="5"/>
  <c r="I38" i="5"/>
  <c r="H38" i="5"/>
  <c r="J38" i="5"/>
  <c r="H170" i="5"/>
  <c r="J170" i="5"/>
  <c r="I170" i="5"/>
  <c r="R46" i="5"/>
  <c r="P46" i="5"/>
  <c r="BS99" i="1"/>
  <c r="H51" i="14"/>
  <c r="I51" i="14" s="1"/>
  <c r="J51" i="14" s="1"/>
  <c r="BR50" i="1"/>
  <c r="BW50" i="1" s="1"/>
  <c r="U197" i="5"/>
  <c r="T197" i="5"/>
  <c r="V197" i="5"/>
  <c r="J133" i="5"/>
  <c r="I133" i="5"/>
  <c r="AV224" i="3"/>
  <c r="BR227" i="1" s="1"/>
  <c r="H227" i="1" s="1"/>
  <c r="AV210" i="3"/>
  <c r="BR262" i="1" s="1"/>
  <c r="H262" i="1" s="1"/>
  <c r="AV216" i="3"/>
  <c r="BR288" i="1" s="1"/>
  <c r="H288" i="1" s="1"/>
  <c r="BU83" i="1"/>
  <c r="BF83" i="1"/>
  <c r="BG83" i="1" s="1"/>
  <c r="BP83" i="1" s="1" a="1"/>
  <c r="BP83" i="1" s="1"/>
  <c r="CD83" i="1"/>
  <c r="BG47" i="1"/>
  <c r="BP47" i="1" s="1" a="1"/>
  <c r="BP47" i="1" s="1"/>
  <c r="BF47" i="1"/>
  <c r="BU47" i="1"/>
  <c r="CD47" i="1"/>
  <c r="AZ47" i="1"/>
  <c r="I151" i="5"/>
  <c r="J151" i="5"/>
  <c r="H151" i="5"/>
  <c r="U116" i="5"/>
  <c r="T116" i="5"/>
  <c r="V116" i="5"/>
  <c r="BU96" i="1"/>
  <c r="AZ96" i="1"/>
  <c r="M42" i="5"/>
  <c r="L42" i="5"/>
  <c r="N42" i="5"/>
  <c r="BR54" i="1"/>
  <c r="BW54" i="1" s="1"/>
  <c r="U50" i="5"/>
  <c r="V50" i="5"/>
  <c r="N130" i="5"/>
  <c r="L130" i="5"/>
  <c r="N185" i="5"/>
  <c r="M185" i="5"/>
  <c r="L185" i="5"/>
  <c r="Q45" i="5"/>
  <c r="P45" i="5"/>
  <c r="R45" i="5"/>
  <c r="N50" i="5"/>
  <c r="U193" i="5"/>
  <c r="V193" i="5"/>
  <c r="T193" i="5"/>
  <c r="AV103" i="3"/>
  <c r="AV25" i="3"/>
  <c r="BR51" i="1"/>
  <c r="H51" i="1" s="1"/>
  <c r="C39" i="14"/>
  <c r="G39" i="14" s="1"/>
  <c r="H39" i="14" s="1"/>
  <c r="I39" i="14" s="1"/>
  <c r="J39" i="14" s="1"/>
  <c r="BF132" i="1"/>
  <c r="CD132" i="1"/>
  <c r="L109" i="5"/>
  <c r="N109" i="5"/>
  <c r="M109" i="5"/>
  <c r="J70" i="5"/>
  <c r="H70" i="5"/>
  <c r="N86" i="5"/>
  <c r="L86" i="5"/>
  <c r="H26" i="5"/>
  <c r="I26" i="5"/>
  <c r="BS69" i="1"/>
  <c r="BS38" i="1"/>
  <c r="BG77" i="1"/>
  <c r="BP77" i="1" s="1" a="1"/>
  <c r="BP77" i="1" s="1"/>
  <c r="BF77" i="1"/>
  <c r="BU77" i="1"/>
  <c r="AZ77" i="1"/>
  <c r="CD77" i="1"/>
  <c r="T81" i="5"/>
  <c r="U81" i="5"/>
  <c r="V81" i="5"/>
  <c r="T108" i="5"/>
  <c r="U108" i="5"/>
  <c r="H192" i="5"/>
  <c r="I192" i="5"/>
  <c r="J192" i="5"/>
  <c r="I102" i="5"/>
  <c r="H102" i="5"/>
  <c r="L206" i="5"/>
  <c r="M206" i="5"/>
  <c r="H190" i="1"/>
  <c r="BW190" i="1"/>
  <c r="BR171" i="1"/>
  <c r="H171" i="1" s="1"/>
  <c r="AV184" i="3"/>
  <c r="AV105" i="3"/>
  <c r="AV28" i="3"/>
  <c r="AV170" i="3"/>
  <c r="O24" i="5"/>
  <c r="AG24" i="1"/>
  <c r="AF24" i="1"/>
  <c r="AH24" i="1"/>
  <c r="AE24" i="1"/>
  <c r="R5" i="1"/>
  <c r="O104" i="5"/>
  <c r="AF104" i="1"/>
  <c r="AE104" i="1"/>
  <c r="AG104" i="1"/>
  <c r="AH104" i="1"/>
  <c r="R67" i="1"/>
  <c r="O193" i="5"/>
  <c r="AE193" i="1"/>
  <c r="AG193" i="1"/>
  <c r="AF193" i="1"/>
  <c r="AH193" i="1"/>
  <c r="O150" i="5"/>
  <c r="AG150" i="1"/>
  <c r="AF150" i="1"/>
  <c r="AE150" i="1"/>
  <c r="AH150" i="1"/>
  <c r="AG199" i="1"/>
  <c r="AF199" i="1"/>
  <c r="AE199" i="1"/>
  <c r="AH199" i="1"/>
  <c r="O199" i="5"/>
  <c r="R140" i="1"/>
  <c r="AF17" i="1"/>
  <c r="AE17" i="1"/>
  <c r="AH17" i="1"/>
  <c r="AG17" i="1"/>
  <c r="O17" i="5"/>
  <c r="R98" i="1"/>
  <c r="R23" i="1"/>
  <c r="R19" i="1"/>
  <c r="AE201" i="1"/>
  <c r="AF201" i="1"/>
  <c r="AH201" i="1"/>
  <c r="AG201" i="1"/>
  <c r="O201" i="5"/>
  <c r="AG100" i="1"/>
  <c r="AE100" i="1"/>
  <c r="AH100" i="1"/>
  <c r="AF100" i="1"/>
  <c r="O100" i="5"/>
  <c r="O132" i="5"/>
  <c r="AE132" i="1"/>
  <c r="AH132" i="1"/>
  <c r="AF132" i="1"/>
  <c r="AG132" i="1"/>
  <c r="AF127" i="1"/>
  <c r="AH127" i="1"/>
  <c r="O127" i="5"/>
  <c r="AG127" i="1"/>
  <c r="AE127" i="1"/>
  <c r="T10" i="5"/>
  <c r="U10" i="5"/>
  <c r="V10" i="5"/>
  <c r="R57" i="1"/>
  <c r="CD206" i="1"/>
  <c r="BU206" i="1"/>
  <c r="BF206" i="1"/>
  <c r="BG206" i="1"/>
  <c r="BP206" i="1" s="1" a="1"/>
  <c r="BP206" i="1" s="1"/>
  <c r="O166" i="5"/>
  <c r="AF166" i="1"/>
  <c r="AG166" i="1"/>
  <c r="AE166" i="1"/>
  <c r="AH166" i="1"/>
  <c r="M198" i="5"/>
  <c r="L198" i="5"/>
  <c r="N198" i="5"/>
  <c r="C77" i="14"/>
  <c r="G77" i="14" s="1"/>
  <c r="B77" i="14"/>
  <c r="F77" i="14" s="1"/>
  <c r="D77" i="14"/>
  <c r="E77" i="14" s="1"/>
  <c r="R27" i="1"/>
  <c r="V67" i="5"/>
  <c r="U67" i="5"/>
  <c r="T67" i="5"/>
  <c r="T92" i="5"/>
  <c r="V92" i="5"/>
  <c r="U92" i="5"/>
  <c r="L41" i="5"/>
  <c r="M41" i="5"/>
  <c r="N41" i="5"/>
  <c r="I195" i="5"/>
  <c r="H195" i="5"/>
  <c r="J195" i="5"/>
  <c r="F10" i="9"/>
  <c r="B10" i="9"/>
  <c r="AH74" i="1"/>
  <c r="AG74" i="1"/>
  <c r="AE74" i="1"/>
  <c r="AF74" i="1"/>
  <c r="O74" i="5"/>
  <c r="AH159" i="1"/>
  <c r="AE159" i="1"/>
  <c r="AG159" i="1"/>
  <c r="AF159" i="1"/>
  <c r="O159" i="5"/>
  <c r="AF143" i="1"/>
  <c r="AH143" i="1"/>
  <c r="O143" i="5"/>
  <c r="AG143" i="1"/>
  <c r="AE143" i="1"/>
  <c r="U41" i="5"/>
  <c r="V41" i="5"/>
  <c r="T41" i="5"/>
  <c r="N183" i="5"/>
  <c r="M183" i="5"/>
  <c r="L183" i="5"/>
  <c r="H106" i="5"/>
  <c r="J106" i="5"/>
  <c r="I106" i="5"/>
  <c r="AE153" i="1"/>
  <c r="AG153" i="1"/>
  <c r="AH153" i="1"/>
  <c r="O153" i="5"/>
  <c r="AF153" i="1"/>
  <c r="U195" i="5"/>
  <c r="V195" i="5"/>
  <c r="T195" i="5"/>
  <c r="CD52" i="1"/>
  <c r="BF52" i="1"/>
  <c r="BU52" i="1"/>
  <c r="BG52" i="1"/>
  <c r="BP52" i="1" s="1" a="1"/>
  <c r="BP52" i="1" s="1"/>
  <c r="AZ52" i="1"/>
  <c r="AV98" i="3"/>
  <c r="AV302" i="3"/>
  <c r="BR252" i="1" s="1"/>
  <c r="F18" i="9"/>
  <c r="B18" i="9"/>
  <c r="C41" i="14"/>
  <c r="G41" i="14" s="1"/>
  <c r="B41" i="14"/>
  <c r="F41" i="14" s="1"/>
  <c r="D41" i="14"/>
  <c r="E41" i="14" s="1"/>
  <c r="O144" i="5"/>
  <c r="AE144" i="1"/>
  <c r="AH144" i="1"/>
  <c r="AG144" i="1"/>
  <c r="AF144" i="1"/>
  <c r="AH28" i="1"/>
  <c r="O28" i="5"/>
  <c r="AE28" i="1"/>
  <c r="AF28" i="1"/>
  <c r="AG28" i="1"/>
  <c r="C101" i="14"/>
  <c r="G101" i="14" s="1"/>
  <c r="D101" i="14"/>
  <c r="E101" i="14" s="1"/>
  <c r="B101" i="14"/>
  <c r="F101" i="14" s="1"/>
  <c r="V89" i="5"/>
  <c r="L56" i="5"/>
  <c r="M56" i="5"/>
  <c r="N56" i="5"/>
  <c r="C37" i="14"/>
  <c r="G37" i="14" s="1"/>
  <c r="B37" i="14"/>
  <c r="F37" i="14" s="1"/>
  <c r="D37" i="14"/>
  <c r="E37" i="14" s="1"/>
  <c r="BF105" i="1"/>
  <c r="BG105" i="1"/>
  <c r="BP105" i="1" s="1" a="1"/>
  <c r="BP105" i="1" s="1"/>
  <c r="BU105" i="1"/>
  <c r="CD105" i="1"/>
  <c r="B25" i="9"/>
  <c r="F25" i="9"/>
  <c r="R115" i="1"/>
  <c r="K26" i="5"/>
  <c r="Z26" i="1"/>
  <c r="AB26" i="1"/>
  <c r="AA26" i="1"/>
  <c r="Y26" i="1"/>
  <c r="BG75" i="1"/>
  <c r="BP75" i="1" s="1" a="1"/>
  <c r="BP75" i="1" s="1"/>
  <c r="CD75" i="1"/>
  <c r="BF75" i="1"/>
  <c r="BU75" i="1"/>
  <c r="B82" i="14"/>
  <c r="F82" i="14" s="1"/>
  <c r="C82" i="14"/>
  <c r="G82" i="14" s="1"/>
  <c r="D82" i="14"/>
  <c r="E82" i="14" s="1"/>
  <c r="H66" i="5"/>
  <c r="I66" i="5"/>
  <c r="J66" i="5"/>
  <c r="CD14" i="1"/>
  <c r="BU14" i="1"/>
  <c r="BF14" i="1"/>
  <c r="BG14" i="1" s="1"/>
  <c r="BP14" i="1" s="1" a="1"/>
  <c r="BP14" i="1" s="1"/>
  <c r="B111" i="14"/>
  <c r="F111" i="14" s="1"/>
  <c r="D111" i="14"/>
  <c r="E111" i="14" s="1"/>
  <c r="C111" i="14"/>
  <c r="G111" i="14" s="1"/>
  <c r="H332" i="1"/>
  <c r="BF145" i="1"/>
  <c r="BG145" i="1" s="1"/>
  <c r="BP145" i="1" s="1" a="1"/>
  <c r="BP145" i="1" s="1"/>
  <c r="BU145" i="1"/>
  <c r="CD145" i="1"/>
  <c r="R92" i="1"/>
  <c r="D12" i="14"/>
  <c r="E12" i="14" s="1"/>
  <c r="B12" i="14"/>
  <c r="F12" i="14" s="1"/>
  <c r="C12" i="14"/>
  <c r="G12" i="14" s="1"/>
  <c r="L6" i="9" s="1"/>
  <c r="N6" i="9" s="1"/>
  <c r="H318" i="1"/>
  <c r="V152" i="5"/>
  <c r="U152" i="5"/>
  <c r="T152" i="5"/>
  <c r="B52" i="14"/>
  <c r="F52" i="14" s="1"/>
  <c r="D52" i="14"/>
  <c r="E52" i="14" s="1"/>
  <c r="C52" i="14"/>
  <c r="G52" i="14" s="1"/>
  <c r="Q3" i="9" s="1"/>
  <c r="T3" i="9" s="1"/>
  <c r="U3" i="9" s="1"/>
  <c r="CD15" i="1"/>
  <c r="BU15" i="1"/>
  <c r="BF15" i="1"/>
  <c r="BG15" i="1" s="1"/>
  <c r="BP15" i="1" s="1" a="1"/>
  <c r="BP15" i="1" s="1"/>
  <c r="R63" i="1"/>
  <c r="H331" i="1"/>
  <c r="H265" i="1"/>
  <c r="J105" i="5"/>
  <c r="H105" i="5"/>
  <c r="I105" i="5"/>
  <c r="M47" i="5"/>
  <c r="L47" i="5"/>
  <c r="N47" i="5"/>
  <c r="L36" i="5"/>
  <c r="M36" i="5"/>
  <c r="N36" i="5"/>
  <c r="AE56" i="1"/>
  <c r="AG56" i="1"/>
  <c r="O56" i="5"/>
  <c r="AF56" i="1"/>
  <c r="AH56" i="1"/>
  <c r="AF67" i="1"/>
  <c r="AE67" i="1"/>
  <c r="AG67" i="1"/>
  <c r="AH67" i="1"/>
  <c r="O67" i="5"/>
  <c r="R193" i="1"/>
  <c r="R150" i="1"/>
  <c r="R199" i="1"/>
  <c r="AG140" i="1"/>
  <c r="AH140" i="1"/>
  <c r="O140" i="5"/>
  <c r="AE140" i="1"/>
  <c r="AF140" i="1"/>
  <c r="AG158" i="1"/>
  <c r="AH158" i="1"/>
  <c r="O158" i="5"/>
  <c r="AE158" i="1"/>
  <c r="AF158" i="1"/>
  <c r="R34" i="1"/>
  <c r="O23" i="5"/>
  <c r="AF23" i="1"/>
  <c r="AE23" i="1"/>
  <c r="AG23" i="1"/>
  <c r="AH23" i="1"/>
  <c r="H167" i="5"/>
  <c r="I167" i="5"/>
  <c r="J167" i="5"/>
  <c r="AF86" i="1"/>
  <c r="AH86" i="1"/>
  <c r="AG86" i="1"/>
  <c r="AE86" i="1"/>
  <c r="O86" i="5"/>
  <c r="R77" i="1"/>
  <c r="R85" i="1"/>
  <c r="S4" i="5"/>
  <c r="AJ4" i="1"/>
  <c r="AK4" i="1"/>
  <c r="AL4" i="1"/>
  <c r="AM4" i="1"/>
  <c r="BU121" i="1"/>
  <c r="BF121" i="1"/>
  <c r="BG121" i="1"/>
  <c r="BP121" i="1" s="1" a="1"/>
  <c r="BP121" i="1" s="1"/>
  <c r="CD121" i="1"/>
  <c r="AF93" i="1"/>
  <c r="AH93" i="1"/>
  <c r="O93" i="5"/>
  <c r="AG93" i="1"/>
  <c r="AE93" i="1"/>
  <c r="R204" i="1"/>
  <c r="I205" i="5"/>
  <c r="J205" i="5"/>
  <c r="H205" i="5"/>
  <c r="V39" i="5"/>
  <c r="U39" i="5"/>
  <c r="T39" i="5"/>
  <c r="V13" i="5"/>
  <c r="T13" i="5"/>
  <c r="U13" i="5"/>
  <c r="R82" i="1"/>
  <c r="T73" i="5"/>
  <c r="U73" i="5"/>
  <c r="V73" i="5"/>
  <c r="U5" i="5"/>
  <c r="V5" i="5"/>
  <c r="T5" i="5"/>
  <c r="U185" i="5"/>
  <c r="T185" i="5"/>
  <c r="V185" i="5"/>
  <c r="T203" i="5"/>
  <c r="U203" i="5"/>
  <c r="V203" i="5"/>
  <c r="T149" i="5"/>
  <c r="V149" i="5"/>
  <c r="U149" i="5"/>
  <c r="U142" i="5"/>
  <c r="V142" i="5"/>
  <c r="T142" i="5"/>
  <c r="R78" i="1"/>
  <c r="R74" i="1"/>
  <c r="R159" i="1"/>
  <c r="T98" i="5"/>
  <c r="U98" i="5"/>
  <c r="V98" i="5"/>
  <c r="R153" i="1"/>
  <c r="Q102" i="5"/>
  <c r="P102" i="5"/>
  <c r="R102" i="5"/>
  <c r="AE188" i="1"/>
  <c r="AH188" i="1"/>
  <c r="AF188" i="1"/>
  <c r="AG188" i="1"/>
  <c r="O188" i="5"/>
  <c r="V20" i="5"/>
  <c r="U20" i="5"/>
  <c r="T20" i="5"/>
  <c r="AV106" i="3"/>
  <c r="AV247" i="3"/>
  <c r="BR310" i="1" s="1"/>
  <c r="AV272" i="3"/>
  <c r="BR344" i="1" s="1"/>
  <c r="D48" i="14"/>
  <c r="E48" i="14" s="1"/>
  <c r="B48" i="14"/>
  <c r="F48" i="14" s="1"/>
  <c r="C48" i="14"/>
  <c r="G48" i="14" s="1"/>
  <c r="R116" i="5"/>
  <c r="P116" i="5"/>
  <c r="Q116" i="5"/>
  <c r="R144" i="1"/>
  <c r="U11" i="1"/>
  <c r="V11" i="1"/>
  <c r="W11" i="1"/>
  <c r="T11" i="1"/>
  <c r="G11" i="5"/>
  <c r="C80" i="14"/>
  <c r="G80" i="14" s="1"/>
  <c r="D80" i="14"/>
  <c r="E80" i="14" s="1"/>
  <c r="B80" i="14"/>
  <c r="F80" i="14" s="1"/>
  <c r="BF51" i="1"/>
  <c r="BU51" i="1"/>
  <c r="CD51" i="1"/>
  <c r="BG51" i="1"/>
  <c r="BP51" i="1" s="1" a="1"/>
  <c r="BP51" i="1" s="1"/>
  <c r="AZ51" i="1"/>
  <c r="CD152" i="1"/>
  <c r="BU152" i="1"/>
  <c r="BF152" i="1"/>
  <c r="BG152" i="1" s="1"/>
  <c r="BP152" i="1" s="1" a="1"/>
  <c r="BP152" i="1" s="1"/>
  <c r="R120" i="1"/>
  <c r="I51" i="5"/>
  <c r="H51" i="5"/>
  <c r="J51" i="5"/>
  <c r="AG115" i="1"/>
  <c r="AH115" i="1"/>
  <c r="AF115" i="1"/>
  <c r="AE115" i="1"/>
  <c r="O115" i="5"/>
  <c r="R75" i="1"/>
  <c r="AG187" i="1"/>
  <c r="AF187" i="1"/>
  <c r="AE187" i="1"/>
  <c r="AH187" i="1"/>
  <c r="O187" i="5"/>
  <c r="B32" i="14"/>
  <c r="F32" i="14" s="1"/>
  <c r="D32" i="14"/>
  <c r="E32" i="14" s="1"/>
  <c r="C32" i="14"/>
  <c r="G32" i="14" s="1"/>
  <c r="C23" i="14"/>
  <c r="G23" i="14" s="1"/>
  <c r="H23" i="14" s="1"/>
  <c r="I23" i="14" s="1"/>
  <c r="J23" i="14" s="1"/>
  <c r="C13" i="14"/>
  <c r="G13" i="14" s="1"/>
  <c r="Q2" i="9" s="1"/>
  <c r="T2" i="9" s="1"/>
  <c r="U2" i="9" s="1"/>
  <c r="B13" i="14"/>
  <c r="F13" i="14" s="1"/>
  <c r="D13" i="14"/>
  <c r="E13" i="14" s="1"/>
  <c r="T159" i="5"/>
  <c r="U159" i="5"/>
  <c r="V159" i="5"/>
  <c r="R139" i="1"/>
  <c r="AF14" i="1"/>
  <c r="AH14" i="1"/>
  <c r="O14" i="5"/>
  <c r="AG14" i="1"/>
  <c r="AE14" i="1"/>
  <c r="H287" i="1"/>
  <c r="B30" i="14"/>
  <c r="F30" i="14" s="1"/>
  <c r="D30" i="14"/>
  <c r="E30" i="14" s="1"/>
  <c r="C30" i="14"/>
  <c r="G30" i="14" s="1"/>
  <c r="BR45" i="1"/>
  <c r="I184" i="5"/>
  <c r="J184" i="5"/>
  <c r="H184" i="5"/>
  <c r="C103" i="14"/>
  <c r="G103" i="14" s="1"/>
  <c r="D103" i="14"/>
  <c r="E103" i="14" s="1"/>
  <c r="B103" i="14"/>
  <c r="F103" i="14" s="1"/>
  <c r="C90" i="14"/>
  <c r="G90" i="14" s="1"/>
  <c r="D90" i="14"/>
  <c r="E90" i="14" s="1"/>
  <c r="B90" i="14"/>
  <c r="F90" i="14" s="1"/>
  <c r="AH145" i="1"/>
  <c r="AF145" i="1"/>
  <c r="AE145" i="1"/>
  <c r="AG145" i="1"/>
  <c r="O145" i="5"/>
  <c r="R39" i="1"/>
  <c r="U31" i="5"/>
  <c r="T31" i="5"/>
  <c r="V31" i="5"/>
  <c r="H46" i="5"/>
  <c r="I46" i="5"/>
  <c r="J46" i="5"/>
  <c r="BF157" i="1"/>
  <c r="BG157" i="1" s="1"/>
  <c r="BP157" i="1" s="1" a="1"/>
  <c r="BP157" i="1" s="1"/>
  <c r="BU157" i="1"/>
  <c r="CD157" i="1"/>
  <c r="R124" i="1"/>
  <c r="AG63" i="1"/>
  <c r="AF63" i="1"/>
  <c r="AH63" i="1"/>
  <c r="O63" i="5"/>
  <c r="AE63" i="1"/>
  <c r="J135" i="5"/>
  <c r="I135" i="5"/>
  <c r="H135" i="5"/>
  <c r="R94" i="1"/>
  <c r="R62" i="1"/>
  <c r="R32" i="1"/>
  <c r="AE90" i="1"/>
  <c r="AH90" i="1"/>
  <c r="AG90" i="1"/>
  <c r="O90" i="5"/>
  <c r="AF90" i="1"/>
  <c r="AV239" i="3"/>
  <c r="BR289" i="1" s="1"/>
  <c r="AV215" i="3"/>
  <c r="BR276" i="1" s="1"/>
  <c r="L135" i="5"/>
  <c r="M135" i="5"/>
  <c r="N135" i="5"/>
  <c r="R172" i="1"/>
  <c r="AH130" i="1"/>
  <c r="AF130" i="1"/>
  <c r="AE130" i="1"/>
  <c r="O130" i="5"/>
  <c r="AG130" i="1"/>
  <c r="AH167" i="1"/>
  <c r="AE167" i="1"/>
  <c r="AG167" i="1"/>
  <c r="AF167" i="1"/>
  <c r="O167" i="5"/>
  <c r="AH162" i="1"/>
  <c r="AG162" i="1"/>
  <c r="AF162" i="1"/>
  <c r="AE162" i="1"/>
  <c r="O162" i="5"/>
  <c r="N106" i="5"/>
  <c r="L106" i="5"/>
  <c r="M106" i="5"/>
  <c r="M187" i="5"/>
  <c r="N187" i="5"/>
  <c r="L187" i="5"/>
  <c r="AB29" i="1"/>
  <c r="AA29" i="1"/>
  <c r="Z29" i="1"/>
  <c r="Y29" i="1"/>
  <c r="K29" i="5"/>
  <c r="O164" i="5"/>
  <c r="AH164" i="1"/>
  <c r="AF164" i="1"/>
  <c r="AE164" i="1"/>
  <c r="AG164" i="1"/>
  <c r="R59" i="1"/>
  <c r="AH186" i="1"/>
  <c r="AE186" i="1"/>
  <c r="AF186" i="1"/>
  <c r="O186" i="5"/>
  <c r="AG186" i="1"/>
  <c r="R24" i="1"/>
  <c r="G5" i="5"/>
  <c r="W5" i="1"/>
  <c r="T5" i="1"/>
  <c r="U5" i="1"/>
  <c r="V5" i="1"/>
  <c r="BF119" i="1"/>
  <c r="BG119" i="1" s="1"/>
  <c r="BP119" i="1" s="1" a="1"/>
  <c r="BP119" i="1" s="1"/>
  <c r="CD119" i="1"/>
  <c r="BU119" i="1"/>
  <c r="R104" i="1"/>
  <c r="R183" i="1"/>
  <c r="S150" i="5"/>
  <c r="AJ150" i="1"/>
  <c r="AL150" i="1"/>
  <c r="AM150" i="1"/>
  <c r="AK150" i="1"/>
  <c r="R17" i="1"/>
  <c r="AG98" i="1"/>
  <c r="AE98" i="1"/>
  <c r="AF98" i="1"/>
  <c r="O98" i="5"/>
  <c r="AH98" i="1"/>
  <c r="AF89" i="1"/>
  <c r="O89" i="5"/>
  <c r="AE89" i="1"/>
  <c r="AH89" i="1"/>
  <c r="AG89" i="1"/>
  <c r="R163" i="1"/>
  <c r="AF19" i="1"/>
  <c r="AE19" i="1"/>
  <c r="AH19" i="1"/>
  <c r="AG19" i="1"/>
  <c r="O19" i="5"/>
  <c r="O81" i="5"/>
  <c r="AH81" i="1"/>
  <c r="AE81" i="1"/>
  <c r="AF81" i="1"/>
  <c r="AG81" i="1"/>
  <c r="AF94" i="1"/>
  <c r="AG94" i="1"/>
  <c r="AH94" i="1"/>
  <c r="O94" i="5"/>
  <c r="AE94" i="1"/>
  <c r="R201" i="1"/>
  <c r="AH32" i="1"/>
  <c r="AF32" i="1"/>
  <c r="AE32" i="1"/>
  <c r="AG32" i="1"/>
  <c r="O32" i="5"/>
  <c r="BU37" i="1"/>
  <c r="CD37" i="1"/>
  <c r="BF37" i="1"/>
  <c r="BG37" i="1" s="1"/>
  <c r="BP37" i="1" s="1" a="1"/>
  <c r="BP37" i="1" s="1"/>
  <c r="R100" i="1"/>
  <c r="M126" i="5"/>
  <c r="N126" i="5"/>
  <c r="L126" i="5"/>
  <c r="AF172" i="1"/>
  <c r="AE172" i="1"/>
  <c r="AG172" i="1"/>
  <c r="O172" i="5"/>
  <c r="AH172" i="1"/>
  <c r="L8" i="5"/>
  <c r="M8" i="5"/>
  <c r="N8" i="5"/>
  <c r="N199" i="5"/>
  <c r="L199" i="5"/>
  <c r="M199" i="5"/>
  <c r="AF85" i="1"/>
  <c r="AE85" i="1"/>
  <c r="AH85" i="1"/>
  <c r="O85" i="5"/>
  <c r="AG85" i="1"/>
  <c r="BG209" i="1"/>
  <c r="BP209" i="1" s="1" a="1"/>
  <c r="BP209" i="1" s="1"/>
  <c r="BU209" i="1"/>
  <c r="BF209" i="1"/>
  <c r="CD209" i="1"/>
  <c r="AZ209" i="1"/>
  <c r="O82" i="5"/>
  <c r="AF82" i="1"/>
  <c r="AH82" i="1"/>
  <c r="AG82" i="1"/>
  <c r="AE82" i="1"/>
  <c r="AJ206" i="1"/>
  <c r="AL206" i="1"/>
  <c r="S206" i="5"/>
  <c r="AM206" i="1"/>
  <c r="AK206" i="1"/>
  <c r="H185" i="5"/>
  <c r="J185" i="5"/>
  <c r="I185" i="5"/>
  <c r="BU207" i="1"/>
  <c r="BG207" i="1"/>
  <c r="BP207" i="1" s="1" a="1"/>
  <c r="BP207" i="1" s="1"/>
  <c r="BF207" i="1"/>
  <c r="CD207" i="1"/>
  <c r="AZ207" i="1"/>
  <c r="T15" i="5"/>
  <c r="V15" i="5"/>
  <c r="U15" i="5"/>
  <c r="I29" i="5"/>
  <c r="H29" i="5"/>
  <c r="J29" i="5"/>
  <c r="I150" i="5"/>
  <c r="J150" i="5"/>
  <c r="H150" i="5"/>
  <c r="V94" i="5"/>
  <c r="U94" i="5"/>
  <c r="T94" i="5"/>
  <c r="H15" i="5"/>
  <c r="J15" i="5"/>
  <c r="I15" i="5"/>
  <c r="BU123" i="1"/>
  <c r="CD123" i="1"/>
  <c r="BG123" i="1"/>
  <c r="BP123" i="1" s="1" a="1"/>
  <c r="BP123" i="1" s="1"/>
  <c r="BF123" i="1"/>
  <c r="U209" i="5"/>
  <c r="V209" i="5"/>
  <c r="T209" i="5"/>
  <c r="AF78" i="1"/>
  <c r="AG78" i="1"/>
  <c r="O78" i="5"/>
  <c r="AH78" i="1"/>
  <c r="AE78" i="1"/>
  <c r="L209" i="5"/>
  <c r="J143" i="5"/>
  <c r="I143" i="5"/>
  <c r="H143" i="5"/>
  <c r="B57" i="14"/>
  <c r="F57" i="14" s="1"/>
  <c r="C57" i="14"/>
  <c r="G57" i="14" s="1"/>
  <c r="D57" i="14"/>
  <c r="E57" i="14" s="1"/>
  <c r="C4" i="14"/>
  <c r="G4" i="14" s="1"/>
  <c r="B4" i="14"/>
  <c r="F4" i="14" s="1"/>
  <c r="D4" i="14"/>
  <c r="E4" i="14" s="1"/>
  <c r="J199" i="5"/>
  <c r="H199" i="5"/>
  <c r="I199" i="5"/>
  <c r="R188" i="1"/>
  <c r="V52" i="1"/>
  <c r="T52" i="1"/>
  <c r="W52" i="1"/>
  <c r="U52" i="1"/>
  <c r="G52" i="5"/>
  <c r="U138" i="5"/>
  <c r="T138" i="5"/>
  <c r="V138" i="5"/>
  <c r="AV220" i="3"/>
  <c r="BR268" i="1" s="1"/>
  <c r="AM151" i="1"/>
  <c r="AK151" i="1"/>
  <c r="AL151" i="1"/>
  <c r="AJ151" i="1"/>
  <c r="S151" i="5"/>
  <c r="Q97" i="5"/>
  <c r="R97" i="5"/>
  <c r="P97" i="5"/>
  <c r="AE152" i="1"/>
  <c r="O152" i="5"/>
  <c r="AH152" i="1"/>
  <c r="AF152" i="1"/>
  <c r="AG152" i="1"/>
  <c r="AG120" i="1"/>
  <c r="AE120" i="1"/>
  <c r="O120" i="5"/>
  <c r="AH120" i="1"/>
  <c r="AF120" i="1"/>
  <c r="V204" i="5"/>
  <c r="U204" i="5"/>
  <c r="T204" i="5"/>
  <c r="R155" i="1"/>
  <c r="AG75" i="1"/>
  <c r="AH75" i="1"/>
  <c r="AF75" i="1"/>
  <c r="AE75" i="1"/>
  <c r="O75" i="5"/>
  <c r="R187" i="1"/>
  <c r="B9" i="9"/>
  <c r="F9" i="9"/>
  <c r="B50" i="14"/>
  <c r="F50" i="14" s="1"/>
  <c r="D50" i="14"/>
  <c r="E50" i="14" s="1"/>
  <c r="C50" i="14"/>
  <c r="G50" i="14" s="1"/>
  <c r="AG139" i="1"/>
  <c r="O139" i="5"/>
  <c r="AF139" i="1"/>
  <c r="AH139" i="1"/>
  <c r="AE139" i="1"/>
  <c r="BF43" i="1"/>
  <c r="BU43" i="1"/>
  <c r="CD43" i="1"/>
  <c r="BG43" i="1"/>
  <c r="BP43" i="1" s="1" a="1"/>
  <c r="BP43" i="1" s="1"/>
  <c r="AZ43" i="1"/>
  <c r="R14" i="1"/>
  <c r="B47" i="14"/>
  <c r="F47" i="14" s="1"/>
  <c r="D47" i="14"/>
  <c r="E47" i="14" s="1"/>
  <c r="C47" i="14"/>
  <c r="G47" i="14" s="1"/>
  <c r="C17" i="14"/>
  <c r="G17" i="14" s="1"/>
  <c r="D17" i="14"/>
  <c r="E17" i="14" s="1"/>
  <c r="B17" i="14"/>
  <c r="F17" i="14" s="1"/>
  <c r="I45" i="5"/>
  <c r="H45" i="5"/>
  <c r="J45" i="5"/>
  <c r="H314" i="1"/>
  <c r="BU2" i="1"/>
  <c r="BG2" i="1"/>
  <c r="BP2" i="1" s="1" a="1"/>
  <c r="BP2" i="1" s="1"/>
  <c r="BF2" i="1"/>
  <c r="CD2" i="1"/>
  <c r="B23" i="9"/>
  <c r="F23" i="9"/>
  <c r="R145" i="1"/>
  <c r="CD39" i="1"/>
  <c r="BF39" i="1"/>
  <c r="BU39" i="1"/>
  <c r="BG39" i="1"/>
  <c r="BP39" i="1" s="1" a="1"/>
  <c r="BP39" i="1" s="1"/>
  <c r="D98" i="14"/>
  <c r="E98" i="14" s="1"/>
  <c r="B98" i="14"/>
  <c r="F98" i="14" s="1"/>
  <c r="C98" i="14"/>
  <c r="G98" i="14" s="1"/>
  <c r="BF149" i="1"/>
  <c r="BG149" i="1" s="1"/>
  <c r="BP149" i="1" s="1" a="1"/>
  <c r="BP149" i="1" s="1"/>
  <c r="BU149" i="1"/>
  <c r="CD149" i="1"/>
  <c r="H337" i="1"/>
  <c r="BU146" i="1"/>
  <c r="CD146" i="1"/>
  <c r="BF146" i="1"/>
  <c r="BG146" i="1" s="1"/>
  <c r="BP146" i="1" s="1" a="1"/>
  <c r="BP146" i="1" s="1"/>
  <c r="B26" i="14"/>
  <c r="F26" i="14" s="1"/>
  <c r="C26" i="14"/>
  <c r="G26" i="14" s="1"/>
  <c r="D26" i="14"/>
  <c r="E26" i="14" s="1"/>
  <c r="C8" i="14"/>
  <c r="G8" i="14" s="1"/>
  <c r="D8" i="14"/>
  <c r="E8" i="14" s="1"/>
  <c r="B8" i="14"/>
  <c r="F8" i="14" s="1"/>
  <c r="O157" i="5"/>
  <c r="AF157" i="1"/>
  <c r="AG157" i="1"/>
  <c r="AH157" i="1"/>
  <c r="AE157" i="1"/>
  <c r="O124" i="5"/>
  <c r="AF124" i="1"/>
  <c r="AG124" i="1"/>
  <c r="AE124" i="1"/>
  <c r="AH124" i="1"/>
  <c r="B88" i="14"/>
  <c r="F88" i="14" s="1"/>
  <c r="D88" i="14"/>
  <c r="E88" i="14" s="1"/>
  <c r="C88" i="14"/>
  <c r="G88" i="14" s="1"/>
  <c r="N13" i="5"/>
  <c r="L13" i="5"/>
  <c r="M13" i="5"/>
  <c r="BF13" i="1"/>
  <c r="CD13" i="1"/>
  <c r="BG13" i="1"/>
  <c r="BP13" i="1" s="1" a="1"/>
  <c r="BP13" i="1" s="1"/>
  <c r="AZ13" i="1"/>
  <c r="BU13" i="1"/>
  <c r="I99" i="14"/>
  <c r="J99" i="14" s="1"/>
  <c r="O4" i="5"/>
  <c r="AF4" i="1"/>
  <c r="AG4" i="1"/>
  <c r="AE4" i="1"/>
  <c r="AH4" i="1"/>
  <c r="BU196" i="1"/>
  <c r="CD196" i="1"/>
  <c r="BF196" i="1"/>
  <c r="BG196" i="1" s="1"/>
  <c r="BP196" i="1" s="1" a="1"/>
  <c r="BP196" i="1" s="1"/>
  <c r="AH204" i="1"/>
  <c r="O204" i="5"/>
  <c r="AE204" i="1"/>
  <c r="AG204" i="1"/>
  <c r="AF204" i="1"/>
  <c r="U21" i="5"/>
  <c r="V21" i="5"/>
  <c r="T21" i="5"/>
  <c r="H76" i="5"/>
  <c r="J76" i="5"/>
  <c r="I76" i="5"/>
  <c r="R40" i="1"/>
  <c r="R48" i="1"/>
  <c r="R192" i="1"/>
  <c r="R37" i="1"/>
  <c r="R69" i="1"/>
  <c r="BS49" i="1"/>
  <c r="R80" i="1"/>
  <c r="AH125" i="1"/>
  <c r="AE125" i="1"/>
  <c r="O125" i="5"/>
  <c r="AG125" i="1"/>
  <c r="AF125" i="1"/>
  <c r="BU173" i="1"/>
  <c r="BF173" i="1"/>
  <c r="BG173" i="1" s="1"/>
  <c r="BP173" i="1" s="1" a="1"/>
  <c r="BP173" i="1" s="1"/>
  <c r="CD173" i="1"/>
  <c r="O38" i="5"/>
  <c r="AH38" i="1"/>
  <c r="AF38" i="1"/>
  <c r="AE38" i="1"/>
  <c r="BR38" i="1" s="1"/>
  <c r="AG38" i="1"/>
  <c r="R108" i="1"/>
  <c r="R4" i="1"/>
  <c r="O196" i="5"/>
  <c r="AG196" i="1"/>
  <c r="AH196" i="1"/>
  <c r="AF196" i="1"/>
  <c r="AE196" i="1"/>
  <c r="R134" i="1"/>
  <c r="I34" i="5"/>
  <c r="J34" i="5"/>
  <c r="H34" i="5"/>
  <c r="T45" i="5"/>
  <c r="U45" i="5"/>
  <c r="V45" i="5"/>
  <c r="CD202" i="1"/>
  <c r="BU202" i="1"/>
  <c r="BF202" i="1"/>
  <c r="BG202" i="1" s="1"/>
  <c r="BP202" i="1" s="1" a="1"/>
  <c r="BP202" i="1" s="1"/>
  <c r="J123" i="5"/>
  <c r="I123" i="5"/>
  <c r="H123" i="5"/>
  <c r="U125" i="5"/>
  <c r="V125" i="5"/>
  <c r="T125" i="5"/>
  <c r="H85" i="5"/>
  <c r="I85" i="5"/>
  <c r="J85" i="5"/>
  <c r="J132" i="5"/>
  <c r="I132" i="5"/>
  <c r="H132" i="5"/>
  <c r="T14" i="5"/>
  <c r="U14" i="5"/>
  <c r="V14" i="5"/>
  <c r="H156" i="5"/>
  <c r="I156" i="5"/>
  <c r="J156" i="5"/>
  <c r="AL123" i="1"/>
  <c r="AM123" i="1"/>
  <c r="AK123" i="1"/>
  <c r="AJ123" i="1"/>
  <c r="S123" i="5"/>
  <c r="T9" i="5"/>
  <c r="U9" i="5"/>
  <c r="V9" i="5"/>
  <c r="I33" i="5"/>
  <c r="H33" i="5"/>
  <c r="J33" i="5"/>
  <c r="B59" i="14"/>
  <c r="F59" i="14" s="1"/>
  <c r="D59" i="14"/>
  <c r="E59" i="14" s="1"/>
  <c r="C59" i="14"/>
  <c r="G59" i="14" s="1"/>
  <c r="V96" i="5"/>
  <c r="U96" i="5"/>
  <c r="T96" i="5"/>
  <c r="BF112" i="1"/>
  <c r="CD112" i="1"/>
  <c r="BU112" i="1"/>
  <c r="BG112" i="1"/>
  <c r="BP112" i="1" s="1" a="1"/>
  <c r="BP112" i="1" s="1"/>
  <c r="AZ112" i="1"/>
  <c r="H73" i="5"/>
  <c r="I73" i="5"/>
  <c r="J73" i="5"/>
  <c r="P137" i="5"/>
  <c r="R137" i="5"/>
  <c r="Q137" i="5"/>
  <c r="C62" i="14"/>
  <c r="G62" i="14" s="1"/>
  <c r="D62" i="14"/>
  <c r="E62" i="14" s="1"/>
  <c r="B62" i="14"/>
  <c r="F62" i="14" s="1"/>
  <c r="AV168" i="3"/>
  <c r="BW256" i="1"/>
  <c r="BR235" i="1"/>
  <c r="R11" i="1"/>
  <c r="F12" i="9"/>
  <c r="B12" i="9"/>
  <c r="B19" i="14"/>
  <c r="F19" i="14" s="1"/>
  <c r="D19" i="14"/>
  <c r="E19" i="14" s="1"/>
  <c r="C19" i="14"/>
  <c r="G19" i="14" s="1"/>
  <c r="L154" i="5"/>
  <c r="N154" i="5"/>
  <c r="M154" i="5"/>
  <c r="U62" i="5"/>
  <c r="V62" i="5"/>
  <c r="T62" i="5"/>
  <c r="R105" i="1"/>
  <c r="AE151" i="1"/>
  <c r="O151" i="5"/>
  <c r="AG151" i="1"/>
  <c r="AF151" i="1"/>
  <c r="AH151" i="1"/>
  <c r="BU26" i="1"/>
  <c r="CD26" i="1"/>
  <c r="BF26" i="1"/>
  <c r="BG26" i="1"/>
  <c r="BP26" i="1" s="1" a="1"/>
  <c r="BP26" i="1" s="1"/>
  <c r="R152" i="1"/>
  <c r="B6" i="14"/>
  <c r="F6" i="14" s="1"/>
  <c r="C6" i="14"/>
  <c r="G6" i="14" s="1"/>
  <c r="D6" i="14"/>
  <c r="E6" i="14" s="1"/>
  <c r="AG155" i="1"/>
  <c r="AH155" i="1"/>
  <c r="AF155" i="1"/>
  <c r="AE155" i="1"/>
  <c r="O155" i="5"/>
  <c r="B66" i="14"/>
  <c r="F66" i="14" s="1"/>
  <c r="D66" i="14"/>
  <c r="E66" i="14" s="1"/>
  <c r="C66" i="14"/>
  <c r="G66" i="14" s="1"/>
  <c r="C74" i="14"/>
  <c r="G74" i="14" s="1"/>
  <c r="B74" i="14"/>
  <c r="F74" i="14" s="1"/>
  <c r="D74" i="14"/>
  <c r="E74" i="14" s="1"/>
  <c r="AF39" i="1"/>
  <c r="O39" i="5"/>
  <c r="AH39" i="1"/>
  <c r="AE39" i="1"/>
  <c r="AG39" i="1"/>
  <c r="B60" i="14"/>
  <c r="F60" i="14" s="1"/>
  <c r="C60" i="14"/>
  <c r="G60" i="14" s="1"/>
  <c r="D60" i="14"/>
  <c r="E60" i="14" s="1"/>
  <c r="F5" i="9"/>
  <c r="B5" i="9"/>
  <c r="I48" i="5"/>
  <c r="J48" i="5"/>
  <c r="H48" i="5"/>
  <c r="R157" i="1"/>
  <c r="H336" i="1"/>
  <c r="C2" i="14"/>
  <c r="G2" i="14" s="1"/>
  <c r="L7" i="9"/>
  <c r="N7" i="9" s="1"/>
  <c r="L3" i="9"/>
  <c r="N3" i="9" s="1"/>
  <c r="D2" i="14"/>
  <c r="E2" i="14" s="1"/>
  <c r="B2" i="14"/>
  <c r="F2" i="14" s="1"/>
  <c r="H125" i="5"/>
  <c r="I125" i="5"/>
  <c r="J125" i="5"/>
  <c r="L9" i="5"/>
  <c r="M9" i="5"/>
  <c r="N9" i="5"/>
  <c r="R131" i="1"/>
  <c r="O117" i="5"/>
  <c r="AG117" i="1"/>
  <c r="AE117" i="1"/>
  <c r="AF117" i="1"/>
  <c r="AH117" i="1"/>
  <c r="R7" i="1"/>
  <c r="R83" i="1"/>
  <c r="AV231" i="3"/>
  <c r="AV232" i="3"/>
  <c r="H241" i="1"/>
  <c r="BW241" i="1"/>
  <c r="H245" i="1"/>
  <c r="N117" i="5"/>
  <c r="L117" i="5"/>
  <c r="M117" i="5"/>
  <c r="M3" i="5"/>
  <c r="L3" i="5"/>
  <c r="N3" i="5"/>
  <c r="M35" i="5"/>
  <c r="L35" i="5"/>
  <c r="N35" i="5"/>
  <c r="N203" i="5"/>
  <c r="L203" i="5"/>
  <c r="M203" i="5"/>
  <c r="R130" i="1"/>
  <c r="R167" i="1"/>
  <c r="R162" i="1"/>
  <c r="AF29" i="1"/>
  <c r="AH29" i="1"/>
  <c r="AG29" i="1"/>
  <c r="AE29" i="1"/>
  <c r="O29" i="5"/>
  <c r="AH59" i="1"/>
  <c r="AG59" i="1"/>
  <c r="AF59" i="1"/>
  <c r="O59" i="5"/>
  <c r="AE59" i="1"/>
  <c r="R186" i="1"/>
  <c r="AH183" i="1"/>
  <c r="AG183" i="1"/>
  <c r="AF183" i="1"/>
  <c r="AE183" i="1"/>
  <c r="O183" i="5"/>
  <c r="O68" i="5"/>
  <c r="AF68" i="1"/>
  <c r="AH68" i="1"/>
  <c r="AE68" i="1"/>
  <c r="AG68" i="1"/>
  <c r="R36" i="1"/>
  <c r="R89" i="1"/>
  <c r="AE163" i="1"/>
  <c r="O163" i="5"/>
  <c r="AH163" i="1"/>
  <c r="AG163" i="1"/>
  <c r="AF163" i="1"/>
  <c r="S19" i="5"/>
  <c r="AK19" i="1"/>
  <c r="AJ19" i="1"/>
  <c r="AM19" i="1"/>
  <c r="AL19" i="1"/>
  <c r="R81" i="1"/>
  <c r="AV308" i="3"/>
  <c r="BR229" i="1" s="1"/>
  <c r="H229" i="1" s="1"/>
  <c r="R158" i="1"/>
  <c r="M168" i="5"/>
  <c r="N168" i="5"/>
  <c r="L168" i="5"/>
  <c r="AF34" i="1"/>
  <c r="O34" i="5"/>
  <c r="AG34" i="1"/>
  <c r="AH34" i="1"/>
  <c r="AE34" i="1"/>
  <c r="AF87" i="1"/>
  <c r="AH87" i="1"/>
  <c r="AE87" i="1"/>
  <c r="AG87" i="1"/>
  <c r="O87" i="5"/>
  <c r="BW174" i="1"/>
  <c r="H174" i="1"/>
  <c r="L61" i="5"/>
  <c r="M61" i="5"/>
  <c r="N61" i="5"/>
  <c r="L145" i="5"/>
  <c r="M145" i="5"/>
  <c r="N145" i="5"/>
  <c r="R114" i="1"/>
  <c r="AE55" i="1"/>
  <c r="AH55" i="1"/>
  <c r="AF55" i="1"/>
  <c r="AG55" i="1"/>
  <c r="O55" i="5"/>
  <c r="O160" i="5"/>
  <c r="AG160" i="1"/>
  <c r="AH160" i="1"/>
  <c r="AF160" i="1"/>
  <c r="AE160" i="1"/>
  <c r="R35" i="1"/>
  <c r="R169" i="1"/>
  <c r="R87" i="1"/>
  <c r="BW291" i="1"/>
  <c r="AV307" i="3"/>
  <c r="BR290" i="1" s="1"/>
  <c r="H290" i="1" s="1"/>
  <c r="R200" i="1"/>
  <c r="AE10" i="1"/>
  <c r="AF10" i="1"/>
  <c r="AG10" i="1"/>
  <c r="AH10" i="1"/>
  <c r="O10" i="5"/>
  <c r="AH48" i="1"/>
  <c r="AG48" i="1"/>
  <c r="AF48" i="1"/>
  <c r="AE48" i="1"/>
  <c r="O48" i="5"/>
  <c r="AM191" i="1"/>
  <c r="AJ191" i="1"/>
  <c r="AK191" i="1"/>
  <c r="AL191" i="1"/>
  <c r="S191" i="5"/>
  <c r="AG192" i="1"/>
  <c r="O192" i="5"/>
  <c r="AE192" i="1"/>
  <c r="AH192" i="1"/>
  <c r="AF192" i="1"/>
  <c r="O37" i="5"/>
  <c r="AH37" i="1"/>
  <c r="AE37" i="1"/>
  <c r="AG37" i="1"/>
  <c r="AF37" i="1"/>
  <c r="R125" i="1"/>
  <c r="AF108" i="1"/>
  <c r="O108" i="5"/>
  <c r="AH108" i="1"/>
  <c r="AG108" i="1"/>
  <c r="AE108" i="1"/>
  <c r="BG165" i="1"/>
  <c r="BP165" i="1" s="1" a="1"/>
  <c r="BP165" i="1" s="1"/>
  <c r="BF165" i="1"/>
  <c r="BU165" i="1"/>
  <c r="CD165" i="1"/>
  <c r="AZ165" i="1"/>
  <c r="R198" i="1"/>
  <c r="R196" i="1"/>
  <c r="K46" i="5"/>
  <c r="Z46" i="1"/>
  <c r="AA46" i="1"/>
  <c r="Y46" i="1"/>
  <c r="AB46" i="1"/>
  <c r="R73" i="1"/>
  <c r="AL205" i="1"/>
  <c r="AK205" i="1"/>
  <c r="S205" i="5"/>
  <c r="AJ205" i="1"/>
  <c r="AM205" i="1"/>
  <c r="T166" i="5"/>
  <c r="U166" i="5"/>
  <c r="V166" i="5"/>
  <c r="V37" i="5"/>
  <c r="T37" i="5"/>
  <c r="U37" i="5"/>
  <c r="I94" i="5"/>
  <c r="J94" i="5"/>
  <c r="H94" i="5"/>
  <c r="O134" i="5"/>
  <c r="AH134" i="1"/>
  <c r="AF134" i="1"/>
  <c r="AE134" i="1"/>
  <c r="AG134" i="1"/>
  <c r="BF82" i="1"/>
  <c r="BU82" i="1"/>
  <c r="BG82" i="1"/>
  <c r="BP82" i="1" s="1" a="1"/>
  <c r="BP82" i="1" s="1"/>
  <c r="CD82" i="1"/>
  <c r="T139" i="5"/>
  <c r="V139" i="5"/>
  <c r="U139" i="5"/>
  <c r="B36" i="14"/>
  <c r="F36" i="14" s="1"/>
  <c r="D36" i="14"/>
  <c r="E36" i="14" s="1"/>
  <c r="C36" i="14"/>
  <c r="G36" i="14" s="1"/>
  <c r="U26" i="5"/>
  <c r="V26" i="5"/>
  <c r="T26" i="5"/>
  <c r="T56" i="5"/>
  <c r="U56" i="5"/>
  <c r="V56" i="5"/>
  <c r="J78" i="5"/>
  <c r="I78" i="5"/>
  <c r="H78" i="5"/>
  <c r="T48" i="5"/>
  <c r="U48" i="5"/>
  <c r="V48" i="5"/>
  <c r="T66" i="5"/>
  <c r="V66" i="5"/>
  <c r="U66" i="5"/>
  <c r="I144" i="5"/>
  <c r="H144" i="5"/>
  <c r="J144" i="5"/>
  <c r="M196" i="5"/>
  <c r="N196" i="5"/>
  <c r="L196" i="5"/>
  <c r="J141" i="5"/>
  <c r="I141" i="5"/>
  <c r="H141" i="5"/>
  <c r="O123" i="5"/>
  <c r="AH123" i="1"/>
  <c r="AG123" i="1"/>
  <c r="AF123" i="1"/>
  <c r="AE123" i="1"/>
  <c r="H163" i="5"/>
  <c r="J163" i="5"/>
  <c r="I163" i="5"/>
  <c r="B17" i="9"/>
  <c r="F17" i="9"/>
  <c r="D65" i="14"/>
  <c r="E65" i="14" s="1"/>
  <c r="C65" i="14"/>
  <c r="G65" i="14" s="1"/>
  <c r="B65" i="14"/>
  <c r="F65" i="14" s="1"/>
  <c r="H113" i="5"/>
  <c r="I113" i="5"/>
  <c r="J113" i="5"/>
  <c r="H319" i="1"/>
  <c r="CD148" i="1"/>
  <c r="BU148" i="1"/>
  <c r="BF148" i="1"/>
  <c r="BG148" i="1" s="1"/>
  <c r="BP148" i="1" s="1" a="1"/>
  <c r="BP148" i="1" s="1"/>
  <c r="C10" i="14"/>
  <c r="G10" i="14" s="1"/>
  <c r="B10" i="14"/>
  <c r="F10" i="14" s="1"/>
  <c r="D10" i="14"/>
  <c r="E10" i="14" s="1"/>
  <c r="P101" i="5"/>
  <c r="R101" i="5"/>
  <c r="Q101" i="5"/>
  <c r="T133" i="5"/>
  <c r="V133" i="5"/>
  <c r="U133" i="5"/>
  <c r="B20" i="14"/>
  <c r="F20" i="14" s="1"/>
  <c r="D20" i="14"/>
  <c r="E20" i="14" s="1"/>
  <c r="C20" i="14"/>
  <c r="G20" i="14" s="1"/>
  <c r="I112" i="5"/>
  <c r="H112" i="5"/>
  <c r="AV222" i="3"/>
  <c r="BR240" i="1" s="1"/>
  <c r="AV206" i="3"/>
  <c r="BR219" i="1" s="1"/>
  <c r="BU31" i="1"/>
  <c r="CD31" i="1"/>
  <c r="BF31" i="1"/>
  <c r="BG31" i="1" s="1"/>
  <c r="BP31" i="1" s="1" a="1"/>
  <c r="BP31" i="1" s="1"/>
  <c r="AF11" i="1"/>
  <c r="AH11" i="1"/>
  <c r="O11" i="5"/>
  <c r="AE11" i="1"/>
  <c r="AG11" i="1"/>
  <c r="D63" i="14"/>
  <c r="E63" i="14" s="1"/>
  <c r="B63" i="14"/>
  <c r="F63" i="14" s="1"/>
  <c r="C63" i="14"/>
  <c r="G63" i="14" s="1"/>
  <c r="H59" i="5"/>
  <c r="J59" i="5"/>
  <c r="I59" i="5"/>
  <c r="O105" i="5"/>
  <c r="AE105" i="1"/>
  <c r="AF105" i="1"/>
  <c r="AG105" i="1"/>
  <c r="AH105" i="1"/>
  <c r="R151" i="1"/>
  <c r="J189" i="5"/>
  <c r="N52" i="5"/>
  <c r="M52" i="5"/>
  <c r="L52" i="5"/>
  <c r="N15" i="5"/>
  <c r="M15" i="5"/>
  <c r="L15" i="5"/>
  <c r="H305" i="1"/>
  <c r="L160" i="5"/>
  <c r="N160" i="5"/>
  <c r="M160" i="5"/>
  <c r="D31" i="14"/>
  <c r="E31" i="14" s="1"/>
  <c r="C31" i="14"/>
  <c r="G31" i="14" s="1"/>
  <c r="B31" i="14"/>
  <c r="F31" i="14" s="1"/>
  <c r="C45" i="14"/>
  <c r="G45" i="14" s="1"/>
  <c r="B45" i="14"/>
  <c r="F45" i="14" s="1"/>
  <c r="D45" i="14"/>
  <c r="E45" i="14" s="1"/>
  <c r="R30" i="1"/>
  <c r="B58" i="14"/>
  <c r="F58" i="14" s="1"/>
  <c r="D58" i="14"/>
  <c r="E58" i="14" s="1"/>
  <c r="C58" i="14"/>
  <c r="G58" i="14" s="1"/>
  <c r="BU137" i="1"/>
  <c r="BF137" i="1"/>
  <c r="BG137" i="1"/>
  <c r="BP137" i="1" s="1" a="1"/>
  <c r="BP137" i="1" s="1"/>
  <c r="CD137" i="1"/>
  <c r="BF9" i="1"/>
  <c r="BG9" i="1"/>
  <c r="BP9" i="1" s="1" a="1"/>
  <c r="BP9" i="1" s="1"/>
  <c r="BU9" i="1"/>
  <c r="CD9" i="1"/>
  <c r="AZ9" i="1"/>
  <c r="U168" i="5"/>
  <c r="V168" i="5"/>
  <c r="T168" i="5"/>
  <c r="BU199" i="1"/>
  <c r="BG199" i="1"/>
  <c r="BP199" i="1" s="1" a="1"/>
  <c r="BP199" i="1" s="1"/>
  <c r="BF199" i="1"/>
  <c r="CD199" i="1"/>
  <c r="R29" i="1"/>
  <c r="R164" i="1"/>
  <c r="R168" i="1"/>
  <c r="Q171" i="5"/>
  <c r="P171" i="5"/>
  <c r="R171" i="5"/>
  <c r="AV273" i="3"/>
  <c r="BR278" i="1" s="1"/>
  <c r="H278" i="1" s="1"/>
  <c r="R185" i="1"/>
  <c r="R203" i="1"/>
  <c r="Z197" i="1"/>
  <c r="Y197" i="1"/>
  <c r="BR197" i="1" s="1"/>
  <c r="AA197" i="1"/>
  <c r="K197" i="5"/>
  <c r="AB197" i="1"/>
  <c r="AF58" i="1"/>
  <c r="AH58" i="1"/>
  <c r="AG58" i="1"/>
  <c r="O58" i="5"/>
  <c r="AE58" i="1"/>
  <c r="BF72" i="1"/>
  <c r="CD72" i="1"/>
  <c r="BG72" i="1"/>
  <c r="BP72" i="1" s="1" a="1"/>
  <c r="BP72" i="1" s="1"/>
  <c r="BU72" i="1"/>
  <c r="AZ72" i="1"/>
  <c r="R165" i="1"/>
  <c r="S84" i="5"/>
  <c r="AK84" i="1"/>
  <c r="AM84" i="1"/>
  <c r="AJ84" i="1"/>
  <c r="AL84" i="1"/>
  <c r="AG198" i="1"/>
  <c r="O198" i="5"/>
  <c r="AH198" i="1"/>
  <c r="AF198" i="1"/>
  <c r="AE198" i="1"/>
  <c r="R46" i="1"/>
  <c r="BF25" i="1"/>
  <c r="BU25" i="1"/>
  <c r="CD25" i="1"/>
  <c r="BG25" i="1"/>
  <c r="BP25" i="1" s="1" a="1"/>
  <c r="BP25" i="1" s="1"/>
  <c r="AZ25" i="1"/>
  <c r="AH73" i="1"/>
  <c r="O73" i="5"/>
  <c r="AG73" i="1"/>
  <c r="AE73" i="1"/>
  <c r="AF73" i="1"/>
  <c r="T63" i="5"/>
  <c r="V63" i="5"/>
  <c r="U63" i="5"/>
  <c r="R205" i="1"/>
  <c r="I191" i="5"/>
  <c r="J191" i="5"/>
  <c r="H191" i="5"/>
  <c r="BG64" i="1"/>
  <c r="BP64" i="1" s="1" a="1"/>
  <c r="BP64" i="1" s="1"/>
  <c r="BU64" i="1"/>
  <c r="BF64" i="1"/>
  <c r="CD64" i="1"/>
  <c r="H92" i="5"/>
  <c r="I92" i="5"/>
  <c r="J92" i="5"/>
  <c r="J93" i="5"/>
  <c r="I93" i="5"/>
  <c r="H93" i="5"/>
  <c r="V61" i="5"/>
  <c r="U61" i="5"/>
  <c r="T61" i="5"/>
  <c r="T184" i="5"/>
  <c r="V184" i="5"/>
  <c r="U184" i="5"/>
  <c r="N186" i="5"/>
  <c r="M186" i="5"/>
  <c r="L186" i="5"/>
  <c r="I139" i="5"/>
  <c r="H139" i="5"/>
  <c r="J139" i="5"/>
  <c r="AM161" i="1"/>
  <c r="AK161" i="1"/>
  <c r="AL161" i="1"/>
  <c r="S161" i="5"/>
  <c r="AJ161" i="1"/>
  <c r="R123" i="1"/>
  <c r="CD3" i="1"/>
  <c r="BF3" i="1"/>
  <c r="BU3" i="1"/>
  <c r="BG3" i="1"/>
  <c r="BP3" i="1" s="1" a="1"/>
  <c r="BP3" i="1" s="1"/>
  <c r="C68" i="14"/>
  <c r="G68" i="14" s="1"/>
  <c r="B68" i="14"/>
  <c r="F68" i="14" s="1"/>
  <c r="D68" i="14"/>
  <c r="E68" i="14" s="1"/>
  <c r="B34" i="14"/>
  <c r="F34" i="14" s="1"/>
  <c r="D34" i="14"/>
  <c r="E34" i="14" s="1"/>
  <c r="C34" i="14"/>
  <c r="G34" i="14" s="1"/>
  <c r="T43" i="5"/>
  <c r="V43" i="5"/>
  <c r="U43" i="5"/>
  <c r="BM112" i="3"/>
  <c r="N112" i="5" s="1"/>
  <c r="B73" i="14"/>
  <c r="F73" i="14" s="1"/>
  <c r="C73" i="14"/>
  <c r="G73" i="14" s="1"/>
  <c r="D73" i="14"/>
  <c r="E73" i="14" s="1"/>
  <c r="O148" i="5"/>
  <c r="AF148" i="1"/>
  <c r="AH148" i="1"/>
  <c r="AG148" i="1"/>
  <c r="AE148" i="1"/>
  <c r="AV167" i="3"/>
  <c r="BW234" i="1"/>
  <c r="P51" i="5"/>
  <c r="Q51" i="5"/>
  <c r="R51" i="5"/>
  <c r="R79" i="1"/>
  <c r="B102" i="14"/>
  <c r="F102" i="14" s="1"/>
  <c r="D102" i="14"/>
  <c r="E102" i="14" s="1"/>
  <c r="C102" i="14"/>
  <c r="G102" i="14" s="1"/>
  <c r="C115" i="14"/>
  <c r="G115" i="14" s="1"/>
  <c r="B115" i="14"/>
  <c r="F115" i="14" s="1"/>
  <c r="D115" i="14"/>
  <c r="E115" i="14" s="1"/>
  <c r="D85" i="14"/>
  <c r="E85" i="14" s="1"/>
  <c r="C85" i="14"/>
  <c r="G85" i="14" s="1"/>
  <c r="B85" i="14"/>
  <c r="F85" i="14" s="1"/>
  <c r="B3" i="9"/>
  <c r="F3" i="9"/>
  <c r="W110" i="1"/>
  <c r="U110" i="1"/>
  <c r="V110" i="1"/>
  <c r="T110" i="1"/>
  <c r="G110" i="5"/>
  <c r="F15" i="9"/>
  <c r="B15" i="9"/>
  <c r="I43" i="5"/>
  <c r="J43" i="5"/>
  <c r="H43" i="5"/>
  <c r="H6" i="5"/>
  <c r="I6" i="5"/>
  <c r="J6" i="5"/>
  <c r="H327" i="1"/>
  <c r="D91" i="14"/>
  <c r="E91" i="14" s="1"/>
  <c r="B91" i="14"/>
  <c r="F91" i="14" s="1"/>
  <c r="C91" i="14"/>
  <c r="G91" i="14" s="1"/>
  <c r="I69" i="14"/>
  <c r="J69" i="14" s="1"/>
  <c r="C55" i="14"/>
  <c r="G55" i="14" s="1"/>
  <c r="B55" i="14"/>
  <c r="F55" i="14" s="1"/>
  <c r="D55" i="14"/>
  <c r="E55" i="14" s="1"/>
  <c r="M6" i="5"/>
  <c r="N6" i="5"/>
  <c r="L6" i="5"/>
  <c r="B9" i="14"/>
  <c r="F9" i="14" s="1"/>
  <c r="D9" i="14"/>
  <c r="E9" i="14" s="1"/>
  <c r="C9" i="14"/>
  <c r="G9" i="14" s="1"/>
  <c r="D46" i="14"/>
  <c r="E46" i="14" s="1"/>
  <c r="C46" i="14"/>
  <c r="G46" i="14" s="1"/>
  <c r="B46" i="14"/>
  <c r="F46" i="14" s="1"/>
  <c r="AG30" i="1"/>
  <c r="AE30" i="1"/>
  <c r="O30" i="5"/>
  <c r="AH30" i="1"/>
  <c r="AF30" i="1"/>
  <c r="AB137" i="1"/>
  <c r="Y137" i="1"/>
  <c r="Z137" i="1"/>
  <c r="AA137" i="1"/>
  <c r="K137" i="5"/>
  <c r="AF146" i="1"/>
  <c r="O146" i="5"/>
  <c r="AG146" i="1"/>
  <c r="AH146" i="1"/>
  <c r="AE146" i="1"/>
  <c r="R9" i="1"/>
  <c r="Y96" i="1"/>
  <c r="BR96" i="1" s="1"/>
  <c r="AB96" i="1"/>
  <c r="K96" i="5"/>
  <c r="AA96" i="1"/>
  <c r="Z96" i="1"/>
  <c r="R90" i="1"/>
  <c r="R21" i="1"/>
  <c r="AE40" i="1"/>
  <c r="AF40" i="1"/>
  <c r="O40" i="5"/>
  <c r="AG40" i="1"/>
  <c r="AH40" i="1"/>
  <c r="R86" i="1"/>
  <c r="O77" i="5"/>
  <c r="AE77" i="1"/>
  <c r="AF77" i="1"/>
  <c r="AG77" i="1"/>
  <c r="AH77" i="1"/>
  <c r="CD133" i="1"/>
  <c r="BU133" i="1"/>
  <c r="BF133" i="1"/>
  <c r="BG133" i="1" s="1"/>
  <c r="BP133" i="1" s="1" a="1"/>
  <c r="BP133" i="1" s="1"/>
  <c r="BF61" i="1"/>
  <c r="BG61" i="1" s="1"/>
  <c r="BP61" i="1" s="1" a="1"/>
  <c r="BP61" i="1" s="1"/>
  <c r="BU61" i="1"/>
  <c r="CD61" i="1"/>
  <c r="O69" i="5"/>
  <c r="AG69" i="1"/>
  <c r="AF69" i="1"/>
  <c r="AE69" i="1"/>
  <c r="AH69" i="1"/>
  <c r="AV221" i="3"/>
  <c r="BR239" i="1" s="1"/>
  <c r="AG128" i="1"/>
  <c r="AE128" i="1"/>
  <c r="AH128" i="1"/>
  <c r="O128" i="5"/>
  <c r="AF128" i="1"/>
  <c r="AF18" i="1"/>
  <c r="O18" i="5"/>
  <c r="AE18" i="1"/>
  <c r="AG18" i="1"/>
  <c r="AH18" i="1"/>
  <c r="O107" i="5"/>
  <c r="AH107" i="1"/>
  <c r="AF107" i="1"/>
  <c r="AG107" i="1"/>
  <c r="AE107" i="1"/>
  <c r="L102" i="5"/>
  <c r="M102" i="5"/>
  <c r="N102" i="5"/>
  <c r="L28" i="5"/>
  <c r="M28" i="5"/>
  <c r="N28" i="5"/>
  <c r="R189" i="1"/>
  <c r="BR189" i="1" s="1"/>
  <c r="R58" i="1"/>
  <c r="H315" i="1"/>
  <c r="BW315" i="1"/>
  <c r="AV271" i="3"/>
  <c r="BR343" i="1" s="1"/>
  <c r="AV310" i="3"/>
  <c r="BR300" i="1" s="1"/>
  <c r="H300" i="1" s="1"/>
  <c r="AV242" i="3"/>
  <c r="BR233" i="1" s="1"/>
  <c r="BW249" i="1"/>
  <c r="H249" i="1"/>
  <c r="L14" i="5"/>
  <c r="M14" i="5"/>
  <c r="N14" i="5"/>
  <c r="M81" i="5"/>
  <c r="N81" i="5"/>
  <c r="L81" i="5"/>
  <c r="L110" i="5"/>
  <c r="N110" i="5"/>
  <c r="M110" i="5"/>
  <c r="M144" i="5"/>
  <c r="L144" i="5"/>
  <c r="N144" i="5"/>
  <c r="M193" i="5"/>
  <c r="L193" i="5"/>
  <c r="N193" i="5"/>
  <c r="M139" i="5"/>
  <c r="L139" i="5"/>
  <c r="N139" i="5"/>
  <c r="AG47" i="1"/>
  <c r="O47" i="5"/>
  <c r="AE47" i="1"/>
  <c r="AH47" i="1"/>
  <c r="AF47" i="1"/>
  <c r="R103" i="1"/>
  <c r="M99" i="5"/>
  <c r="L99" i="5"/>
  <c r="N99" i="5"/>
  <c r="O184" i="5"/>
  <c r="AH184" i="1"/>
  <c r="AG184" i="1"/>
  <c r="AF184" i="1"/>
  <c r="AE184" i="1"/>
  <c r="R119" i="1"/>
  <c r="R99" i="1"/>
  <c r="R60" i="1"/>
  <c r="AF185" i="1"/>
  <c r="AH185" i="1"/>
  <c r="O185" i="5"/>
  <c r="AE185" i="1"/>
  <c r="AG185" i="1"/>
  <c r="AG203" i="1"/>
  <c r="AH203" i="1"/>
  <c r="AF203" i="1"/>
  <c r="AE203" i="1"/>
  <c r="O203" i="5"/>
  <c r="AG95" i="1"/>
  <c r="AF95" i="1"/>
  <c r="AE95" i="1"/>
  <c r="AH95" i="1"/>
  <c r="O95" i="5"/>
  <c r="AE200" i="1"/>
  <c r="AG200" i="1"/>
  <c r="AF200" i="1"/>
  <c r="AH200" i="1"/>
  <c r="O200" i="5"/>
  <c r="R10" i="1"/>
  <c r="R22" i="1"/>
  <c r="AE191" i="1"/>
  <c r="AH191" i="1"/>
  <c r="AG191" i="1"/>
  <c r="AF191" i="1"/>
  <c r="O191" i="5"/>
  <c r="AV256" i="3"/>
  <c r="BR226" i="1" s="1"/>
  <c r="AV309" i="3"/>
  <c r="BR309" i="1" s="1"/>
  <c r="H309" i="1" s="1"/>
  <c r="AV240" i="3"/>
  <c r="BR231" i="1" s="1"/>
  <c r="AV218" i="3"/>
  <c r="BR225" i="1" s="1"/>
  <c r="L59" i="5"/>
  <c r="N59" i="5"/>
  <c r="M59" i="5"/>
  <c r="N18" i="5"/>
  <c r="L18" i="5"/>
  <c r="M18" i="5"/>
  <c r="N163" i="5"/>
  <c r="M163" i="5"/>
  <c r="L163" i="5"/>
  <c r="M123" i="5"/>
  <c r="N123" i="5"/>
  <c r="L123" i="5"/>
  <c r="R8" i="1"/>
  <c r="N16" i="5"/>
  <c r="L16" i="5"/>
  <c r="M16" i="5"/>
  <c r="M146" i="5"/>
  <c r="L146" i="5"/>
  <c r="N146" i="5"/>
  <c r="O103" i="5"/>
  <c r="AE103" i="1"/>
  <c r="AH103" i="1"/>
  <c r="AG103" i="1"/>
  <c r="AF103" i="1"/>
  <c r="R195" i="1"/>
  <c r="R122" i="1"/>
  <c r="M159" i="5"/>
  <c r="N159" i="5"/>
  <c r="L159" i="5"/>
  <c r="AH138" i="1"/>
  <c r="AF138" i="1"/>
  <c r="AG138" i="1"/>
  <c r="AE138" i="1"/>
  <c r="O138" i="5"/>
  <c r="BU36" i="1"/>
  <c r="CD36" i="1"/>
  <c r="BF36" i="1"/>
  <c r="BG36" i="1" s="1"/>
  <c r="BP36" i="1" s="1" a="1"/>
  <c r="BP36" i="1" s="1"/>
  <c r="R95" i="1"/>
  <c r="R61" i="1"/>
  <c r="O22" i="5"/>
  <c r="AH22" i="1"/>
  <c r="AE22" i="1"/>
  <c r="AF22" i="1"/>
  <c r="AG22" i="1"/>
  <c r="CD62" i="1"/>
  <c r="BU62" i="1"/>
  <c r="BG62" i="1"/>
  <c r="BP62" i="1" s="1" a="1"/>
  <c r="BP62" i="1" s="1"/>
  <c r="BF62" i="1"/>
  <c r="AH133" i="1"/>
  <c r="O133" i="5"/>
  <c r="AE133" i="1"/>
  <c r="AG133" i="1"/>
  <c r="AF133" i="1"/>
  <c r="R191" i="1"/>
  <c r="R106" i="1"/>
  <c r="BU90" i="1"/>
  <c r="BG90" i="1"/>
  <c r="BP90" i="1" s="1" a="1"/>
  <c r="BP90" i="1" s="1"/>
  <c r="BF90" i="1"/>
  <c r="CD90" i="1"/>
  <c r="AE165" i="1"/>
  <c r="AF165" i="1"/>
  <c r="AG165" i="1"/>
  <c r="AH165" i="1"/>
  <c r="O165" i="5"/>
  <c r="R84" i="1"/>
  <c r="R121" i="1"/>
  <c r="CD93" i="1"/>
  <c r="BF93" i="1"/>
  <c r="BG93" i="1" s="1"/>
  <c r="BP93" i="1" s="1" a="1"/>
  <c r="BP93" i="1" s="1"/>
  <c r="BU93" i="1"/>
  <c r="V44" i="5"/>
  <c r="T44" i="5"/>
  <c r="U44" i="5"/>
  <c r="R109" i="1"/>
  <c r="AG205" i="1"/>
  <c r="AE205" i="1"/>
  <c r="AF205" i="1"/>
  <c r="AH205" i="1"/>
  <c r="O205" i="5"/>
  <c r="C18" i="14"/>
  <c r="G18" i="14" s="1"/>
  <c r="B18" i="14"/>
  <c r="F18" i="14" s="1"/>
  <c r="D18" i="14"/>
  <c r="E18" i="14" s="1"/>
  <c r="CD57" i="1"/>
  <c r="BU57" i="1"/>
  <c r="BG57" i="1"/>
  <c r="BP57" i="1" s="1" a="1"/>
  <c r="BP57" i="1" s="1"/>
  <c r="BF57" i="1"/>
  <c r="BM190" i="3"/>
  <c r="N206" i="5" s="1"/>
  <c r="U173" i="5"/>
  <c r="T173" i="5"/>
  <c r="V173" i="5"/>
  <c r="R202" i="1"/>
  <c r="I40" i="5"/>
  <c r="J40" i="5"/>
  <c r="H40" i="5"/>
  <c r="H35" i="5"/>
  <c r="J35" i="5"/>
  <c r="I35" i="5"/>
  <c r="H194" i="5"/>
  <c r="J194" i="5"/>
  <c r="I194" i="5"/>
  <c r="U60" i="5"/>
  <c r="V60" i="5"/>
  <c r="T60" i="5"/>
  <c r="N184" i="5"/>
  <c r="M184" i="5"/>
  <c r="L184" i="5"/>
  <c r="J91" i="5"/>
  <c r="I91" i="5"/>
  <c r="H91" i="5"/>
  <c r="R3" i="1"/>
  <c r="F14" i="9"/>
  <c r="B14" i="9"/>
  <c r="L32" i="5"/>
  <c r="M32" i="5"/>
  <c r="N32" i="5"/>
  <c r="P79" i="5"/>
  <c r="Q79" i="5"/>
  <c r="R79" i="5"/>
  <c r="D113" i="14"/>
  <c r="E113" i="14" s="1"/>
  <c r="C113" i="14"/>
  <c r="G113" i="14" s="1"/>
  <c r="B113" i="14"/>
  <c r="F113" i="14" s="1"/>
  <c r="B26" i="9"/>
  <c r="F26" i="9"/>
  <c r="Q190" i="5"/>
  <c r="R190" i="5"/>
  <c r="P190" i="5"/>
  <c r="B22" i="9"/>
  <c r="F22" i="9"/>
  <c r="R148" i="1"/>
  <c r="I121" i="5"/>
  <c r="H121" i="5"/>
  <c r="J121" i="5"/>
  <c r="J187" i="5"/>
  <c r="H187" i="5"/>
  <c r="I187" i="5"/>
  <c r="F7" i="9"/>
  <c r="B7" i="9"/>
  <c r="CD156" i="1"/>
  <c r="BF156" i="1"/>
  <c r="BG156" i="1" s="1"/>
  <c r="BP156" i="1" s="1" a="1"/>
  <c r="BP156" i="1" s="1"/>
  <c r="BU156" i="1"/>
  <c r="I60" i="5"/>
  <c r="H60" i="5"/>
  <c r="J60" i="5"/>
  <c r="I95" i="5"/>
  <c r="H95" i="5"/>
  <c r="J95" i="5"/>
  <c r="P110" i="5"/>
  <c r="R110" i="5"/>
  <c r="Q110" i="5"/>
  <c r="C94" i="14"/>
  <c r="G94" i="14" s="1"/>
  <c r="D94" i="14"/>
  <c r="E94" i="14" s="1"/>
  <c r="B94" i="14"/>
  <c r="F94" i="14" s="1"/>
  <c r="F4" i="9"/>
  <c r="B4" i="9"/>
  <c r="AV107" i="3"/>
  <c r="AV81" i="3"/>
  <c r="AV209" i="3"/>
  <c r="BR261" i="1" s="1"/>
  <c r="AV207" i="3"/>
  <c r="BR255" i="1" s="1"/>
  <c r="R31" i="1"/>
  <c r="V16" i="5"/>
  <c r="U16" i="5"/>
  <c r="T16" i="5"/>
  <c r="B83" i="14"/>
  <c r="F83" i="14" s="1"/>
  <c r="C83" i="14"/>
  <c r="G83" i="14" s="1"/>
  <c r="D83" i="14"/>
  <c r="E83" i="14" s="1"/>
  <c r="V207" i="5"/>
  <c r="U207" i="5"/>
  <c r="T207" i="5"/>
  <c r="AV92" i="3"/>
  <c r="C104" i="14"/>
  <c r="G104" i="14" s="1"/>
  <c r="B104" i="14"/>
  <c r="F104" i="14" s="1"/>
  <c r="D104" i="14"/>
  <c r="E104" i="14" s="1"/>
  <c r="S2" i="5"/>
  <c r="AL2" i="1"/>
  <c r="AK2" i="1"/>
  <c r="AJ2" i="1"/>
  <c r="AM2" i="1"/>
  <c r="B8" i="9"/>
  <c r="F8" i="9"/>
  <c r="C16" i="14"/>
  <c r="G16" i="14" s="1"/>
  <c r="B16" i="14"/>
  <c r="F16" i="14" s="1"/>
  <c r="D16" i="14"/>
  <c r="E16" i="14" s="1"/>
  <c r="BF147" i="1"/>
  <c r="BG147" i="1" s="1"/>
  <c r="BP147" i="1" s="1" a="1"/>
  <c r="BP147" i="1" s="1"/>
  <c r="BU147" i="1"/>
  <c r="CD147" i="1"/>
  <c r="B16" i="9"/>
  <c r="F16" i="9"/>
  <c r="F6" i="9"/>
  <c r="B6" i="9"/>
  <c r="CD6" i="1"/>
  <c r="BG6" i="1"/>
  <c r="BP6" i="1" s="1" a="1"/>
  <c r="BP6" i="1" s="1"/>
  <c r="BF6" i="1"/>
  <c r="BU6" i="1"/>
  <c r="AZ6" i="1"/>
  <c r="AJ124" i="1"/>
  <c r="AL124" i="1"/>
  <c r="AK124" i="1"/>
  <c r="S124" i="5"/>
  <c r="AM124" i="1"/>
  <c r="C100" i="14"/>
  <c r="G100" i="14" s="1"/>
  <c r="B100" i="14"/>
  <c r="F100" i="14" s="1"/>
  <c r="D100" i="14"/>
  <c r="E100" i="14" s="1"/>
  <c r="H311" i="1"/>
  <c r="R15" i="1"/>
  <c r="V83" i="5"/>
  <c r="T83" i="5"/>
  <c r="U83" i="5"/>
  <c r="G137" i="5"/>
  <c r="W137" i="1"/>
  <c r="T137" i="1"/>
  <c r="V137" i="1"/>
  <c r="U137" i="1"/>
  <c r="R146" i="1"/>
  <c r="O9" i="5"/>
  <c r="AG9" i="1"/>
  <c r="AE9" i="1"/>
  <c r="AF9" i="1"/>
  <c r="AH9" i="1"/>
  <c r="W111" i="1"/>
  <c r="V111" i="1"/>
  <c r="U111" i="1"/>
  <c r="G111" i="5"/>
  <c r="T111" i="1"/>
  <c r="C114" i="14"/>
  <c r="G114" i="14" s="1"/>
  <c r="H114" i="14" s="1"/>
  <c r="I114" i="14" s="1"/>
  <c r="J114" i="14" s="1"/>
  <c r="J168" i="5"/>
  <c r="I168" i="5"/>
  <c r="H168" i="5"/>
  <c r="L20" i="5"/>
  <c r="M20" i="5"/>
  <c r="N20" i="5"/>
  <c r="N129" i="5"/>
  <c r="M129" i="5"/>
  <c r="L129" i="5"/>
  <c r="M161" i="5"/>
  <c r="N161" i="5"/>
  <c r="L161" i="5"/>
  <c r="R128" i="1"/>
  <c r="N93" i="5"/>
  <c r="L93" i="5"/>
  <c r="M93" i="5"/>
  <c r="M90" i="5"/>
  <c r="N90" i="5"/>
  <c r="L90" i="5"/>
  <c r="N140" i="5"/>
  <c r="L140" i="5"/>
  <c r="M140" i="5"/>
  <c r="M37" i="5"/>
  <c r="L37" i="5"/>
  <c r="N37" i="5"/>
  <c r="N111" i="5"/>
  <c r="L111" i="5"/>
  <c r="M111" i="5"/>
  <c r="AJ18" i="1"/>
  <c r="AL18" i="1"/>
  <c r="AK18" i="1"/>
  <c r="S18" i="5"/>
  <c r="AM18" i="1"/>
  <c r="R56" i="1"/>
  <c r="R55" i="1"/>
  <c r="L190" i="5"/>
  <c r="M190" i="5"/>
  <c r="N190" i="5"/>
  <c r="O5" i="5"/>
  <c r="AE5" i="1"/>
  <c r="AH5" i="1"/>
  <c r="AG5" i="1"/>
  <c r="AF5" i="1"/>
  <c r="AE35" i="1"/>
  <c r="AH35" i="1"/>
  <c r="AF35" i="1"/>
  <c r="O35" i="5"/>
  <c r="AG35" i="1"/>
  <c r="N38" i="5"/>
  <c r="M38" i="5"/>
  <c r="L38" i="5"/>
  <c r="M119" i="5"/>
  <c r="N119" i="5"/>
  <c r="L119" i="5"/>
  <c r="R47" i="1"/>
  <c r="AG114" i="1"/>
  <c r="AF114" i="1"/>
  <c r="O114" i="5"/>
  <c r="AE114" i="1"/>
  <c r="AH114" i="1"/>
  <c r="R18" i="1"/>
  <c r="R184" i="1"/>
  <c r="R107" i="1"/>
  <c r="AG119" i="1"/>
  <c r="O119" i="5"/>
  <c r="AF119" i="1"/>
  <c r="AH119" i="1"/>
  <c r="AE119" i="1"/>
  <c r="AE99" i="1"/>
  <c r="AF99" i="1"/>
  <c r="AG99" i="1"/>
  <c r="O99" i="5"/>
  <c r="AH99" i="1"/>
  <c r="AG60" i="1"/>
  <c r="AE60" i="1"/>
  <c r="O60" i="5"/>
  <c r="AH60" i="1"/>
  <c r="AF60" i="1"/>
  <c r="R160" i="1"/>
  <c r="N195" i="5"/>
  <c r="L195" i="5"/>
  <c r="M195" i="5"/>
  <c r="AV182" i="3"/>
  <c r="BR182" i="1" s="1"/>
  <c r="AV274" i="3"/>
  <c r="BR279" i="1" s="1"/>
  <c r="H279" i="1" s="1"/>
  <c r="BW216" i="1"/>
  <c r="H216" i="1"/>
  <c r="N63" i="5"/>
  <c r="M63" i="5"/>
  <c r="L63" i="5"/>
  <c r="N156" i="5"/>
  <c r="L156" i="5"/>
  <c r="M156" i="5"/>
  <c r="L65" i="5"/>
  <c r="N65" i="5"/>
  <c r="M65" i="5"/>
  <c r="O8" i="5"/>
  <c r="AF8" i="1"/>
  <c r="AH8" i="1"/>
  <c r="AG8" i="1"/>
  <c r="AE8" i="1"/>
  <c r="M87" i="5"/>
  <c r="L87" i="5"/>
  <c r="N87" i="5"/>
  <c r="R117" i="1"/>
  <c r="O7" i="5"/>
  <c r="AH7" i="1"/>
  <c r="AF7" i="1"/>
  <c r="AE7" i="1"/>
  <c r="AG7" i="1"/>
  <c r="AF195" i="1"/>
  <c r="AG195" i="1"/>
  <c r="O195" i="5"/>
  <c r="AE195" i="1"/>
  <c r="AH195" i="1"/>
  <c r="AF122" i="1"/>
  <c r="AE122" i="1"/>
  <c r="AG122" i="1"/>
  <c r="O122" i="5"/>
  <c r="AH122" i="1"/>
  <c r="R126" i="1"/>
  <c r="R138" i="1"/>
  <c r="R76" i="1"/>
  <c r="AF61" i="1"/>
  <c r="AE61" i="1"/>
  <c r="AG61" i="1"/>
  <c r="O61" i="5"/>
  <c r="AH61" i="1"/>
  <c r="R133" i="1"/>
  <c r="O106" i="5"/>
  <c r="AF106" i="1"/>
  <c r="AH106" i="1"/>
  <c r="AE106" i="1"/>
  <c r="AG106" i="1"/>
  <c r="AG173" i="1"/>
  <c r="AH173" i="1"/>
  <c r="AE173" i="1"/>
  <c r="AF173" i="1"/>
  <c r="O173" i="5"/>
  <c r="AH72" i="1"/>
  <c r="O72" i="5"/>
  <c r="AE72" i="1"/>
  <c r="BR72" i="1" s="1"/>
  <c r="AG72" i="1"/>
  <c r="AF72" i="1"/>
  <c r="AH84" i="1"/>
  <c r="O84" i="5"/>
  <c r="AF84" i="1"/>
  <c r="AE84" i="1"/>
  <c r="AG84" i="1"/>
  <c r="AH121" i="1"/>
  <c r="AE121" i="1"/>
  <c r="AG121" i="1"/>
  <c r="O121" i="5"/>
  <c r="AF121" i="1"/>
  <c r="AH109" i="1"/>
  <c r="AE109" i="1"/>
  <c r="AG109" i="1"/>
  <c r="AF109" i="1"/>
  <c r="O109" i="5"/>
  <c r="H208" i="1"/>
  <c r="BG33" i="1"/>
  <c r="BP33" i="1" s="1" a="1"/>
  <c r="BP33" i="1" s="1"/>
  <c r="CD33" i="1"/>
  <c r="BU33" i="1"/>
  <c r="BF33" i="1"/>
  <c r="T121" i="5"/>
  <c r="U121" i="5"/>
  <c r="V121" i="5"/>
  <c r="V164" i="5"/>
  <c r="U164" i="5"/>
  <c r="T164" i="5"/>
  <c r="T59" i="5"/>
  <c r="V59" i="5"/>
  <c r="U59" i="5"/>
  <c r="I206" i="5"/>
  <c r="H206" i="5"/>
  <c r="J206" i="5"/>
  <c r="BG71" i="1"/>
  <c r="BP71" i="1" s="1" a="1"/>
  <c r="BP71" i="1" s="1"/>
  <c r="BF71" i="1"/>
  <c r="CD71" i="1"/>
  <c r="BU71" i="1"/>
  <c r="AZ71" i="1"/>
  <c r="AF206" i="1"/>
  <c r="AE206" i="1"/>
  <c r="AG206" i="1"/>
  <c r="AH206" i="1"/>
  <c r="O206" i="5"/>
  <c r="H173" i="5"/>
  <c r="J173" i="5"/>
  <c r="I173" i="5"/>
  <c r="AE202" i="1"/>
  <c r="AH202" i="1"/>
  <c r="O202" i="5"/>
  <c r="AG202" i="1"/>
  <c r="AF202" i="1"/>
  <c r="R207" i="1"/>
  <c r="C40" i="14"/>
  <c r="G40" i="14" s="1"/>
  <c r="D40" i="14"/>
  <c r="E40" i="14" s="1"/>
  <c r="B40" i="14"/>
  <c r="F40" i="14" s="1"/>
  <c r="K88" i="5"/>
  <c r="AA88" i="1"/>
  <c r="Y88" i="1"/>
  <c r="BR88" i="1" s="1"/>
  <c r="AB88" i="1"/>
  <c r="Z88" i="1"/>
  <c r="L208" i="5"/>
  <c r="M208" i="5"/>
  <c r="N208" i="5"/>
  <c r="C71" i="14"/>
  <c r="G71" i="14" s="1"/>
  <c r="B71" i="14"/>
  <c r="F71" i="14" s="1"/>
  <c r="D71" i="14"/>
  <c r="E71" i="14" s="1"/>
  <c r="H197" i="5"/>
  <c r="J197" i="5"/>
  <c r="I197" i="5"/>
  <c r="I74" i="5"/>
  <c r="H74" i="5"/>
  <c r="J74" i="5"/>
  <c r="V71" i="5"/>
  <c r="T71" i="5"/>
  <c r="U71" i="5"/>
  <c r="J158" i="5"/>
  <c r="I158" i="5"/>
  <c r="H158" i="5"/>
  <c r="H27" i="5"/>
  <c r="I27" i="5"/>
  <c r="J27" i="5"/>
  <c r="V78" i="5"/>
  <c r="T78" i="5"/>
  <c r="U78" i="5"/>
  <c r="O3" i="5"/>
  <c r="AF3" i="1"/>
  <c r="AH3" i="1"/>
  <c r="AG3" i="1"/>
  <c r="AE3" i="1"/>
  <c r="I169" i="5"/>
  <c r="J169" i="5"/>
  <c r="H169" i="5"/>
  <c r="B11" i="9"/>
  <c r="F11" i="9"/>
  <c r="U79" i="5"/>
  <c r="V79" i="5"/>
  <c r="T79" i="5"/>
  <c r="C76" i="14"/>
  <c r="G76" i="14" s="1"/>
  <c r="D76" i="14"/>
  <c r="E76" i="14" s="1"/>
  <c r="B76" i="14"/>
  <c r="F76" i="14" s="1"/>
  <c r="N80" i="5"/>
  <c r="L80" i="5"/>
  <c r="M80" i="5"/>
  <c r="H57" i="5"/>
  <c r="J57" i="5"/>
  <c r="I57" i="5"/>
  <c r="U47" i="5"/>
  <c r="T47" i="5"/>
  <c r="V47" i="5"/>
  <c r="R70" i="1"/>
  <c r="B93" i="14"/>
  <c r="F93" i="14" s="1"/>
  <c r="C93" i="14"/>
  <c r="G93" i="14" s="1"/>
  <c r="D93" i="14"/>
  <c r="E93" i="14" s="1"/>
  <c r="S156" i="5"/>
  <c r="AJ156" i="1"/>
  <c r="AM156" i="1"/>
  <c r="AK156" i="1"/>
  <c r="AL156" i="1"/>
  <c r="B24" i="14"/>
  <c r="F24" i="14" s="1"/>
  <c r="C24" i="14"/>
  <c r="G24" i="14" s="1"/>
  <c r="D24" i="14"/>
  <c r="E24" i="14" s="1"/>
  <c r="L70" i="5"/>
  <c r="N70" i="5"/>
  <c r="M70" i="5"/>
  <c r="AV241" i="3"/>
  <c r="BR232" i="1" s="1"/>
  <c r="AV227" i="3"/>
  <c r="BR246" i="1" s="1"/>
  <c r="H246" i="1" s="1"/>
  <c r="BG113" i="1"/>
  <c r="BP113" i="1" s="1" a="1"/>
  <c r="BP113" i="1" s="1"/>
  <c r="CD113" i="1"/>
  <c r="BU113" i="1"/>
  <c r="BF113" i="1"/>
  <c r="O31" i="5"/>
  <c r="AH31" i="1"/>
  <c r="AE31" i="1"/>
  <c r="AF31" i="1"/>
  <c r="AG31" i="1"/>
  <c r="C61" i="14"/>
  <c r="G61" i="14" s="1"/>
  <c r="D61" i="14"/>
  <c r="E61" i="14" s="1"/>
  <c r="B61" i="14"/>
  <c r="F61" i="14" s="1"/>
  <c r="AG194" i="1"/>
  <c r="AE194" i="1"/>
  <c r="BR194" i="1" s="1"/>
  <c r="AH194" i="1"/>
  <c r="AF194" i="1"/>
  <c r="O194" i="5"/>
  <c r="C110" i="14"/>
  <c r="G110" i="14" s="1"/>
  <c r="D110" i="14"/>
  <c r="E110" i="14" s="1"/>
  <c r="B110" i="14"/>
  <c r="F110" i="14" s="1"/>
  <c r="C56" i="14"/>
  <c r="G56" i="14" s="1"/>
  <c r="D56" i="14"/>
  <c r="E56" i="14" s="1"/>
  <c r="B56" i="14"/>
  <c r="F56" i="14" s="1"/>
  <c r="Y79" i="1"/>
  <c r="AA79" i="1"/>
  <c r="Z79" i="1"/>
  <c r="AB79" i="1"/>
  <c r="K79" i="5"/>
  <c r="C97" i="14"/>
  <c r="G97" i="14" s="1"/>
  <c r="D97" i="14"/>
  <c r="E97" i="14" s="1"/>
  <c r="B97" i="14"/>
  <c r="F97" i="14" s="1"/>
  <c r="C72" i="14"/>
  <c r="G72" i="14" s="1"/>
  <c r="B72" i="14"/>
  <c r="F72" i="14" s="1"/>
  <c r="D72" i="14"/>
  <c r="E72" i="14" s="1"/>
  <c r="B44" i="14"/>
  <c r="F44" i="14" s="1"/>
  <c r="D44" i="14"/>
  <c r="E44" i="14" s="1"/>
  <c r="C44" i="14"/>
  <c r="G44" i="14" s="1"/>
  <c r="Q6" i="9" s="1"/>
  <c r="T6" i="9" s="1"/>
  <c r="U6" i="9" s="1"/>
  <c r="AV101" i="3"/>
  <c r="BR101" i="1" s="1"/>
  <c r="F24" i="9"/>
  <c r="B24" i="9"/>
  <c r="J32" i="5"/>
  <c r="H32" i="5"/>
  <c r="I32" i="5"/>
  <c r="AE2" i="1"/>
  <c r="AG2" i="1"/>
  <c r="AH2" i="1"/>
  <c r="AF2" i="1"/>
  <c r="O2" i="5"/>
  <c r="D53" i="14"/>
  <c r="E53" i="14" s="1"/>
  <c r="B53" i="14"/>
  <c r="F53" i="14" s="1"/>
  <c r="C53" i="14"/>
  <c r="G53" i="14" s="1"/>
  <c r="B11" i="14"/>
  <c r="F11" i="14" s="1"/>
  <c r="C11" i="14"/>
  <c r="G11" i="14" s="1"/>
  <c r="D11" i="14"/>
  <c r="E11" i="14" s="1"/>
  <c r="D67" i="14"/>
  <c r="E67" i="14" s="1"/>
  <c r="C67" i="14"/>
  <c r="G67" i="14" s="1"/>
  <c r="B67" i="14"/>
  <c r="F67" i="14" s="1"/>
  <c r="B14" i="14"/>
  <c r="F14" i="14" s="1"/>
  <c r="C14" i="14"/>
  <c r="G14" i="14" s="1"/>
  <c r="D14" i="14"/>
  <c r="E14" i="14" s="1"/>
  <c r="H285" i="1"/>
  <c r="R6" i="1"/>
  <c r="L48" i="5"/>
  <c r="N48" i="5"/>
  <c r="M48" i="5"/>
  <c r="R91" i="1"/>
  <c r="AF15" i="1"/>
  <c r="AE15" i="1"/>
  <c r="AH15" i="1"/>
  <c r="AG15" i="1"/>
  <c r="O15" i="5"/>
  <c r="B116" i="14"/>
  <c r="F116" i="14" s="1"/>
  <c r="C116" i="14"/>
  <c r="G116" i="14" s="1"/>
  <c r="D116" i="14"/>
  <c r="E116" i="14" s="1"/>
  <c r="R137" i="1"/>
  <c r="R111" i="1"/>
  <c r="R118" i="1"/>
  <c r="AF76" i="1"/>
  <c r="O76" i="5"/>
  <c r="AG76" i="1"/>
  <c r="AH76" i="1"/>
  <c r="AE76" i="1"/>
  <c r="R66" i="1"/>
  <c r="R173" i="1"/>
  <c r="R33" i="1"/>
  <c r="B35" i="14"/>
  <c r="F35" i="14" s="1"/>
  <c r="D35" i="14"/>
  <c r="E35" i="14" s="1"/>
  <c r="C35" i="14"/>
  <c r="G35" i="14" s="1"/>
  <c r="V148" i="5"/>
  <c r="T148" i="5"/>
  <c r="U148" i="5"/>
  <c r="R20" i="1"/>
  <c r="D81" i="14"/>
  <c r="E81" i="14" s="1"/>
  <c r="B81" i="14"/>
  <c r="F81" i="14" s="1"/>
  <c r="C81" i="14"/>
  <c r="G81" i="14" s="1"/>
  <c r="U12" i="5"/>
  <c r="T12" i="5"/>
  <c r="V12" i="5"/>
  <c r="H148" i="5"/>
  <c r="I148" i="5"/>
  <c r="J148" i="5"/>
  <c r="O207" i="5"/>
  <c r="AG207" i="1"/>
  <c r="AF207" i="1"/>
  <c r="AH207" i="1"/>
  <c r="AE207" i="1"/>
  <c r="I119" i="5"/>
  <c r="H119" i="5"/>
  <c r="J119" i="5"/>
  <c r="U106" i="5"/>
  <c r="V106" i="5"/>
  <c r="T106" i="5"/>
  <c r="B20" i="9"/>
  <c r="F20" i="9"/>
  <c r="I117" i="5"/>
  <c r="J117" i="5"/>
  <c r="H117" i="5"/>
  <c r="T72" i="5"/>
  <c r="U72" i="5"/>
  <c r="V72" i="5"/>
  <c r="V146" i="5"/>
  <c r="U146" i="5"/>
  <c r="T146" i="5"/>
  <c r="J31" i="5"/>
  <c r="I31" i="5"/>
  <c r="H31" i="5"/>
  <c r="U172" i="5"/>
  <c r="T172" i="5"/>
  <c r="V172" i="5"/>
  <c r="C21" i="14"/>
  <c r="G21" i="14" s="1"/>
  <c r="B21" i="14"/>
  <c r="F21" i="14" s="1"/>
  <c r="D21" i="14"/>
  <c r="E21" i="14" s="1"/>
  <c r="H196" i="5"/>
  <c r="I196" i="5"/>
  <c r="J196" i="5"/>
  <c r="H188" i="5"/>
  <c r="J188" i="5"/>
  <c r="I188" i="5"/>
  <c r="J145" i="5"/>
  <c r="H145" i="5"/>
  <c r="I145" i="5"/>
  <c r="H320" i="1"/>
  <c r="N142" i="5"/>
  <c r="L142" i="5"/>
  <c r="M142" i="5"/>
  <c r="D29" i="14"/>
  <c r="E29" i="14" s="1"/>
  <c r="C29" i="14"/>
  <c r="G29" i="14" s="1"/>
  <c r="B29" i="14"/>
  <c r="F29" i="14" s="1"/>
  <c r="AF70" i="1"/>
  <c r="AH70" i="1"/>
  <c r="AG70" i="1"/>
  <c r="AE70" i="1"/>
  <c r="BR70" i="1" s="1"/>
  <c r="O70" i="5"/>
  <c r="C109" i="14"/>
  <c r="G109" i="14" s="1"/>
  <c r="D109" i="14"/>
  <c r="E109" i="14" s="1"/>
  <c r="B109" i="14"/>
  <c r="F109" i="14" s="1"/>
  <c r="C89" i="14"/>
  <c r="G89" i="14" s="1"/>
  <c r="D89" i="14"/>
  <c r="E89" i="14" s="1"/>
  <c r="B89" i="14"/>
  <c r="F89" i="14" s="1"/>
  <c r="D7" i="14"/>
  <c r="E7" i="14" s="1"/>
  <c r="B7" i="14"/>
  <c r="F7" i="14" s="1"/>
  <c r="C7" i="14"/>
  <c r="G7" i="14" s="1"/>
  <c r="R113" i="1"/>
  <c r="R110" i="1"/>
  <c r="AM28" i="1"/>
  <c r="AL28" i="1"/>
  <c r="S28" i="5"/>
  <c r="AJ28" i="1"/>
  <c r="AK28" i="1"/>
  <c r="CD79" i="1"/>
  <c r="BF79" i="1"/>
  <c r="BG79" i="1"/>
  <c r="BP79" i="1" s="1" a="1"/>
  <c r="BP79" i="1" s="1"/>
  <c r="BU79" i="1"/>
  <c r="F21" i="9"/>
  <c r="B21" i="9"/>
  <c r="C70" i="14"/>
  <c r="G70" i="14" s="1"/>
  <c r="B70" i="14"/>
  <c r="F70" i="14" s="1"/>
  <c r="D70" i="14"/>
  <c r="E70" i="14" s="1"/>
  <c r="C108" i="14"/>
  <c r="G108" i="14" s="1"/>
  <c r="D108" i="14"/>
  <c r="E108" i="14" s="1"/>
  <c r="B108" i="14"/>
  <c r="F108" i="14" s="1"/>
  <c r="H307" i="1"/>
  <c r="R2" i="1"/>
  <c r="J25" i="5"/>
  <c r="H25" i="5"/>
  <c r="I25" i="5"/>
  <c r="B75" i="14"/>
  <c r="F75" i="14" s="1"/>
  <c r="C75" i="14"/>
  <c r="G75" i="14" s="1"/>
  <c r="D75" i="14"/>
  <c r="E75" i="14" s="1"/>
  <c r="R147" i="1"/>
  <c r="O6" i="5"/>
  <c r="AE6" i="1"/>
  <c r="AG6" i="1"/>
  <c r="AH6" i="1"/>
  <c r="AF6" i="1"/>
  <c r="AE91" i="1"/>
  <c r="AH91" i="1"/>
  <c r="AF91" i="1"/>
  <c r="O91" i="5"/>
  <c r="AG91" i="1"/>
  <c r="C79" i="14"/>
  <c r="G79" i="14" s="1"/>
  <c r="D79" i="14"/>
  <c r="E79" i="14" s="1"/>
  <c r="B79" i="14"/>
  <c r="F79" i="14" s="1"/>
  <c r="B27" i="14"/>
  <c r="F27" i="14" s="1"/>
  <c r="D27" i="14"/>
  <c r="E27" i="14" s="1"/>
  <c r="C27" i="14"/>
  <c r="G27" i="14" s="1"/>
  <c r="C42" i="14"/>
  <c r="G42" i="14" s="1"/>
  <c r="Q5" i="9" s="1"/>
  <c r="T5" i="9" s="1"/>
  <c r="U5" i="9" s="1"/>
  <c r="D42" i="14"/>
  <c r="E42" i="14" s="1"/>
  <c r="B42" i="14"/>
  <c r="F42" i="14" s="1"/>
  <c r="I42" i="5"/>
  <c r="J42" i="5"/>
  <c r="H42" i="5"/>
  <c r="O111" i="5"/>
  <c r="AH111" i="1"/>
  <c r="AG111" i="1"/>
  <c r="AF111" i="1"/>
  <c r="AE111" i="1"/>
  <c r="U13" i="1"/>
  <c r="T13" i="1"/>
  <c r="W13" i="1"/>
  <c r="G13" i="5"/>
  <c r="V13" i="1"/>
  <c r="BF4" i="1"/>
  <c r="BG4" i="1" s="1"/>
  <c r="BP4" i="1" s="1" a="1"/>
  <c r="BP4" i="1" s="1"/>
  <c r="BU4" i="1"/>
  <c r="CD4" i="1"/>
  <c r="R25" i="1"/>
  <c r="T30" i="5"/>
  <c r="V30" i="5"/>
  <c r="U30" i="5"/>
  <c r="BW218" i="1"/>
  <c r="H218" i="1"/>
  <c r="H236" i="1"/>
  <c r="BW236" i="1"/>
  <c r="N128" i="5"/>
  <c r="M128" i="5"/>
  <c r="L128" i="5"/>
  <c r="AE131" i="1"/>
  <c r="AH131" i="1"/>
  <c r="AG131" i="1"/>
  <c r="O131" i="5"/>
  <c r="AF131" i="1"/>
  <c r="R65" i="1"/>
  <c r="O12" i="5"/>
  <c r="AG12" i="1"/>
  <c r="AH12" i="1"/>
  <c r="AF12" i="1"/>
  <c r="AE12" i="1"/>
  <c r="AE83" i="1"/>
  <c r="AG83" i="1"/>
  <c r="O83" i="5"/>
  <c r="AF83" i="1"/>
  <c r="AH83" i="1"/>
  <c r="O129" i="5"/>
  <c r="AF129" i="1"/>
  <c r="AH129" i="1"/>
  <c r="AE129" i="1"/>
  <c r="AG129" i="1"/>
  <c r="R68" i="1"/>
  <c r="O36" i="5"/>
  <c r="AE36" i="1"/>
  <c r="AG36" i="1"/>
  <c r="AF36" i="1"/>
  <c r="AH36" i="1"/>
  <c r="O118" i="5"/>
  <c r="AE118" i="1"/>
  <c r="AF118" i="1"/>
  <c r="AG118" i="1"/>
  <c r="AH118" i="1"/>
  <c r="BF58" i="1"/>
  <c r="BG58" i="1" s="1"/>
  <c r="BP58" i="1" s="1" a="1"/>
  <c r="BP58" i="1" s="1"/>
  <c r="BU58" i="1"/>
  <c r="CD58" i="1"/>
  <c r="BF86" i="1"/>
  <c r="CD86" i="1"/>
  <c r="BU86" i="1"/>
  <c r="BG86" i="1"/>
  <c r="BP86" i="1" s="1" a="1"/>
  <c r="BP86" i="1" s="1"/>
  <c r="AG62" i="1"/>
  <c r="AH62" i="1"/>
  <c r="AE62" i="1"/>
  <c r="AF62" i="1"/>
  <c r="O62" i="5"/>
  <c r="O66" i="5"/>
  <c r="AG66" i="1"/>
  <c r="AF66" i="1"/>
  <c r="AE66" i="1"/>
  <c r="AH66" i="1"/>
  <c r="AJ90" i="1"/>
  <c r="AM90" i="1"/>
  <c r="S90" i="5"/>
  <c r="AL90" i="1"/>
  <c r="AK90" i="1"/>
  <c r="R170" i="1"/>
  <c r="BG100" i="1"/>
  <c r="BP100" i="1" s="1" a="1"/>
  <c r="BP100" i="1" s="1"/>
  <c r="CD100" i="1"/>
  <c r="BU100" i="1"/>
  <c r="BF100" i="1"/>
  <c r="G21" i="5"/>
  <c r="U21" i="1"/>
  <c r="V21" i="1"/>
  <c r="T21" i="1"/>
  <c r="W21" i="1"/>
  <c r="AE41" i="1"/>
  <c r="O41" i="5"/>
  <c r="AH41" i="1"/>
  <c r="AF41" i="1"/>
  <c r="AG41" i="1"/>
  <c r="O25" i="5"/>
  <c r="AH25" i="1"/>
  <c r="AG25" i="1"/>
  <c r="AE25" i="1"/>
  <c r="AF25" i="1"/>
  <c r="H159" i="5"/>
  <c r="I159" i="5"/>
  <c r="J159" i="5"/>
  <c r="AH33" i="1"/>
  <c r="AG33" i="1"/>
  <c r="AF33" i="1"/>
  <c r="AE33" i="1"/>
  <c r="O33" i="5"/>
  <c r="F40" i="9"/>
  <c r="B40" i="9"/>
  <c r="R71" i="1"/>
  <c r="U58" i="5"/>
  <c r="T58" i="5"/>
  <c r="V58" i="5"/>
  <c r="AE20" i="1"/>
  <c r="AF20" i="1"/>
  <c r="AG20" i="1"/>
  <c r="AH20" i="1"/>
  <c r="O20" i="5"/>
  <c r="U34" i="5"/>
  <c r="V34" i="5"/>
  <c r="T34" i="5"/>
  <c r="Y207" i="1"/>
  <c r="K207" i="5"/>
  <c r="AA207" i="1"/>
  <c r="AB207" i="1"/>
  <c r="Z207" i="1"/>
  <c r="J90" i="5"/>
  <c r="I90" i="5"/>
  <c r="H90" i="5"/>
  <c r="U35" i="5"/>
  <c r="T35" i="5"/>
  <c r="V35" i="5"/>
  <c r="B84" i="14"/>
  <c r="F84" i="14" s="1"/>
  <c r="D84" i="14"/>
  <c r="E84" i="14" s="1"/>
  <c r="C84" i="14"/>
  <c r="G84" i="14" s="1"/>
  <c r="J30" i="5"/>
  <c r="H30" i="5"/>
  <c r="I30" i="5"/>
  <c r="U112" i="5"/>
  <c r="V112" i="5"/>
  <c r="T112" i="5"/>
  <c r="H160" i="5"/>
  <c r="J160" i="5"/>
  <c r="I160" i="5"/>
  <c r="H101" i="5"/>
  <c r="J101" i="5"/>
  <c r="I101" i="5"/>
  <c r="BW208" i="1"/>
  <c r="C118" i="14"/>
  <c r="G118" i="14" s="1"/>
  <c r="D118" i="14"/>
  <c r="E118" i="14" s="1"/>
  <c r="B118" i="14"/>
  <c r="F118" i="14" s="1"/>
  <c r="U107" i="5"/>
  <c r="T107" i="5"/>
  <c r="V107" i="5"/>
  <c r="T122" i="5"/>
  <c r="V122" i="5"/>
  <c r="U122" i="5"/>
  <c r="CD143" i="1"/>
  <c r="BF143" i="1"/>
  <c r="BG143" i="1" s="1"/>
  <c r="BP143" i="1" s="1" a="1"/>
  <c r="BP143" i="1" s="1"/>
  <c r="BU143" i="1"/>
  <c r="B5" i="14"/>
  <c r="F5" i="14" s="1"/>
  <c r="D5" i="14"/>
  <c r="E5" i="14" s="1"/>
  <c r="C5" i="14"/>
  <c r="G5" i="14" s="1"/>
  <c r="O156" i="5"/>
  <c r="AH156" i="1"/>
  <c r="AE156" i="1"/>
  <c r="AF156" i="1"/>
  <c r="AG156" i="1"/>
  <c r="J153" i="5"/>
  <c r="I153" i="5"/>
  <c r="H153" i="5"/>
  <c r="T113" i="5"/>
  <c r="U113" i="5"/>
  <c r="V113" i="5"/>
  <c r="D3" i="14"/>
  <c r="E3" i="14" s="1"/>
  <c r="C3" i="14"/>
  <c r="G3" i="14" s="1"/>
  <c r="B3" i="14"/>
  <c r="F3" i="14" s="1"/>
  <c r="L125" i="5"/>
  <c r="N125" i="5"/>
  <c r="M125" i="5"/>
  <c r="AV127" i="3"/>
  <c r="AV185" i="3"/>
  <c r="H224" i="1"/>
  <c r="AV214" i="3"/>
  <c r="BR297" i="1" s="1"/>
  <c r="B96" i="14"/>
  <c r="F96" i="14" s="1"/>
  <c r="C96" i="14"/>
  <c r="G96" i="14" s="1"/>
  <c r="D96" i="14"/>
  <c r="E96" i="14" s="1"/>
  <c r="O113" i="5"/>
  <c r="AE113" i="1"/>
  <c r="AH113" i="1"/>
  <c r="AF113" i="1"/>
  <c r="AG113" i="1"/>
  <c r="BF28" i="1"/>
  <c r="BU28" i="1"/>
  <c r="CD28" i="1"/>
  <c r="BG28" i="1"/>
  <c r="BP28" i="1" s="1" a="1"/>
  <c r="BP28" i="1" s="1"/>
  <c r="BF141" i="1"/>
  <c r="BG141" i="1" s="1"/>
  <c r="BP141" i="1" s="1" a="1"/>
  <c r="BP141" i="1" s="1"/>
  <c r="CD141" i="1"/>
  <c r="BU141" i="1"/>
  <c r="S120" i="5"/>
  <c r="AK120" i="1"/>
  <c r="AJ120" i="1"/>
  <c r="AL120" i="1"/>
  <c r="AM120" i="1"/>
  <c r="CD142" i="1"/>
  <c r="BU142" i="1"/>
  <c r="BF142" i="1"/>
  <c r="BG142" i="1" s="1"/>
  <c r="BP142" i="1" s="1" a="1"/>
  <c r="BP142" i="1" s="1"/>
  <c r="C25" i="14"/>
  <c r="G25" i="14" s="1"/>
  <c r="B25" i="14"/>
  <c r="F25" i="14" s="1"/>
  <c r="D25" i="14"/>
  <c r="E25" i="14" s="1"/>
  <c r="B64" i="14"/>
  <c r="F64" i="14" s="1"/>
  <c r="C64" i="14"/>
  <c r="G64" i="14" s="1"/>
  <c r="D64" i="14"/>
  <c r="E64" i="14" s="1"/>
  <c r="R44" i="5"/>
  <c r="P44" i="5"/>
  <c r="Q44" i="5"/>
  <c r="F19" i="9"/>
  <c r="B19" i="9"/>
  <c r="N51" i="5"/>
  <c r="O147" i="5"/>
  <c r="AE147" i="1"/>
  <c r="AF147" i="1"/>
  <c r="AG147" i="1"/>
  <c r="AH147" i="1"/>
  <c r="BU136" i="1"/>
  <c r="BF136" i="1"/>
  <c r="BG136" i="1"/>
  <c r="BP136" i="1" s="1" a="1"/>
  <c r="BP136" i="1" s="1"/>
  <c r="CD136" i="1"/>
  <c r="C107" i="14"/>
  <c r="G107" i="14" s="1"/>
  <c r="B107" i="14"/>
  <c r="F107" i="14" s="1"/>
  <c r="D107" i="14"/>
  <c r="E107" i="14" s="1"/>
  <c r="B22" i="14"/>
  <c r="F22" i="14" s="1"/>
  <c r="D22" i="14"/>
  <c r="E22" i="14" s="1"/>
  <c r="C22" i="14"/>
  <c r="G22" i="14" s="1"/>
  <c r="AF13" i="1"/>
  <c r="AE13" i="1"/>
  <c r="O13" i="5"/>
  <c r="AG13" i="1"/>
  <c r="AH13" i="1"/>
  <c r="H211" i="1"/>
  <c r="L170" i="5"/>
  <c r="M170" i="5"/>
  <c r="N170" i="5"/>
  <c r="AG65" i="1"/>
  <c r="AH65" i="1"/>
  <c r="O65" i="5"/>
  <c r="AE65" i="1"/>
  <c r="AF65" i="1"/>
  <c r="R12" i="1"/>
  <c r="R129" i="1"/>
  <c r="AE126" i="1"/>
  <c r="AG126" i="1"/>
  <c r="O126" i="5"/>
  <c r="AF126" i="1"/>
  <c r="AH126" i="1"/>
  <c r="R168" i="5"/>
  <c r="Q168" i="5"/>
  <c r="P168" i="5"/>
  <c r="BW267" i="1"/>
  <c r="H267" i="1"/>
  <c r="AG170" i="1"/>
  <c r="O170" i="5"/>
  <c r="AE170" i="1"/>
  <c r="AF170" i="1"/>
  <c r="AH170" i="1"/>
  <c r="AE21" i="1"/>
  <c r="O21" i="5"/>
  <c r="AG21" i="1"/>
  <c r="AH21" i="1"/>
  <c r="AF21" i="1"/>
  <c r="BG46" i="1"/>
  <c r="BP46" i="1" s="1" a="1"/>
  <c r="BP46" i="1" s="1"/>
  <c r="CD46" i="1"/>
  <c r="BF46" i="1"/>
  <c r="BU46" i="1"/>
  <c r="AZ46" i="1"/>
  <c r="R41" i="1"/>
  <c r="AM132" i="1"/>
  <c r="AL132" i="1"/>
  <c r="AJ132" i="1"/>
  <c r="AK132" i="1"/>
  <c r="S132" i="5"/>
  <c r="H99" i="5"/>
  <c r="J99" i="5"/>
  <c r="I99" i="5"/>
  <c r="BU127" i="1"/>
  <c r="BF127" i="1"/>
  <c r="CD127" i="1"/>
  <c r="BG127" i="1"/>
  <c r="BP127" i="1" s="1" a="1"/>
  <c r="BP127" i="1" s="1"/>
  <c r="CD134" i="1"/>
  <c r="BF134" i="1"/>
  <c r="BG134" i="1" s="1"/>
  <c r="BP134" i="1" s="1" a="1"/>
  <c r="BP134" i="1" s="1"/>
  <c r="BU134" i="1"/>
  <c r="AF71" i="1"/>
  <c r="O71" i="5"/>
  <c r="AG71" i="1"/>
  <c r="AE71" i="1"/>
  <c r="AH71" i="1"/>
  <c r="AH64" i="1"/>
  <c r="O64" i="5"/>
  <c r="AF64" i="1"/>
  <c r="AG64" i="1"/>
  <c r="AE64" i="1"/>
  <c r="V86" i="5"/>
  <c r="U86" i="5"/>
  <c r="T86" i="5"/>
  <c r="BF166" i="1"/>
  <c r="BG166" i="1" s="1"/>
  <c r="BP166" i="1" s="1" a="1"/>
  <c r="BP166" i="1" s="1"/>
  <c r="BU166" i="1"/>
  <c r="CD166" i="1"/>
  <c r="H204" i="5"/>
  <c r="J204" i="5"/>
  <c r="I204" i="5"/>
  <c r="J62" i="5"/>
  <c r="H62" i="5"/>
  <c r="I62" i="5"/>
  <c r="I58" i="5"/>
  <c r="H58" i="5"/>
  <c r="J58" i="5"/>
  <c r="H17" i="5"/>
  <c r="J17" i="5"/>
  <c r="I17" i="5"/>
  <c r="R161" i="1"/>
  <c r="J55" i="5"/>
  <c r="H55" i="5"/>
  <c r="I55" i="5"/>
  <c r="U190" i="5"/>
  <c r="V190" i="5"/>
  <c r="T190" i="5"/>
  <c r="H210" i="1"/>
  <c r="I24" i="5"/>
  <c r="J24" i="5"/>
  <c r="H24" i="5"/>
  <c r="I134" i="5"/>
  <c r="J134" i="5"/>
  <c r="H134" i="5"/>
  <c r="S74" i="5"/>
  <c r="AL74" i="1"/>
  <c r="AM74" i="1"/>
  <c r="AJ74" i="1"/>
  <c r="AK74" i="1"/>
  <c r="BU159" i="1"/>
  <c r="CD159" i="1"/>
  <c r="BF159" i="1"/>
  <c r="BG159" i="1" s="1"/>
  <c r="BP159" i="1" s="1" a="1"/>
  <c r="BP159" i="1" s="1"/>
  <c r="AH16" i="1"/>
  <c r="AE16" i="1"/>
  <c r="AG16" i="1"/>
  <c r="O16" i="5"/>
  <c r="AF16" i="1"/>
  <c r="R156" i="1"/>
  <c r="AK153" i="1"/>
  <c r="AJ153" i="1"/>
  <c r="AM153" i="1"/>
  <c r="S153" i="5"/>
  <c r="AL153" i="1"/>
  <c r="AV122" i="3"/>
  <c r="I47" i="5"/>
  <c r="H47" i="5"/>
  <c r="J47" i="5"/>
  <c r="N27" i="5"/>
  <c r="M27" i="5"/>
  <c r="L27" i="5"/>
  <c r="D86" i="14"/>
  <c r="E86" i="14" s="1"/>
  <c r="B86" i="14"/>
  <c r="F86" i="14" s="1"/>
  <c r="C86" i="14"/>
  <c r="G86" i="14" s="1"/>
  <c r="R28" i="1"/>
  <c r="R141" i="1"/>
  <c r="H22" i="5"/>
  <c r="I22" i="5"/>
  <c r="J22" i="5"/>
  <c r="B95" i="14"/>
  <c r="F95" i="14" s="1"/>
  <c r="C95" i="14"/>
  <c r="G95" i="14" s="1"/>
  <c r="D95" i="14"/>
  <c r="E95" i="14" s="1"/>
  <c r="T101" i="5"/>
  <c r="V101" i="5"/>
  <c r="U101" i="5"/>
  <c r="O154" i="5"/>
  <c r="AF154" i="1"/>
  <c r="AG154" i="1"/>
  <c r="AH154" i="1"/>
  <c r="AE154" i="1"/>
  <c r="BG120" i="1"/>
  <c r="BP120" i="1" s="1" a="1"/>
  <c r="BP120" i="1" s="1"/>
  <c r="BU120" i="1"/>
  <c r="CD120" i="1"/>
  <c r="BF120" i="1"/>
  <c r="R142" i="1"/>
  <c r="BU115" i="1"/>
  <c r="CD115" i="1"/>
  <c r="BG115" i="1"/>
  <c r="BP115" i="1" s="1" a="1"/>
  <c r="BP115" i="1" s="1"/>
  <c r="BF115" i="1"/>
  <c r="B13" i="9"/>
  <c r="F13" i="9"/>
  <c r="I49" i="5"/>
  <c r="H49" i="5"/>
  <c r="J49" i="5"/>
  <c r="AL187" i="1"/>
  <c r="S187" i="5"/>
  <c r="AK187" i="1"/>
  <c r="AJ187" i="1"/>
  <c r="AM187" i="1"/>
  <c r="C43" i="14"/>
  <c r="G43" i="14" s="1"/>
  <c r="L2" i="9" s="1"/>
  <c r="N2" i="9" s="1"/>
  <c r="B43" i="14"/>
  <c r="F43" i="14" s="1"/>
  <c r="D43" i="14"/>
  <c r="E43" i="14" s="1"/>
  <c r="C117" i="14"/>
  <c r="G117" i="14" s="1"/>
  <c r="H117" i="14" s="1"/>
  <c r="I117" i="14" s="1"/>
  <c r="J117" i="14" s="1"/>
  <c r="B78" i="14"/>
  <c r="F78" i="14" s="1"/>
  <c r="D78" i="14"/>
  <c r="E78" i="14" s="1"/>
  <c r="C78" i="14"/>
  <c r="G78" i="14" s="1"/>
  <c r="R149" i="1"/>
  <c r="R50" i="5"/>
  <c r="P50" i="5"/>
  <c r="Q50" i="5"/>
  <c r="O136" i="5"/>
  <c r="AH136" i="1"/>
  <c r="AE136" i="1"/>
  <c r="AF136" i="1"/>
  <c r="AG136" i="1"/>
  <c r="S157" i="5"/>
  <c r="AL157" i="1"/>
  <c r="AK157" i="1"/>
  <c r="AM157" i="1"/>
  <c r="AJ157" i="1"/>
  <c r="M115" i="5"/>
  <c r="N115" i="5"/>
  <c r="L115" i="5"/>
  <c r="C112" i="14"/>
  <c r="G112" i="14" s="1"/>
  <c r="B112" i="14"/>
  <c r="F112" i="14" s="1"/>
  <c r="D112" i="14"/>
  <c r="E112" i="14" s="1"/>
  <c r="R135" i="1"/>
  <c r="H8" i="5"/>
  <c r="I8" i="5"/>
  <c r="J8" i="5"/>
  <c r="BF63" i="1"/>
  <c r="BU63" i="1"/>
  <c r="CD63" i="1"/>
  <c r="BG63" i="1"/>
  <c r="BP63" i="1" s="1" a="1"/>
  <c r="BP63" i="1" s="1"/>
  <c r="R13" i="1"/>
  <c r="R93" i="1"/>
  <c r="BR93" i="1" s="1"/>
  <c r="BU109" i="1"/>
  <c r="BF109" i="1"/>
  <c r="BG109" i="1" s="1"/>
  <c r="BP109" i="1" s="1" a="1"/>
  <c r="BP109" i="1" s="1"/>
  <c r="CD109" i="1"/>
  <c r="R132" i="1"/>
  <c r="H166" i="5"/>
  <c r="I166" i="5"/>
  <c r="J166" i="5"/>
  <c r="R127" i="1"/>
  <c r="I193" i="5"/>
  <c r="H193" i="5"/>
  <c r="J193" i="5"/>
  <c r="R64" i="1"/>
  <c r="AE57" i="1"/>
  <c r="O57" i="5"/>
  <c r="AH57" i="1"/>
  <c r="AF57" i="1"/>
  <c r="AG57" i="1"/>
  <c r="R209" i="5"/>
  <c r="Q209" i="5"/>
  <c r="P209" i="5"/>
  <c r="V200" i="5"/>
  <c r="T200" i="5"/>
  <c r="U200" i="5"/>
  <c r="U8" i="5"/>
  <c r="V8" i="5"/>
  <c r="T8" i="5"/>
  <c r="R166" i="1"/>
  <c r="BR166" i="1" s="1"/>
  <c r="I126" i="5"/>
  <c r="H126" i="5"/>
  <c r="J126" i="5"/>
  <c r="BF27" i="1"/>
  <c r="BU27" i="1"/>
  <c r="CD27" i="1"/>
  <c r="BG27" i="1"/>
  <c r="BP27" i="1" s="1" a="1"/>
  <c r="BP27" i="1" s="1"/>
  <c r="BW27" i="1"/>
  <c r="F39" i="9"/>
  <c r="B39" i="9"/>
  <c r="H81" i="5"/>
  <c r="J81" i="5"/>
  <c r="I81" i="5"/>
  <c r="T145" i="5"/>
  <c r="U145" i="5"/>
  <c r="V145" i="5"/>
  <c r="AH161" i="1"/>
  <c r="AE161" i="1"/>
  <c r="AF161" i="1"/>
  <c r="O161" i="5"/>
  <c r="AG161" i="1"/>
  <c r="J103" i="5"/>
  <c r="I103" i="5"/>
  <c r="H103" i="5"/>
  <c r="C33" i="14"/>
  <c r="G33" i="14" s="1"/>
  <c r="B33" i="14"/>
  <c r="F33" i="14" s="1"/>
  <c r="D33" i="14"/>
  <c r="E33" i="14" s="1"/>
  <c r="H83" i="5"/>
  <c r="J83" i="5"/>
  <c r="I83" i="5"/>
  <c r="V162" i="5"/>
  <c r="U162" i="5"/>
  <c r="T162" i="5"/>
  <c r="BF74" i="1"/>
  <c r="CD74" i="1"/>
  <c r="BG74" i="1"/>
  <c r="BP74" i="1" s="1" a="1"/>
  <c r="BP74" i="1" s="1"/>
  <c r="BU74" i="1"/>
  <c r="I39" i="5"/>
  <c r="J39" i="5"/>
  <c r="H39" i="5"/>
  <c r="R143" i="1"/>
  <c r="BR143" i="1" s="1"/>
  <c r="H143" i="1" s="1"/>
  <c r="R16" i="1"/>
  <c r="H308" i="1"/>
  <c r="H176" i="1"/>
  <c r="H242" i="1"/>
  <c r="H296" i="1"/>
  <c r="H295" i="1"/>
  <c r="H322" i="1"/>
  <c r="H286" i="1"/>
  <c r="F2" i="9"/>
  <c r="B2" i="9"/>
  <c r="H335" i="1"/>
  <c r="H301" i="1"/>
  <c r="H254" i="1"/>
  <c r="H326" i="1"/>
  <c r="H243" i="1"/>
  <c r="H328" i="1"/>
  <c r="H212" i="1"/>
  <c r="H284" i="1"/>
  <c r="H304" i="1"/>
  <c r="H330" i="1"/>
  <c r="H302" i="1"/>
  <c r="H321" i="1"/>
  <c r="H237" i="1"/>
  <c r="H325" i="1"/>
  <c r="U102" i="5"/>
  <c r="T102" i="5"/>
  <c r="V102" i="5"/>
  <c r="BF153" i="1"/>
  <c r="BG153" i="1" s="1"/>
  <c r="BP153" i="1" s="1" a="1"/>
  <c r="BP153" i="1" s="1"/>
  <c r="CD153" i="1"/>
  <c r="BU153" i="1"/>
  <c r="R52" i="1"/>
  <c r="AV225" i="3"/>
  <c r="BR244" i="1" s="1"/>
  <c r="AV270" i="3"/>
  <c r="BR217" i="1" s="1"/>
  <c r="N194" i="5"/>
  <c r="L194" i="5"/>
  <c r="M194" i="5"/>
  <c r="O141" i="5"/>
  <c r="AG141" i="1"/>
  <c r="AE141" i="1"/>
  <c r="AF141" i="1"/>
  <c r="AH141" i="1"/>
  <c r="R154" i="1"/>
  <c r="AF142" i="1"/>
  <c r="O142" i="5"/>
  <c r="AH142" i="1"/>
  <c r="AE142" i="1"/>
  <c r="AG142" i="1"/>
  <c r="C87" i="14"/>
  <c r="G87" i="14" s="1"/>
  <c r="D87" i="14"/>
  <c r="E87" i="14" s="1"/>
  <c r="B87" i="14"/>
  <c r="F87" i="14" s="1"/>
  <c r="B92" i="14"/>
  <c r="F92" i="14" s="1"/>
  <c r="C92" i="14"/>
  <c r="G92" i="14" s="1"/>
  <c r="D92" i="14"/>
  <c r="E92" i="14" s="1"/>
  <c r="R26" i="1"/>
  <c r="AM75" i="1"/>
  <c r="AL75" i="1"/>
  <c r="AK75" i="1"/>
  <c r="AJ75" i="1"/>
  <c r="S75" i="5"/>
  <c r="D28" i="14"/>
  <c r="E28" i="14" s="1"/>
  <c r="B28" i="14"/>
  <c r="F28" i="14" s="1"/>
  <c r="C28" i="14"/>
  <c r="G28" i="14" s="1"/>
  <c r="Q4" i="9" s="1"/>
  <c r="T4" i="9" s="1"/>
  <c r="U4" i="9" s="1"/>
  <c r="J96" i="5"/>
  <c r="AV80" i="3"/>
  <c r="BR80" i="1" s="1"/>
  <c r="H80" i="1" s="1"/>
  <c r="B106" i="14"/>
  <c r="F106" i="14" s="1"/>
  <c r="C106" i="14"/>
  <c r="G106" i="14" s="1"/>
  <c r="D106" i="14"/>
  <c r="E106" i="14" s="1"/>
  <c r="I49" i="14"/>
  <c r="J49" i="14" s="1"/>
  <c r="O92" i="5"/>
  <c r="AH92" i="1"/>
  <c r="AE92" i="1"/>
  <c r="AG92" i="1"/>
  <c r="AF92" i="1"/>
  <c r="O149" i="5"/>
  <c r="AH149" i="1"/>
  <c r="AE149" i="1"/>
  <c r="AF149" i="1"/>
  <c r="AG149" i="1"/>
  <c r="C105" i="14"/>
  <c r="G105" i="14" s="1"/>
  <c r="B105" i="14"/>
  <c r="F105" i="14" s="1"/>
  <c r="D105" i="14"/>
  <c r="E105" i="14" s="1"/>
  <c r="N25" i="5"/>
  <c r="M25" i="5"/>
  <c r="L25" i="5"/>
  <c r="R136" i="1"/>
  <c r="BU124" i="1"/>
  <c r="BG124" i="1"/>
  <c r="BP124" i="1" s="1" a="1"/>
  <c r="BP124" i="1" s="1"/>
  <c r="CD124" i="1"/>
  <c r="BF124" i="1"/>
  <c r="J79" i="5"/>
  <c r="AE135" i="1"/>
  <c r="AF135" i="1"/>
  <c r="AH135" i="1"/>
  <c r="O135" i="5"/>
  <c r="AG135" i="1"/>
  <c r="G63" i="5"/>
  <c r="U63" i="1"/>
  <c r="T63" i="1"/>
  <c r="V63" i="1"/>
  <c r="W63" i="1"/>
  <c r="C54" i="14"/>
  <c r="G54" i="14" s="1"/>
  <c r="B54" i="14"/>
  <c r="F54" i="14" s="1"/>
  <c r="D54" i="14"/>
  <c r="E54" i="14" s="1"/>
  <c r="H334" i="1"/>
  <c r="BW316" i="1" l="1"/>
  <c r="BW228" i="1"/>
  <c r="BR8" i="1"/>
  <c r="BR56" i="1"/>
  <c r="N209" i="5"/>
  <c r="I72" i="5"/>
  <c r="H257" i="1"/>
  <c r="U89" i="5"/>
  <c r="BR149" i="1"/>
  <c r="J164" i="5"/>
  <c r="I164" i="5"/>
  <c r="M50" i="5"/>
  <c r="BR53" i="1"/>
  <c r="H53" i="1" s="1"/>
  <c r="BR173" i="1"/>
  <c r="H173" i="1" s="1"/>
  <c r="BR112" i="1"/>
  <c r="H112" i="1" s="1"/>
  <c r="M44" i="5"/>
  <c r="V105" i="5"/>
  <c r="H72" i="5"/>
  <c r="BW262" i="1"/>
  <c r="N53" i="5"/>
  <c r="U105" i="5"/>
  <c r="BW44" i="1"/>
  <c r="H44" i="1"/>
  <c r="L44" i="5"/>
  <c r="M112" i="5"/>
  <c r="L112" i="5"/>
  <c r="I79" i="5"/>
  <c r="H79" i="5"/>
  <c r="BR159" i="1"/>
  <c r="H159" i="1" s="1"/>
  <c r="BR12" i="1"/>
  <c r="BR52" i="1"/>
  <c r="H52" i="1" s="1"/>
  <c r="BR26" i="1"/>
  <c r="H26" i="1" s="1"/>
  <c r="BR10" i="1"/>
  <c r="I38" i="14"/>
  <c r="J38" i="14" s="1"/>
  <c r="BR140" i="1"/>
  <c r="H140" i="1" s="1"/>
  <c r="BR132" i="1"/>
  <c r="H27" i="14"/>
  <c r="H209" i="5"/>
  <c r="I209" i="5"/>
  <c r="H50" i="1"/>
  <c r="V154" i="5"/>
  <c r="U154" i="5"/>
  <c r="BR153" i="1"/>
  <c r="BR41" i="1"/>
  <c r="BW209" i="1"/>
  <c r="BR37" i="1"/>
  <c r="H37" i="1" s="1"/>
  <c r="H5" i="14"/>
  <c r="BW288" i="1"/>
  <c r="BR193" i="1"/>
  <c r="BR127" i="1"/>
  <c r="H127" i="1" s="1"/>
  <c r="BR110" i="1"/>
  <c r="BR169" i="1"/>
  <c r="H169" i="1" s="1"/>
  <c r="BR130" i="1"/>
  <c r="BW227" i="1"/>
  <c r="I118" i="5"/>
  <c r="J118" i="5"/>
  <c r="H118" i="5"/>
  <c r="BR27" i="1"/>
  <c r="H27" i="1" s="1"/>
  <c r="BR24" i="1"/>
  <c r="H24" i="1" s="1"/>
  <c r="BR196" i="1"/>
  <c r="H196" i="1" s="1"/>
  <c r="BR172" i="1"/>
  <c r="H172" i="1" s="1"/>
  <c r="BW116" i="1"/>
  <c r="BW258" i="1"/>
  <c r="BR60" i="1"/>
  <c r="BW60" i="1" s="1"/>
  <c r="BR138" i="1"/>
  <c r="H138" i="1" s="1"/>
  <c r="BR89" i="1"/>
  <c r="BR108" i="1"/>
  <c r="H108" i="1" s="1"/>
  <c r="H49" i="1"/>
  <c r="BW49" i="1"/>
  <c r="BR117" i="1"/>
  <c r="BW117" i="1" s="1"/>
  <c r="BR86" i="1"/>
  <c r="H86" i="1" s="1"/>
  <c r="H77" i="14"/>
  <c r="BR64" i="1"/>
  <c r="H64" i="1" s="1"/>
  <c r="BR168" i="1"/>
  <c r="H168" i="1" s="1"/>
  <c r="BR164" i="1"/>
  <c r="H164" i="1" s="1"/>
  <c r="BW97" i="1"/>
  <c r="BR125" i="1"/>
  <c r="H125" i="1" s="1"/>
  <c r="BR184" i="1"/>
  <c r="BW184" i="1" s="1"/>
  <c r="BR14" i="1"/>
  <c r="H14" i="1" s="1"/>
  <c r="M49" i="5"/>
  <c r="N49" i="5"/>
  <c r="L49" i="5"/>
  <c r="BR113" i="1"/>
  <c r="H113" i="1" s="1"/>
  <c r="H26" i="14"/>
  <c r="H102" i="1"/>
  <c r="BW102" i="1"/>
  <c r="BR90" i="1"/>
  <c r="H90" i="1" s="1"/>
  <c r="BR121" i="1"/>
  <c r="H121" i="1" s="1"/>
  <c r="BR9" i="1"/>
  <c r="H9" i="1" s="1"/>
  <c r="BR30" i="1"/>
  <c r="BW30" i="1" s="1"/>
  <c r="BR6" i="1"/>
  <c r="BR79" i="1"/>
  <c r="BR205" i="1"/>
  <c r="H205" i="1" s="1"/>
  <c r="H59" i="14"/>
  <c r="I59" i="14" s="1"/>
  <c r="J59" i="14" s="1"/>
  <c r="BR100" i="1"/>
  <c r="H100" i="1" s="1"/>
  <c r="BR17" i="1"/>
  <c r="BW51" i="1"/>
  <c r="BR144" i="1"/>
  <c r="I97" i="5"/>
  <c r="H97" i="5"/>
  <c r="J97" i="5"/>
  <c r="BR161" i="1"/>
  <c r="H161" i="1" s="1"/>
  <c r="BR156" i="1"/>
  <c r="H156" i="1" s="1"/>
  <c r="BR66" i="1"/>
  <c r="H56" i="14"/>
  <c r="I56" i="14" s="1"/>
  <c r="J56" i="14" s="1"/>
  <c r="BR81" i="1"/>
  <c r="H81" i="1" s="1"/>
  <c r="BR165" i="1"/>
  <c r="H165" i="1" s="1"/>
  <c r="BR198" i="1"/>
  <c r="BR16" i="1"/>
  <c r="H16" i="1" s="1"/>
  <c r="BR129" i="1"/>
  <c r="BR2" i="1"/>
  <c r="H2" i="1" s="1"/>
  <c r="H72" i="14"/>
  <c r="BR106" i="1"/>
  <c r="H106" i="1" s="1"/>
  <c r="BR18" i="1"/>
  <c r="H18" i="1" s="1"/>
  <c r="BR13" i="1"/>
  <c r="H13" i="1" s="1"/>
  <c r="BR204" i="1"/>
  <c r="H8" i="14"/>
  <c r="I8" i="14" s="1"/>
  <c r="J8" i="14" s="1"/>
  <c r="BR185" i="1"/>
  <c r="H9" i="14"/>
  <c r="BR82" i="1"/>
  <c r="BR47" i="1"/>
  <c r="BW47" i="1" s="1"/>
  <c r="H95" i="14"/>
  <c r="H54" i="1"/>
  <c r="BR135" i="1"/>
  <c r="H135" i="1" s="1"/>
  <c r="BR25" i="1"/>
  <c r="H25" i="1" s="1"/>
  <c r="H33" i="14"/>
  <c r="I33" i="14" s="1"/>
  <c r="J33" i="14" s="1"/>
  <c r="H107" i="14"/>
  <c r="I107" i="14" s="1"/>
  <c r="J107" i="14" s="1"/>
  <c r="BR131" i="1"/>
  <c r="H79" i="14"/>
  <c r="I79" i="14" s="1"/>
  <c r="J79" i="14" s="1"/>
  <c r="BR3" i="1"/>
  <c r="H3" i="1" s="1"/>
  <c r="BR48" i="1"/>
  <c r="H48" i="1" s="1"/>
  <c r="BR158" i="1"/>
  <c r="BR162" i="1"/>
  <c r="BW162" i="1" s="1"/>
  <c r="BR134" i="1"/>
  <c r="BR78" i="1"/>
  <c r="BW78" i="1" s="1"/>
  <c r="T3" i="5"/>
  <c r="U3" i="5"/>
  <c r="V3" i="5"/>
  <c r="BR36" i="1"/>
  <c r="BR83" i="1"/>
  <c r="BR76" i="1"/>
  <c r="H76" i="1" s="1"/>
  <c r="BR15" i="1"/>
  <c r="H15" i="1" s="1"/>
  <c r="BR109" i="1"/>
  <c r="H109" i="1" s="1"/>
  <c r="BR55" i="1"/>
  <c r="BR34" i="1"/>
  <c r="H34" i="1" s="1"/>
  <c r="M43" i="5"/>
  <c r="L43" i="5"/>
  <c r="H62" i="14"/>
  <c r="BR31" i="1"/>
  <c r="H31" i="1" s="1"/>
  <c r="BR40" i="1"/>
  <c r="H42" i="1"/>
  <c r="H73" i="14"/>
  <c r="I73" i="14" s="1"/>
  <c r="J73" i="14" s="1"/>
  <c r="BR91" i="1"/>
  <c r="H91" i="1" s="1"/>
  <c r="BR114" i="1"/>
  <c r="H114" i="1" s="1"/>
  <c r="BR148" i="1"/>
  <c r="H148" i="1" s="1"/>
  <c r="BW43" i="1"/>
  <c r="BR85" i="1"/>
  <c r="BW85" i="1" s="1"/>
  <c r="U163" i="5"/>
  <c r="V163" i="5"/>
  <c r="T163" i="5"/>
  <c r="BR146" i="1"/>
  <c r="H146" i="1" s="1"/>
  <c r="BR29" i="1"/>
  <c r="H29" i="1" s="1"/>
  <c r="BR4" i="1"/>
  <c r="BR133" i="1"/>
  <c r="BW133" i="1" s="1"/>
  <c r="BR203" i="1"/>
  <c r="H203" i="1" s="1"/>
  <c r="BR104" i="1"/>
  <c r="H104" i="1" s="1"/>
  <c r="BR111" i="1"/>
  <c r="BW111" i="1" s="1"/>
  <c r="BR142" i="1"/>
  <c r="H142" i="1" s="1"/>
  <c r="BR118" i="1"/>
  <c r="H118" i="1" s="1"/>
  <c r="BR137" i="1"/>
  <c r="BR160" i="1"/>
  <c r="H160" i="1" s="1"/>
  <c r="BR105" i="1"/>
  <c r="H105" i="1" s="1"/>
  <c r="BR19" i="1"/>
  <c r="BW19" i="1" s="1"/>
  <c r="T127" i="5"/>
  <c r="U127" i="5"/>
  <c r="V127" i="5"/>
  <c r="BR167" i="1"/>
  <c r="H167" i="1" s="1"/>
  <c r="BR195" i="1"/>
  <c r="H195" i="1" s="1"/>
  <c r="BR84" i="1"/>
  <c r="H84" i="1" s="1"/>
  <c r="BR191" i="1"/>
  <c r="BW191" i="1" s="1"/>
  <c r="N169" i="5"/>
  <c r="M169" i="5"/>
  <c r="L169" i="5"/>
  <c r="H12" i="14"/>
  <c r="I12" i="14" s="1"/>
  <c r="J12" i="14" s="1"/>
  <c r="BR147" i="1"/>
  <c r="H147" i="1" s="1"/>
  <c r="H108" i="14"/>
  <c r="I108" i="14" s="1"/>
  <c r="J108" i="14" s="1"/>
  <c r="H16" i="14"/>
  <c r="H46" i="14"/>
  <c r="I46" i="14" s="1"/>
  <c r="J46" i="14" s="1"/>
  <c r="BR87" i="1"/>
  <c r="BW87" i="1" s="1"/>
  <c r="BR157" i="1"/>
  <c r="H157" i="1" s="1"/>
  <c r="BR123" i="1"/>
  <c r="BW123" i="1" s="1"/>
  <c r="BR155" i="1"/>
  <c r="BR163" i="1"/>
  <c r="BW163" i="1" s="1"/>
  <c r="BR28" i="1"/>
  <c r="H28" i="1" s="1"/>
  <c r="BR33" i="1"/>
  <c r="H33" i="1" s="1"/>
  <c r="BR192" i="1"/>
  <c r="BW192" i="1" s="1"/>
  <c r="BR186" i="1"/>
  <c r="H186" i="1" s="1"/>
  <c r="BR92" i="1"/>
  <c r="H92" i="1" s="1"/>
  <c r="BR57" i="1"/>
  <c r="BW57" i="1" s="1"/>
  <c r="BR67" i="1"/>
  <c r="BW67" i="1" s="1"/>
  <c r="H4" i="14"/>
  <c r="I4" i="14" s="1"/>
  <c r="J4" i="14" s="1"/>
  <c r="H109" i="14"/>
  <c r="I109" i="14" s="1"/>
  <c r="J109" i="14" s="1"/>
  <c r="H21" i="14"/>
  <c r="BR58" i="1"/>
  <c r="BR35" i="1"/>
  <c r="H35" i="1" s="1"/>
  <c r="BR59" i="1"/>
  <c r="H59" i="1" s="1"/>
  <c r="H6" i="14"/>
  <c r="H57" i="14"/>
  <c r="I57" i="14" s="1"/>
  <c r="J57" i="14" s="1"/>
  <c r="H37" i="14"/>
  <c r="I37" i="14" s="1"/>
  <c r="J37" i="14" s="1"/>
  <c r="BR23" i="1"/>
  <c r="H23" i="1" s="1"/>
  <c r="BR136" i="1"/>
  <c r="H136" i="1" s="1"/>
  <c r="BR141" i="1"/>
  <c r="H141" i="1" s="1"/>
  <c r="BR75" i="1"/>
  <c r="H75" i="1" s="1"/>
  <c r="BR122" i="1"/>
  <c r="H122" i="1" s="1"/>
  <c r="H106" i="14"/>
  <c r="I106" i="14" s="1"/>
  <c r="J106" i="14" s="1"/>
  <c r="H100" i="14"/>
  <c r="I100" i="14" s="1"/>
  <c r="J100" i="14" s="1"/>
  <c r="BR61" i="1"/>
  <c r="H61" i="1" s="1"/>
  <c r="BR99" i="1"/>
  <c r="BW99" i="1" s="1"/>
  <c r="BR154" i="1"/>
  <c r="BW154" i="1" s="1"/>
  <c r="H64" i="14"/>
  <c r="I64" i="14" s="1"/>
  <c r="J64" i="14" s="1"/>
  <c r="BR170" i="1"/>
  <c r="H170" i="1" s="1"/>
  <c r="BR95" i="1"/>
  <c r="H95" i="1" s="1"/>
  <c r="BR22" i="1"/>
  <c r="H22" i="1" s="1"/>
  <c r="BR119" i="1"/>
  <c r="H119" i="1" s="1"/>
  <c r="H31" i="14"/>
  <c r="I31" i="14" s="1"/>
  <c r="J31" i="14" s="1"/>
  <c r="Q10" i="9"/>
  <c r="T10" i="9" s="1"/>
  <c r="U10" i="9" s="1"/>
  <c r="H74" i="14"/>
  <c r="I74" i="14" s="1"/>
  <c r="J74" i="14" s="1"/>
  <c r="BR11" i="1"/>
  <c r="BR150" i="1"/>
  <c r="H150" i="1" s="1"/>
  <c r="H32" i="14"/>
  <c r="I32" i="14" s="1"/>
  <c r="J32" i="14" s="1"/>
  <c r="H52" i="14"/>
  <c r="BR68" i="1"/>
  <c r="H68" i="1" s="1"/>
  <c r="BR152" i="1"/>
  <c r="H152" i="1" s="1"/>
  <c r="BR63" i="1"/>
  <c r="H63" i="1" s="1"/>
  <c r="BR187" i="1"/>
  <c r="BW187" i="1" s="1"/>
  <c r="H22" i="14"/>
  <c r="I22" i="14" s="1"/>
  <c r="J22" i="14" s="1"/>
  <c r="BR20" i="1"/>
  <c r="H20" i="1" s="1"/>
  <c r="BR65" i="1"/>
  <c r="H65" i="1" s="1"/>
  <c r="H7" i="14"/>
  <c r="H93" i="14"/>
  <c r="I93" i="14" s="1"/>
  <c r="J93" i="14" s="1"/>
  <c r="H40" i="14"/>
  <c r="I40" i="14" s="1"/>
  <c r="J40" i="14" s="1"/>
  <c r="BR128" i="1"/>
  <c r="BR7" i="1"/>
  <c r="H7" i="1" s="1"/>
  <c r="H66" i="14"/>
  <c r="I66" i="14" s="1"/>
  <c r="J66" i="14" s="1"/>
  <c r="BR145" i="1"/>
  <c r="H145" i="1" s="1"/>
  <c r="BR183" i="1"/>
  <c r="BW183" i="1" s="1"/>
  <c r="H103" i="14"/>
  <c r="I103" i="14" s="1"/>
  <c r="J103" i="14" s="1"/>
  <c r="BR115" i="1"/>
  <c r="H115" i="1" s="1"/>
  <c r="H71" i="14"/>
  <c r="I71" i="14" s="1"/>
  <c r="J71" i="14" s="1"/>
  <c r="BR207" i="1"/>
  <c r="H207" i="1" s="1"/>
  <c r="BR206" i="1"/>
  <c r="BW206" i="1" s="1"/>
  <c r="BR202" i="1"/>
  <c r="H202" i="1" s="1"/>
  <c r="H18" i="14"/>
  <c r="I18" i="14" s="1"/>
  <c r="J18" i="14" s="1"/>
  <c r="H68" i="14"/>
  <c r="I68" i="14" s="1"/>
  <c r="J68" i="14" s="1"/>
  <c r="H58" i="14"/>
  <c r="BR151" i="1"/>
  <c r="H151" i="1" s="1"/>
  <c r="BR188" i="1"/>
  <c r="H188" i="1" s="1"/>
  <c r="BR124" i="1"/>
  <c r="H124" i="1" s="1"/>
  <c r="BR39" i="1"/>
  <c r="BR107" i="1"/>
  <c r="H107" i="1" s="1"/>
  <c r="BR200" i="1"/>
  <c r="H200" i="1" s="1"/>
  <c r="BR69" i="1"/>
  <c r="H69" i="1" s="1"/>
  <c r="BR201" i="1"/>
  <c r="H201" i="1" s="1"/>
  <c r="BR32" i="1"/>
  <c r="BW32" i="1" s="1"/>
  <c r="BR139" i="1"/>
  <c r="H139" i="1" s="1"/>
  <c r="BR74" i="1"/>
  <c r="BR77" i="1"/>
  <c r="BW77" i="1" s="1"/>
  <c r="BR5" i="1"/>
  <c r="H5" i="1" s="1"/>
  <c r="BR21" i="1"/>
  <c r="BW21" i="1" s="1"/>
  <c r="H35" i="14"/>
  <c r="BR103" i="1"/>
  <c r="H103" i="1" s="1"/>
  <c r="BR73" i="1"/>
  <c r="BW73" i="1" s="1"/>
  <c r="H17" i="14"/>
  <c r="I17" i="14" s="1"/>
  <c r="J17" i="14" s="1"/>
  <c r="BR94" i="1"/>
  <c r="H94" i="1" s="1"/>
  <c r="BR98" i="1"/>
  <c r="BW98" i="1" s="1"/>
  <c r="BR62" i="1"/>
  <c r="BW62" i="1" s="1"/>
  <c r="BR120" i="1"/>
  <c r="H120" i="1" s="1"/>
  <c r="H48" i="14"/>
  <c r="BR199" i="1"/>
  <c r="H199" i="1" s="1"/>
  <c r="BR71" i="1"/>
  <c r="H71" i="1" s="1"/>
  <c r="H29" i="14"/>
  <c r="I29" i="14" s="1"/>
  <c r="J29" i="14" s="1"/>
  <c r="BR126" i="1"/>
  <c r="BW126" i="1" s="1"/>
  <c r="H55" i="14"/>
  <c r="I55" i="14" s="1"/>
  <c r="J55" i="14" s="1"/>
  <c r="BR46" i="1"/>
  <c r="H46" i="1" s="1"/>
  <c r="BW37" i="1"/>
  <c r="H93" i="1"/>
  <c r="BW93" i="1"/>
  <c r="H129" i="1"/>
  <c r="BW129" i="1"/>
  <c r="H66" i="1"/>
  <c r="BW66" i="1"/>
  <c r="H197" i="1"/>
  <c r="BW197" i="1"/>
  <c r="H153" i="1"/>
  <c r="BW153" i="1"/>
  <c r="H191" i="1"/>
  <c r="H55" i="1"/>
  <c r="BW55" i="1"/>
  <c r="H162" i="1"/>
  <c r="H36" i="1"/>
  <c r="BW36" i="1"/>
  <c r="H72" i="1"/>
  <c r="BW72" i="1"/>
  <c r="BW81" i="1"/>
  <c r="H137" i="1"/>
  <c r="BW137" i="1"/>
  <c r="H133" i="1"/>
  <c r="H194" i="1"/>
  <c r="BW194" i="1"/>
  <c r="BW89" i="1"/>
  <c r="H89" i="1"/>
  <c r="H4" i="1"/>
  <c r="BW4" i="1"/>
  <c r="H82" i="1"/>
  <c r="BW82" i="1"/>
  <c r="BW23" i="1"/>
  <c r="H79" i="1"/>
  <c r="BW79" i="1"/>
  <c r="H10" i="1"/>
  <c r="BW10" i="1"/>
  <c r="H38" i="1"/>
  <c r="BW38" i="1"/>
  <c r="BW140" i="1"/>
  <c r="BW92" i="1"/>
  <c r="H57" i="1"/>
  <c r="H67" i="1"/>
  <c r="H56" i="1"/>
  <c r="BW56" i="1"/>
  <c r="H99" i="1"/>
  <c r="H58" i="1"/>
  <c r="BW58" i="1"/>
  <c r="BW59" i="1"/>
  <c r="H11" i="1"/>
  <c r="BW11" i="1"/>
  <c r="H149" i="1"/>
  <c r="BW149" i="1"/>
  <c r="H187" i="1"/>
  <c r="H47" i="1"/>
  <c r="H128" i="1"/>
  <c r="BW128" i="1"/>
  <c r="BW202" i="1"/>
  <c r="H39" i="1"/>
  <c r="BW39" i="1"/>
  <c r="H134" i="1"/>
  <c r="BW134" i="1"/>
  <c r="H32" i="1"/>
  <c r="H74" i="1"/>
  <c r="BW74" i="1"/>
  <c r="H6" i="1"/>
  <c r="BW6" i="1"/>
  <c r="H166" i="1"/>
  <c r="BW166" i="1"/>
  <c r="H132" i="1"/>
  <c r="BW132" i="1"/>
  <c r="BW193" i="1"/>
  <c r="H193" i="1"/>
  <c r="H155" i="1"/>
  <c r="BW155" i="1"/>
  <c r="R106" i="5"/>
  <c r="P106" i="5"/>
  <c r="Q106" i="5"/>
  <c r="H111" i="5"/>
  <c r="I111" i="5"/>
  <c r="J111" i="5"/>
  <c r="H261" i="1"/>
  <c r="BW261" i="1"/>
  <c r="P22" i="5"/>
  <c r="Q22" i="5"/>
  <c r="R22" i="5"/>
  <c r="Q12" i="5"/>
  <c r="P12" i="5"/>
  <c r="R12" i="5"/>
  <c r="Q135" i="5"/>
  <c r="P135" i="5"/>
  <c r="R135" i="5"/>
  <c r="T157" i="5"/>
  <c r="U157" i="5"/>
  <c r="V157" i="5"/>
  <c r="P170" i="5"/>
  <c r="R170" i="5"/>
  <c r="Q170" i="5"/>
  <c r="BW142" i="1"/>
  <c r="R113" i="5"/>
  <c r="P113" i="5"/>
  <c r="Q113" i="5"/>
  <c r="H3" i="14"/>
  <c r="P156" i="5"/>
  <c r="Q156" i="5"/>
  <c r="R156" i="5"/>
  <c r="R20" i="5"/>
  <c r="P20" i="5"/>
  <c r="Q20" i="5"/>
  <c r="R33" i="5"/>
  <c r="Q33" i="5"/>
  <c r="P33" i="5"/>
  <c r="R25" i="5"/>
  <c r="Q25" i="5"/>
  <c r="P25" i="5"/>
  <c r="I13" i="5"/>
  <c r="H13" i="5"/>
  <c r="J13" i="5"/>
  <c r="I21" i="14"/>
  <c r="J21" i="14" s="1"/>
  <c r="H81" i="14"/>
  <c r="I81" i="14" s="1"/>
  <c r="J81" i="14" s="1"/>
  <c r="H67" i="14"/>
  <c r="I67" i="14" s="1"/>
  <c r="J67" i="14" s="1"/>
  <c r="R61" i="5"/>
  <c r="Q61" i="5"/>
  <c r="P61" i="5"/>
  <c r="R7" i="5"/>
  <c r="Q7" i="5"/>
  <c r="P7" i="5"/>
  <c r="R5" i="5"/>
  <c r="P5" i="5"/>
  <c r="Q5" i="5"/>
  <c r="H83" i="14"/>
  <c r="I83" i="14" s="1"/>
  <c r="J83" i="14" s="1"/>
  <c r="H113" i="14"/>
  <c r="I113" i="14" s="1"/>
  <c r="J113" i="14" s="1"/>
  <c r="H102" i="14"/>
  <c r="I102" i="14" s="1"/>
  <c r="J102" i="14" s="1"/>
  <c r="BW25" i="1"/>
  <c r="Q58" i="5"/>
  <c r="R58" i="5"/>
  <c r="P58" i="5"/>
  <c r="H20" i="14"/>
  <c r="I20" i="14" s="1"/>
  <c r="J20" i="14" s="1"/>
  <c r="P108" i="5"/>
  <c r="R108" i="5"/>
  <c r="Q108" i="5"/>
  <c r="P192" i="5"/>
  <c r="R192" i="5"/>
  <c r="Q192" i="5"/>
  <c r="P10" i="5"/>
  <c r="R10" i="5"/>
  <c r="Q10" i="5"/>
  <c r="R87" i="5"/>
  <c r="P87" i="5"/>
  <c r="Q87" i="5"/>
  <c r="P68" i="5"/>
  <c r="R68" i="5"/>
  <c r="Q68" i="5"/>
  <c r="L8" i="9"/>
  <c r="N8" i="9" s="1"/>
  <c r="H60" i="14"/>
  <c r="I60" i="14" s="1"/>
  <c r="J60" i="14" s="1"/>
  <c r="R196" i="5"/>
  <c r="P196" i="5"/>
  <c r="Q196" i="5"/>
  <c r="BW13" i="1"/>
  <c r="I26" i="14"/>
  <c r="J26" i="14" s="1"/>
  <c r="H98" i="14"/>
  <c r="I98" i="14" s="1"/>
  <c r="J98" i="14" s="1"/>
  <c r="T151" i="5"/>
  <c r="U151" i="5"/>
  <c r="V151" i="5"/>
  <c r="Q172" i="5"/>
  <c r="R172" i="5"/>
  <c r="P172" i="5"/>
  <c r="R186" i="5"/>
  <c r="P186" i="5"/>
  <c r="Q186" i="5"/>
  <c r="H204" i="1"/>
  <c r="BW204" i="1"/>
  <c r="Q154" i="5"/>
  <c r="P154" i="5"/>
  <c r="R154" i="5"/>
  <c r="Q64" i="5"/>
  <c r="P64" i="5"/>
  <c r="R64" i="5"/>
  <c r="H111" i="1"/>
  <c r="H70" i="1"/>
  <c r="BW70" i="1"/>
  <c r="N96" i="5"/>
  <c r="L96" i="5"/>
  <c r="M96" i="5"/>
  <c r="P134" i="5"/>
  <c r="R134" i="5"/>
  <c r="Q134" i="5"/>
  <c r="V205" i="5"/>
  <c r="T205" i="5"/>
  <c r="U205" i="5"/>
  <c r="H198" i="1"/>
  <c r="BW198" i="1"/>
  <c r="H158" i="1"/>
  <c r="BW158" i="1"/>
  <c r="P183" i="5"/>
  <c r="Q183" i="5"/>
  <c r="R183" i="5"/>
  <c r="P29" i="5"/>
  <c r="R29" i="5"/>
  <c r="Q29" i="5"/>
  <c r="L5" i="9"/>
  <c r="N5" i="9" s="1"/>
  <c r="L9" i="9"/>
  <c r="N9" i="9" s="1"/>
  <c r="H235" i="1"/>
  <c r="BW235" i="1"/>
  <c r="BW173" i="1"/>
  <c r="P124" i="5"/>
  <c r="R124" i="5"/>
  <c r="Q124" i="5"/>
  <c r="R75" i="5"/>
  <c r="P75" i="5"/>
  <c r="Q75" i="5"/>
  <c r="Q120" i="5"/>
  <c r="P120" i="5"/>
  <c r="R120" i="5"/>
  <c r="R85" i="5"/>
  <c r="Q85" i="5"/>
  <c r="P85" i="5"/>
  <c r="BW17" i="1"/>
  <c r="H17" i="1"/>
  <c r="R158" i="5"/>
  <c r="P158" i="5"/>
  <c r="Q158" i="5"/>
  <c r="P74" i="5"/>
  <c r="R74" i="5"/>
  <c r="Q74" i="5"/>
  <c r="Q150" i="5"/>
  <c r="R150" i="5"/>
  <c r="P150" i="5"/>
  <c r="P104" i="5"/>
  <c r="Q104" i="5"/>
  <c r="R104" i="5"/>
  <c r="Q184" i="5"/>
  <c r="P184" i="5"/>
  <c r="R184" i="5"/>
  <c r="V84" i="5"/>
  <c r="T84" i="5"/>
  <c r="U84" i="5"/>
  <c r="Q105" i="5"/>
  <c r="R105" i="5"/>
  <c r="P105" i="5"/>
  <c r="V191" i="5"/>
  <c r="U191" i="5"/>
  <c r="T191" i="5"/>
  <c r="Q163" i="5"/>
  <c r="R163" i="5"/>
  <c r="P163" i="5"/>
  <c r="Q8" i="9"/>
  <c r="T8" i="9" s="1"/>
  <c r="U8" i="9" s="1"/>
  <c r="R155" i="5"/>
  <c r="P155" i="5"/>
  <c r="Q155" i="5"/>
  <c r="BW26" i="1"/>
  <c r="H47" i="14"/>
  <c r="I47" i="14" s="1"/>
  <c r="J47" i="14" s="1"/>
  <c r="Q32" i="5"/>
  <c r="R32" i="5"/>
  <c r="P32" i="5"/>
  <c r="H90" i="14"/>
  <c r="I90" i="14" s="1"/>
  <c r="J90" i="14" s="1"/>
  <c r="N26" i="5"/>
  <c r="M26" i="5"/>
  <c r="L26" i="5"/>
  <c r="R28" i="5"/>
  <c r="P28" i="5"/>
  <c r="Q28" i="5"/>
  <c r="BW252" i="1"/>
  <c r="H252" i="1"/>
  <c r="P153" i="5"/>
  <c r="Q153" i="5"/>
  <c r="R153" i="5"/>
  <c r="R71" i="5"/>
  <c r="Q71" i="5"/>
  <c r="P71" i="5"/>
  <c r="Q131" i="5"/>
  <c r="R131" i="5"/>
  <c r="P131" i="5"/>
  <c r="H110" i="1"/>
  <c r="BW110" i="1"/>
  <c r="I5" i="14"/>
  <c r="J5" i="14" s="1"/>
  <c r="H11" i="14"/>
  <c r="I11" i="14" s="1"/>
  <c r="J11" i="14" s="1"/>
  <c r="H97" i="14"/>
  <c r="I97" i="14" s="1"/>
  <c r="J97" i="14" s="1"/>
  <c r="R194" i="5"/>
  <c r="P194" i="5"/>
  <c r="Q194" i="5"/>
  <c r="P31" i="5"/>
  <c r="R31" i="5"/>
  <c r="Q31" i="5"/>
  <c r="H24" i="14"/>
  <c r="I24" i="14" s="1"/>
  <c r="J24" i="14" s="1"/>
  <c r="R3" i="5"/>
  <c r="Q3" i="5"/>
  <c r="P3" i="5"/>
  <c r="R109" i="5"/>
  <c r="Q109" i="5"/>
  <c r="P109" i="5"/>
  <c r="T2" i="5"/>
  <c r="V2" i="5"/>
  <c r="U2" i="5"/>
  <c r="H94" i="14"/>
  <c r="I94" i="14" s="1"/>
  <c r="J94" i="14" s="1"/>
  <c r="BW156" i="1"/>
  <c r="H239" i="1"/>
  <c r="BW239" i="1"/>
  <c r="I9" i="14"/>
  <c r="J9" i="14" s="1"/>
  <c r="H34" i="14"/>
  <c r="I34" i="14" s="1"/>
  <c r="J34" i="14" s="1"/>
  <c r="H45" i="14"/>
  <c r="I45" i="14" s="1"/>
  <c r="J45" i="14" s="1"/>
  <c r="Q7" i="9"/>
  <c r="T7" i="9" s="1"/>
  <c r="U7" i="9" s="1"/>
  <c r="R167" i="5"/>
  <c r="Q167" i="5"/>
  <c r="P167" i="5"/>
  <c r="H13" i="14"/>
  <c r="I13" i="14" s="1"/>
  <c r="J13" i="14" s="1"/>
  <c r="P115" i="5"/>
  <c r="Q115" i="5"/>
  <c r="R115" i="5"/>
  <c r="H80" i="14"/>
  <c r="I80" i="14" s="1"/>
  <c r="J80" i="14" s="1"/>
  <c r="I48" i="14"/>
  <c r="J48" i="14" s="1"/>
  <c r="P93" i="5"/>
  <c r="Q93" i="5"/>
  <c r="R93" i="5"/>
  <c r="V4" i="5"/>
  <c r="U4" i="5"/>
  <c r="T4" i="5"/>
  <c r="P67" i="5"/>
  <c r="R67" i="5"/>
  <c r="Q67" i="5"/>
  <c r="H111" i="14"/>
  <c r="I111" i="14" s="1"/>
  <c r="J111" i="14" s="1"/>
  <c r="H82" i="14"/>
  <c r="I82" i="14" s="1"/>
  <c r="J82" i="14" s="1"/>
  <c r="R66" i="5"/>
  <c r="Q66" i="5"/>
  <c r="P66" i="5"/>
  <c r="BW297" i="1"/>
  <c r="H297" i="1"/>
  <c r="Q41" i="5"/>
  <c r="P41" i="5"/>
  <c r="R41" i="5"/>
  <c r="P62" i="5"/>
  <c r="Q62" i="5"/>
  <c r="R62" i="5"/>
  <c r="P139" i="5"/>
  <c r="Q139" i="5"/>
  <c r="R139" i="5"/>
  <c r="I11" i="5"/>
  <c r="H11" i="5"/>
  <c r="J11" i="5"/>
  <c r="Q132" i="5"/>
  <c r="R132" i="5"/>
  <c r="P132" i="5"/>
  <c r="R199" i="5"/>
  <c r="P199" i="5"/>
  <c r="Q199" i="5"/>
  <c r="H112" i="14"/>
  <c r="I112" i="14" s="1"/>
  <c r="J112" i="14" s="1"/>
  <c r="R16" i="5"/>
  <c r="P16" i="5"/>
  <c r="Q16" i="5"/>
  <c r="H54" i="14"/>
  <c r="I54" i="14" s="1"/>
  <c r="J54" i="14" s="1"/>
  <c r="H105" i="14"/>
  <c r="I105" i="14" s="1"/>
  <c r="J105" i="14" s="1"/>
  <c r="Q57" i="5"/>
  <c r="P57" i="5"/>
  <c r="R57" i="5"/>
  <c r="P136" i="5"/>
  <c r="R136" i="5"/>
  <c r="Q136" i="5"/>
  <c r="H43" i="14"/>
  <c r="I43" i="14" s="1"/>
  <c r="J43" i="14" s="1"/>
  <c r="P39" i="5"/>
  <c r="R39" i="5"/>
  <c r="Q39" i="5"/>
  <c r="I62" i="14"/>
  <c r="J62" i="14" s="1"/>
  <c r="BW268" i="1"/>
  <c r="H268" i="1"/>
  <c r="Q82" i="5"/>
  <c r="R82" i="5"/>
  <c r="P82" i="5"/>
  <c r="P89" i="5"/>
  <c r="R89" i="5"/>
  <c r="Q89" i="5"/>
  <c r="Q14" i="5"/>
  <c r="R14" i="5"/>
  <c r="P14" i="5"/>
  <c r="BW344" i="1"/>
  <c r="H344" i="1"/>
  <c r="P143" i="5"/>
  <c r="Q143" i="5"/>
  <c r="R143" i="5"/>
  <c r="P100" i="5"/>
  <c r="Q100" i="5"/>
  <c r="R100" i="5"/>
  <c r="T132" i="5"/>
  <c r="U132" i="5"/>
  <c r="V132" i="5"/>
  <c r="Q40" i="5"/>
  <c r="P40" i="5"/>
  <c r="R40" i="5"/>
  <c r="V74" i="5"/>
  <c r="T74" i="5"/>
  <c r="U74" i="5"/>
  <c r="R13" i="5"/>
  <c r="Q13" i="5"/>
  <c r="P13" i="5"/>
  <c r="BW143" i="1"/>
  <c r="H118" i="14"/>
  <c r="I118" i="14" s="1"/>
  <c r="J118" i="14" s="1"/>
  <c r="I27" i="14"/>
  <c r="J27" i="14" s="1"/>
  <c r="I7" i="14"/>
  <c r="J7" i="14" s="1"/>
  <c r="P207" i="5"/>
  <c r="Q207" i="5"/>
  <c r="R207" i="5"/>
  <c r="H116" i="14"/>
  <c r="I116" i="14" s="1"/>
  <c r="J116" i="14" s="1"/>
  <c r="H53" i="14"/>
  <c r="I53" i="14" s="1"/>
  <c r="J53" i="14" s="1"/>
  <c r="Q195" i="5"/>
  <c r="P195" i="5"/>
  <c r="R195" i="5"/>
  <c r="H8" i="1"/>
  <c r="BW8" i="1"/>
  <c r="U161" i="5"/>
  <c r="V161" i="5"/>
  <c r="T161" i="5"/>
  <c r="L197" i="5"/>
  <c r="M197" i="5"/>
  <c r="N197" i="5"/>
  <c r="R142" i="5"/>
  <c r="P142" i="5"/>
  <c r="Q142" i="5"/>
  <c r="BW217" i="1"/>
  <c r="H217" i="1"/>
  <c r="P65" i="5"/>
  <c r="R65" i="5"/>
  <c r="Q65" i="5"/>
  <c r="Q6" i="5"/>
  <c r="R6" i="5"/>
  <c r="P6" i="5"/>
  <c r="H101" i="1"/>
  <c r="BW101" i="1"/>
  <c r="R119" i="5"/>
  <c r="Q119" i="5"/>
  <c r="P119" i="5"/>
  <c r="H104" i="14"/>
  <c r="I104" i="14" s="1"/>
  <c r="J104" i="14" s="1"/>
  <c r="R138" i="5"/>
  <c r="Q138" i="5"/>
  <c r="P138" i="5"/>
  <c r="Q203" i="5"/>
  <c r="P203" i="5"/>
  <c r="R203" i="5"/>
  <c r="R30" i="5"/>
  <c r="P30" i="5"/>
  <c r="Q30" i="5"/>
  <c r="R148" i="5"/>
  <c r="Q148" i="5"/>
  <c r="P148" i="5"/>
  <c r="H63" i="14"/>
  <c r="I63" i="14" s="1"/>
  <c r="J63" i="14" s="1"/>
  <c r="P117" i="5"/>
  <c r="R117" i="5"/>
  <c r="Q117" i="5"/>
  <c r="H19" i="14"/>
  <c r="I19" i="14" s="1"/>
  <c r="J19" i="14" s="1"/>
  <c r="P125" i="5"/>
  <c r="Q125" i="5"/>
  <c r="R125" i="5"/>
  <c r="R4" i="5"/>
  <c r="P4" i="5"/>
  <c r="Q4" i="5"/>
  <c r="H88" i="14"/>
  <c r="I88" i="14" s="1"/>
  <c r="J88" i="14" s="1"/>
  <c r="Q157" i="5"/>
  <c r="R157" i="5"/>
  <c r="P157" i="5"/>
  <c r="BW2" i="1"/>
  <c r="H50" i="14"/>
  <c r="I50" i="14" s="1"/>
  <c r="J50" i="14" s="1"/>
  <c r="P81" i="5"/>
  <c r="Q81" i="5"/>
  <c r="R81" i="5"/>
  <c r="T150" i="5"/>
  <c r="V150" i="5"/>
  <c r="U150" i="5"/>
  <c r="H276" i="1"/>
  <c r="BW276" i="1"/>
  <c r="H310" i="1"/>
  <c r="BW310" i="1"/>
  <c r="R140" i="5"/>
  <c r="Q140" i="5"/>
  <c r="P140" i="5"/>
  <c r="P193" i="5"/>
  <c r="Q193" i="5"/>
  <c r="R193" i="5"/>
  <c r="R95" i="5"/>
  <c r="Q95" i="5"/>
  <c r="P95" i="5"/>
  <c r="R185" i="5"/>
  <c r="Q185" i="5"/>
  <c r="P185" i="5"/>
  <c r="U75" i="5"/>
  <c r="V75" i="5"/>
  <c r="T75" i="5"/>
  <c r="H87" i="14"/>
  <c r="I87" i="14" s="1"/>
  <c r="J87" i="14" s="1"/>
  <c r="P141" i="5"/>
  <c r="Q141" i="5"/>
  <c r="R141" i="5"/>
  <c r="I95" i="14"/>
  <c r="J95" i="14" s="1"/>
  <c r="H12" i="1"/>
  <c r="BW12" i="1"/>
  <c r="H96" i="14"/>
  <c r="I96" i="14" s="1"/>
  <c r="J96" i="14" s="1"/>
  <c r="Q83" i="5"/>
  <c r="P83" i="5"/>
  <c r="R83" i="5"/>
  <c r="H42" i="14"/>
  <c r="I42" i="14" s="1"/>
  <c r="J42" i="14" s="1"/>
  <c r="P70" i="5"/>
  <c r="Q70" i="5"/>
  <c r="R70" i="5"/>
  <c r="H110" i="14"/>
  <c r="I110" i="14" s="1"/>
  <c r="J110" i="14" s="1"/>
  <c r="H76" i="14"/>
  <c r="I76" i="14" s="1"/>
  <c r="J76" i="14" s="1"/>
  <c r="Q92" i="5"/>
  <c r="R92" i="5"/>
  <c r="P92" i="5"/>
  <c r="P36" i="5"/>
  <c r="R36" i="5"/>
  <c r="Q36" i="5"/>
  <c r="L79" i="5"/>
  <c r="N79" i="5"/>
  <c r="M79" i="5"/>
  <c r="Q202" i="5"/>
  <c r="R202" i="5"/>
  <c r="P202" i="5"/>
  <c r="P84" i="5"/>
  <c r="Q84" i="5"/>
  <c r="R84" i="5"/>
  <c r="Q114" i="5"/>
  <c r="P114" i="5"/>
  <c r="R114" i="5"/>
  <c r="P35" i="5"/>
  <c r="R35" i="5"/>
  <c r="Q35" i="5"/>
  <c r="P9" i="5"/>
  <c r="Q9" i="5"/>
  <c r="R9" i="5"/>
  <c r="R165" i="5"/>
  <c r="P165" i="5"/>
  <c r="Q165" i="5"/>
  <c r="BW189" i="1"/>
  <c r="H189" i="1"/>
  <c r="R107" i="5"/>
  <c r="Q107" i="5"/>
  <c r="P107" i="5"/>
  <c r="H244" i="1"/>
  <c r="BW244" i="1"/>
  <c r="Q161" i="5"/>
  <c r="R161" i="5"/>
  <c r="P161" i="5"/>
  <c r="P21" i="5"/>
  <c r="Q21" i="5"/>
  <c r="R21" i="5"/>
  <c r="H84" i="14"/>
  <c r="I84" i="14" s="1"/>
  <c r="J84" i="14" s="1"/>
  <c r="M207" i="5"/>
  <c r="N207" i="5"/>
  <c r="L207" i="5"/>
  <c r="BW96" i="1"/>
  <c r="H96" i="1"/>
  <c r="R15" i="5"/>
  <c r="Q15" i="5"/>
  <c r="P15" i="5"/>
  <c r="H44" i="14"/>
  <c r="I44" i="14" s="1"/>
  <c r="J44" i="14" s="1"/>
  <c r="P60" i="5"/>
  <c r="Q60" i="5"/>
  <c r="R60" i="5"/>
  <c r="I16" i="14"/>
  <c r="J16" i="14" s="1"/>
  <c r="BW255" i="1"/>
  <c r="H255" i="1"/>
  <c r="BW225" i="1"/>
  <c r="H225" i="1"/>
  <c r="H85" i="14"/>
  <c r="I85" i="14" s="1"/>
  <c r="J85" i="14" s="1"/>
  <c r="P73" i="5"/>
  <c r="R73" i="5"/>
  <c r="Q73" i="5"/>
  <c r="BW219" i="1"/>
  <c r="H219" i="1"/>
  <c r="Q48" i="5"/>
  <c r="R48" i="5"/>
  <c r="P48" i="5"/>
  <c r="Q9" i="9"/>
  <c r="T9" i="9" s="1"/>
  <c r="U9" i="9" s="1"/>
  <c r="L4" i="9"/>
  <c r="N4" i="9" s="1"/>
  <c r="P204" i="5"/>
  <c r="R204" i="5"/>
  <c r="Q204" i="5"/>
  <c r="Q152" i="5"/>
  <c r="R152" i="5"/>
  <c r="P152" i="5"/>
  <c r="Q19" i="5"/>
  <c r="P19" i="5"/>
  <c r="R19" i="5"/>
  <c r="H289" i="1"/>
  <c r="BW289" i="1"/>
  <c r="R145" i="5"/>
  <c r="P145" i="5"/>
  <c r="Q145" i="5"/>
  <c r="BW231" i="1"/>
  <c r="H231" i="1"/>
  <c r="R200" i="5"/>
  <c r="Q200" i="5"/>
  <c r="P200" i="5"/>
  <c r="Q18" i="5"/>
  <c r="P18" i="5"/>
  <c r="R18" i="5"/>
  <c r="Q69" i="5"/>
  <c r="R69" i="5"/>
  <c r="P69" i="5"/>
  <c r="P198" i="5"/>
  <c r="R198" i="5"/>
  <c r="Q198" i="5"/>
  <c r="Q98" i="5"/>
  <c r="R98" i="5"/>
  <c r="P98" i="5"/>
  <c r="I5" i="5"/>
  <c r="J5" i="5"/>
  <c r="H5" i="5"/>
  <c r="P187" i="5"/>
  <c r="R187" i="5"/>
  <c r="Q187" i="5"/>
  <c r="R86" i="5"/>
  <c r="P86" i="5"/>
  <c r="Q86" i="5"/>
  <c r="Q23" i="5"/>
  <c r="P23" i="5"/>
  <c r="R23" i="5"/>
  <c r="BW14" i="1"/>
  <c r="R144" i="5"/>
  <c r="Q144" i="5"/>
  <c r="P144" i="5"/>
  <c r="P159" i="5"/>
  <c r="R159" i="5"/>
  <c r="Q159" i="5"/>
  <c r="R166" i="5"/>
  <c r="Q166" i="5"/>
  <c r="P166" i="5"/>
  <c r="R24" i="5"/>
  <c r="P24" i="5"/>
  <c r="Q24" i="5"/>
  <c r="BW41" i="1"/>
  <c r="H41" i="1"/>
  <c r="T90" i="5"/>
  <c r="U90" i="5"/>
  <c r="V90" i="5"/>
  <c r="R111" i="5"/>
  <c r="Q111" i="5"/>
  <c r="P111" i="5"/>
  <c r="R76" i="5"/>
  <c r="Q76" i="5"/>
  <c r="P76" i="5"/>
  <c r="P2" i="5"/>
  <c r="R2" i="5"/>
  <c r="Q2" i="5"/>
  <c r="R126" i="5"/>
  <c r="Q126" i="5"/>
  <c r="P126" i="5"/>
  <c r="T120" i="5"/>
  <c r="V120" i="5"/>
  <c r="U120" i="5"/>
  <c r="T28" i="5"/>
  <c r="V28" i="5"/>
  <c r="U28" i="5"/>
  <c r="H14" i="14"/>
  <c r="I14" i="14" s="1"/>
  <c r="J14" i="14" s="1"/>
  <c r="T156" i="5"/>
  <c r="U156" i="5"/>
  <c r="V156" i="5"/>
  <c r="P121" i="5"/>
  <c r="Q121" i="5"/>
  <c r="R121" i="5"/>
  <c r="Q72" i="5"/>
  <c r="R72" i="5"/>
  <c r="P72" i="5"/>
  <c r="U18" i="5"/>
  <c r="V18" i="5"/>
  <c r="T18" i="5"/>
  <c r="R205" i="5"/>
  <c r="P205" i="5"/>
  <c r="Q205" i="5"/>
  <c r="P133" i="5"/>
  <c r="R133" i="5"/>
  <c r="Q133" i="5"/>
  <c r="H233" i="1"/>
  <c r="BW233" i="1"/>
  <c r="R146" i="5"/>
  <c r="Q146" i="5"/>
  <c r="P146" i="5"/>
  <c r="P127" i="5"/>
  <c r="R127" i="5"/>
  <c r="Q127" i="5"/>
  <c r="Q17" i="5"/>
  <c r="R17" i="5"/>
  <c r="P17" i="5"/>
  <c r="BW240" i="1"/>
  <c r="H240" i="1"/>
  <c r="R37" i="5"/>
  <c r="Q37" i="5"/>
  <c r="P37" i="5"/>
  <c r="R160" i="5"/>
  <c r="Q160" i="5"/>
  <c r="P160" i="5"/>
  <c r="P34" i="5"/>
  <c r="R34" i="5"/>
  <c r="Q34" i="5"/>
  <c r="H131" i="1"/>
  <c r="BW131" i="1"/>
  <c r="P151" i="5"/>
  <c r="Q151" i="5"/>
  <c r="R151" i="5"/>
  <c r="U123" i="5"/>
  <c r="V123" i="5"/>
  <c r="T123" i="5"/>
  <c r="T187" i="5"/>
  <c r="V187" i="5"/>
  <c r="U187" i="5"/>
  <c r="V153" i="5"/>
  <c r="T153" i="5"/>
  <c r="U153" i="5"/>
  <c r="H144" i="1"/>
  <c r="BW144" i="1"/>
  <c r="BW121" i="1"/>
  <c r="J63" i="5"/>
  <c r="I63" i="5"/>
  <c r="H63" i="5"/>
  <c r="P149" i="5"/>
  <c r="Q149" i="5"/>
  <c r="R149" i="5"/>
  <c r="H92" i="14"/>
  <c r="I92" i="14" s="1"/>
  <c r="J92" i="14" s="1"/>
  <c r="H86" i="14"/>
  <c r="I86" i="14" s="1"/>
  <c r="J86" i="14" s="1"/>
  <c r="H21" i="5"/>
  <c r="J21" i="5"/>
  <c r="I21" i="5"/>
  <c r="H88" i="1"/>
  <c r="BW88" i="1"/>
  <c r="Q91" i="5"/>
  <c r="P91" i="5"/>
  <c r="R91" i="5"/>
  <c r="H75" i="14"/>
  <c r="I75" i="14" s="1"/>
  <c r="J75" i="14" s="1"/>
  <c r="H89" i="14"/>
  <c r="I89" i="14" s="1"/>
  <c r="J89" i="14" s="1"/>
  <c r="I35" i="14"/>
  <c r="J35" i="14" s="1"/>
  <c r="H61" i="14"/>
  <c r="I61" i="14" s="1"/>
  <c r="J61" i="14" s="1"/>
  <c r="H232" i="1"/>
  <c r="BW232" i="1"/>
  <c r="P206" i="5"/>
  <c r="Q206" i="5"/>
  <c r="R206" i="5"/>
  <c r="R8" i="5"/>
  <c r="Q8" i="5"/>
  <c r="P8" i="5"/>
  <c r="Q103" i="5"/>
  <c r="P103" i="5"/>
  <c r="R103" i="5"/>
  <c r="H226" i="1"/>
  <c r="BW226" i="1"/>
  <c r="I58" i="14"/>
  <c r="J58" i="14" s="1"/>
  <c r="H65" i="14"/>
  <c r="I65" i="14" s="1"/>
  <c r="J65" i="14" s="1"/>
  <c r="H36" i="14"/>
  <c r="I36" i="14" s="1"/>
  <c r="J36" i="14" s="1"/>
  <c r="M46" i="5"/>
  <c r="L46" i="5"/>
  <c r="N46" i="5"/>
  <c r="V19" i="5"/>
  <c r="T19" i="5"/>
  <c r="U19" i="5"/>
  <c r="Q38" i="5"/>
  <c r="R38" i="5"/>
  <c r="P38" i="5"/>
  <c r="V206" i="5"/>
  <c r="T206" i="5"/>
  <c r="U206" i="5"/>
  <c r="R94" i="5"/>
  <c r="Q94" i="5"/>
  <c r="P94" i="5"/>
  <c r="R164" i="5"/>
  <c r="P164" i="5"/>
  <c r="Q164" i="5"/>
  <c r="Q162" i="5"/>
  <c r="P162" i="5"/>
  <c r="R162" i="5"/>
  <c r="H45" i="1"/>
  <c r="BW45" i="1"/>
  <c r="R56" i="5"/>
  <c r="P56" i="5"/>
  <c r="Q56" i="5"/>
  <c r="H101" i="14"/>
  <c r="I101" i="14" s="1"/>
  <c r="J101" i="14" s="1"/>
  <c r="Q201" i="5"/>
  <c r="P201" i="5"/>
  <c r="R201" i="5"/>
  <c r="N88" i="5"/>
  <c r="M88" i="5"/>
  <c r="L88" i="5"/>
  <c r="Q123" i="5"/>
  <c r="P123" i="5"/>
  <c r="R123" i="5"/>
  <c r="Q55" i="5"/>
  <c r="P55" i="5"/>
  <c r="R55" i="5"/>
  <c r="Q59" i="5"/>
  <c r="P59" i="5"/>
  <c r="R59" i="5"/>
  <c r="BR266" i="1"/>
  <c r="BR221" i="1"/>
  <c r="I6" i="14"/>
  <c r="J6" i="14" s="1"/>
  <c r="H40" i="1"/>
  <c r="BW40" i="1"/>
  <c r="I52" i="5"/>
  <c r="J52" i="5"/>
  <c r="H52" i="5"/>
  <c r="P78" i="5"/>
  <c r="R78" i="5"/>
  <c r="Q78" i="5"/>
  <c r="P130" i="5"/>
  <c r="Q130" i="5"/>
  <c r="R130" i="5"/>
  <c r="Q90" i="5"/>
  <c r="R90" i="5"/>
  <c r="P90" i="5"/>
  <c r="H28" i="14"/>
  <c r="I28" i="14" s="1"/>
  <c r="J28" i="14" s="1"/>
  <c r="H78" i="14"/>
  <c r="I78" i="14" s="1"/>
  <c r="J78" i="14" s="1"/>
  <c r="R147" i="5"/>
  <c r="P147" i="5"/>
  <c r="Q147" i="5"/>
  <c r="H25" i="14"/>
  <c r="I25" i="14" s="1"/>
  <c r="J25" i="14" s="1"/>
  <c r="I3" i="14"/>
  <c r="J3" i="14" s="1"/>
  <c r="P118" i="5"/>
  <c r="R118" i="5"/>
  <c r="Q118" i="5"/>
  <c r="P129" i="5"/>
  <c r="Q129" i="5"/>
  <c r="R129" i="5"/>
  <c r="H70" i="14"/>
  <c r="I70" i="14" s="1"/>
  <c r="J70" i="14" s="1"/>
  <c r="I72" i="14"/>
  <c r="J72" i="14" s="1"/>
  <c r="Q173" i="5"/>
  <c r="R173" i="5"/>
  <c r="P173" i="5"/>
  <c r="Q122" i="5"/>
  <c r="P122" i="5"/>
  <c r="R122" i="5"/>
  <c r="H182" i="1"/>
  <c r="BW182" i="1"/>
  <c r="P99" i="5"/>
  <c r="R99" i="5"/>
  <c r="Q99" i="5"/>
  <c r="H184" i="1"/>
  <c r="H137" i="5"/>
  <c r="I137" i="5"/>
  <c r="J137" i="5"/>
  <c r="U124" i="5"/>
  <c r="T124" i="5"/>
  <c r="V124" i="5"/>
  <c r="BW90" i="1"/>
  <c r="Q191" i="5"/>
  <c r="R191" i="5"/>
  <c r="P191" i="5"/>
  <c r="R47" i="5"/>
  <c r="Q47" i="5"/>
  <c r="P47" i="5"/>
  <c r="H343" i="1"/>
  <c r="BW343" i="1"/>
  <c r="P128" i="5"/>
  <c r="R128" i="5"/>
  <c r="Q128" i="5"/>
  <c r="R77" i="5"/>
  <c r="Q77" i="5"/>
  <c r="P77" i="5"/>
  <c r="M137" i="5"/>
  <c r="N137" i="5"/>
  <c r="L137" i="5"/>
  <c r="H91" i="14"/>
  <c r="I91" i="14" s="1"/>
  <c r="J91" i="14" s="1"/>
  <c r="I110" i="5"/>
  <c r="J110" i="5"/>
  <c r="H110" i="5"/>
  <c r="H115" i="14"/>
  <c r="I115" i="14" s="1"/>
  <c r="J115" i="14" s="1"/>
  <c r="H185" i="1"/>
  <c r="BW185" i="1"/>
  <c r="H30" i="1"/>
  <c r="Q11" i="5"/>
  <c r="P11" i="5"/>
  <c r="R11" i="5"/>
  <c r="H10" i="14"/>
  <c r="I10" i="14" s="1"/>
  <c r="J10" i="14" s="1"/>
  <c r="H130" i="1"/>
  <c r="BW130" i="1"/>
  <c r="H83" i="1"/>
  <c r="BW83" i="1"/>
  <c r="H2" i="14"/>
  <c r="I2" i="14" s="1"/>
  <c r="J2" i="14" s="1"/>
  <c r="L29" i="5"/>
  <c r="M29" i="5"/>
  <c r="N29" i="5"/>
  <c r="Q63" i="5"/>
  <c r="R63" i="5"/>
  <c r="P63" i="5"/>
  <c r="H30" i="14"/>
  <c r="I30" i="14" s="1"/>
  <c r="J30" i="14" s="1"/>
  <c r="Q188" i="5"/>
  <c r="R188" i="5"/>
  <c r="P188" i="5"/>
  <c r="I52" i="14"/>
  <c r="J52" i="14" s="1"/>
  <c r="H41" i="14"/>
  <c r="I41" i="14" s="1"/>
  <c r="J41" i="14" s="1"/>
  <c r="I77" i="14"/>
  <c r="J77" i="14" s="1"/>
  <c r="BW112" i="1" l="1"/>
  <c r="H60" i="1"/>
  <c r="BW135" i="1"/>
  <c r="H62" i="1"/>
  <c r="BW24" i="1"/>
  <c r="BW148" i="1"/>
  <c r="BW159" i="1"/>
  <c r="H123" i="1"/>
  <c r="BW53" i="1"/>
  <c r="H87" i="1"/>
  <c r="H206" i="1"/>
  <c r="BW95" i="1"/>
  <c r="BW29" i="1"/>
  <c r="H126" i="1"/>
  <c r="H154" i="1"/>
  <c r="H98" i="1"/>
  <c r="H78" i="1"/>
  <c r="BW84" i="1"/>
  <c r="BW20" i="1"/>
  <c r="H19" i="1"/>
  <c r="BW52" i="1"/>
  <c r="BW125" i="1"/>
  <c r="BW9" i="1"/>
  <c r="BW64" i="1"/>
  <c r="H85" i="1"/>
  <c r="H163" i="1"/>
  <c r="BW120" i="1"/>
  <c r="BW118" i="1"/>
  <c r="BW61" i="1"/>
  <c r="BW16" i="1"/>
  <c r="BW34" i="1"/>
  <c r="BW150" i="1"/>
  <c r="BW139" i="1"/>
  <c r="BW33" i="1"/>
  <c r="BW69" i="1"/>
  <c r="BW207" i="1"/>
  <c r="BW91" i="1"/>
  <c r="BW94" i="1"/>
  <c r="BW165" i="1"/>
  <c r="BW48" i="1"/>
  <c r="BW114" i="1"/>
  <c r="BW196" i="1"/>
  <c r="BW100" i="1"/>
  <c r="BW200" i="1"/>
  <c r="BW195" i="1"/>
  <c r="BW75" i="1"/>
  <c r="H117" i="1"/>
  <c r="BW113" i="1"/>
  <c r="BW86" i="1"/>
  <c r="BW122" i="1"/>
  <c r="BW188" i="1"/>
  <c r="BW3" i="1"/>
  <c r="BW15" i="1"/>
  <c r="BW65" i="1"/>
  <c r="BW109" i="1"/>
  <c r="BW157" i="1"/>
  <c r="BW205" i="1"/>
  <c r="H73" i="1"/>
  <c r="H21" i="1"/>
  <c r="BW115" i="1"/>
  <c r="BW46" i="1"/>
  <c r="BW145" i="1"/>
  <c r="BW161" i="1"/>
  <c r="H77" i="1"/>
  <c r="H192" i="1"/>
  <c r="BW146" i="1"/>
  <c r="BW18" i="1"/>
  <c r="BW152" i="1"/>
  <c r="BW71" i="1"/>
  <c r="BW7" i="1"/>
  <c r="BW68" i="1"/>
  <c r="BW147" i="1"/>
  <c r="BW199" i="1"/>
  <c r="BW31" i="1"/>
  <c r="BW186" i="1"/>
  <c r="BW151" i="1"/>
  <c r="H183" i="1"/>
  <c r="BW119" i="1"/>
  <c r="BW22" i="1"/>
  <c r="BW141" i="1"/>
  <c r="BW5" i="1"/>
  <c r="BW76" i="1"/>
  <c r="BW136" i="1"/>
  <c r="BW63" i="1"/>
  <c r="BW28" i="1"/>
  <c r="BW124" i="1"/>
  <c r="BW35" i="1"/>
  <c r="H221" i="1"/>
  <c r="BW221" i="1"/>
  <c r="H266" i="1"/>
  <c r="BW2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3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3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4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2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2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3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3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3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3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4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4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4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4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5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5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5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5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6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7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7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8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8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8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9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9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0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0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1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1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1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2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2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3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3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5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5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7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7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8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8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0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0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0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1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1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1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32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2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3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3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3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4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4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7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8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8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9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9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9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0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2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44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44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45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2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4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59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59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60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60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61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1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1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1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2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2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3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1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1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1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1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2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2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2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2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3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3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3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3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4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4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4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4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5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5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5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5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6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6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6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6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7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7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7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7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8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8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8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8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79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79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79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79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0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0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0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0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1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2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2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2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3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3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3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4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4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4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2E47AD16-5992-490C-AC29-40AB069B701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5" authorId="0" shapeId="0" xr:uid="{24470695-C7CC-43A5-987E-A775D667999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5" authorId="0" shapeId="0" xr:uid="{5D0682AB-21D7-4DB0-977F-DC1670FFB4E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6" authorId="0" shapeId="0" xr:uid="{A9CF8294-AAC1-4506-99E9-F0E8C4FB540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6" authorId="0" shapeId="0" xr:uid="{7B0BD585-5204-40D8-AB02-E3414BC4C5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6" authorId="0" shapeId="0" xr:uid="{7F1AF98C-D172-4BA3-B509-5A292C41C27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7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7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7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8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88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88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89" authorId="0" shapeId="0" xr:uid="{58868D16-457D-451C-9E04-5797F6EC4EB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89" authorId="0" shapeId="0" xr:uid="{C73328D1-7ADD-4280-9228-1163BE5E42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89" authorId="0" shapeId="0" xr:uid="{7449922C-2D38-4529-AAB9-8E5612CEA5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0" authorId="0" shapeId="0" xr:uid="{49B0C849-109A-4684-BCE4-E7EB66A2DD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0" authorId="0" shapeId="0" xr:uid="{F2F95DD9-9C17-442C-A30D-1F430DB218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0" authorId="0" shapeId="0" xr:uid="{6F3E460F-9F59-475E-95CC-A649C7626C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1" authorId="0" shapeId="0" xr:uid="{29DED5F4-208F-4689-9326-83E665DACAF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91" authorId="0" shapeId="0" xr:uid="{ADECEE7A-7635-47E6-8486-FBDAE016513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91" authorId="0" shapeId="0" xr:uid="{A26F27FB-7297-46E5-8AED-4EB0676B7A1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2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208FE519-01B5-4DC4-B68A-E40C3E0918DB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3" authorId="0" shapeId="0" xr:uid="{A43FF8F7-E814-481C-8BE7-2F7E3F8C1C0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3" authorId="0" shapeId="0" xr:uid="{6EA8725B-4DCE-4FD0-ABE6-6F2A8F9D483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3" authorId="0" shapeId="0" xr:uid="{E5A4950F-F38B-4DE9-BD71-589D1DFEA9A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4" authorId="0" shapeId="0" xr:uid="{0E83686B-AF4F-4846-AE0A-1009A2CC66E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82E4B190-3CFD-43D8-9845-C38CC972094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9" authorId="0" shapeId="0" xr:uid="{68A6F03D-BF34-4D9D-A696-BA3C568A173B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9" authorId="0" shapeId="0" xr:uid="{7E5CDDF7-0FB1-4CE8-9538-A0B27E040F5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1975E4D5-3D87-4243-B3A5-6E74E23DE3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101" authorId="0" shapeId="0" xr:uid="{308908C6-CD8D-4CF5-8643-AB172C0DD67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101" authorId="0" shapeId="0" xr:uid="{0113DACA-C11D-4489-95A5-AF91E2358D3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102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2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3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87BA4D27-3CCE-4B0A-8C01-2A474C0A7F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9D448715-E795-44DA-898D-8F4866E7F42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AF7C7487-CF91-4330-AAA2-DEBD861ACC8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5" authorId="0" shapeId="0" xr:uid="{A1D0E087-371A-4207-B857-A9AA94E08B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9EFE131F-3F87-4A3F-8E9C-079EC11A88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540B80D3-FF54-4490-AF4C-261822C5E3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FF45B89D-BE29-4977-ADA4-08B326E81F4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6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7" authorId="0" shapeId="0" xr:uid="{1524191C-6D5A-45A4-8B0B-A0D1D8471E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01C64D73-FB6F-41E7-8CD8-1ED7CC277D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AF5DEA37-4452-4CF5-A63D-6D2832B988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7" authorId="0" shapeId="0" xr:uid="{249E1760-D42B-4593-A155-1F5ACC9CEE6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8" authorId="0" shapeId="0" xr:uid="{9C988AB1-A0EC-4909-9880-DD726FA0F8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8" authorId="0" shapeId="0" xr:uid="{B6A049F0-8BFA-4B38-87CD-47C4B2DDC08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8" authorId="0" shapeId="0" xr:uid="{128A0E00-AD19-4077-AD90-1FD8BA3F705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8" authorId="0" shapeId="0" xr:uid="{6330ED74-C601-443C-B916-667A028669AA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9" authorId="0" shapeId="0" xr:uid="{5105170B-0460-4849-9F34-CF95310FCA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0480C0D3-E254-4D84-AA46-D804EAEB27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031BA1D8-E7AA-48CB-AF49-5D10CCE553C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9" authorId="0" shapeId="0" xr:uid="{C6A593DC-5F7C-4CA8-ABA1-0C415BEB9ADF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0" authorId="0" shapeId="0" xr:uid="{C7672D6D-3166-4ED6-B53B-CF1CBFEE18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0" authorId="0" shapeId="0" xr:uid="{B4F88179-8EF8-4360-840B-C9476E5A25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0" authorId="0" shapeId="0" xr:uid="{CF7298AE-2770-4065-A6C3-E4CBE55925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1" authorId="0" shapeId="0" xr:uid="{EA6F9409-0E75-4080-83C5-BCCAACA097B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1" authorId="0" shapeId="0" xr:uid="{5DB7F6CA-D31B-4CB5-A722-A36D555399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1" authorId="0" shapeId="0" xr:uid="{3D2B29C1-E3F5-492A-A7D9-4A3C4CD162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2" authorId="0" shapeId="0" xr:uid="{BBF29D58-B036-4D11-9444-4AEA9A9EEA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2" authorId="0" shapeId="0" xr:uid="{801EF18A-C63F-41F6-85E6-F703ECA9A9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2" authorId="0" shapeId="0" xr:uid="{19E95B33-B8C0-408D-AA4E-43F1793E06A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3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3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3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4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4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4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5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5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5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6" authorId="0" shapeId="0" xr:uid="{8027F46B-E8A7-43AD-9B7C-47EE2D5DAEB7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16" authorId="0" shapeId="0" xr:uid="{2D43D147-DBC7-40D0-B7BA-507E9745875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16" authorId="0" shapeId="0" xr:uid="{133D3512-9691-4F2C-95E5-83DE278BF1F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7" authorId="0" shapeId="0" xr:uid="{964D50A4-A9A3-4599-A82E-D24AD863FC4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17" authorId="0" shapeId="0" xr:uid="{F5F249DF-209D-4523-9D38-78F9FDEA8C20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17" authorId="0" shapeId="0" xr:uid="{36E11F08-66DC-4C0F-811F-FD92B0536D8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8" authorId="0" shapeId="0" xr:uid="{7EE8DBD5-D9D5-4CD5-A809-3DA58BE3D98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18" authorId="0" shapeId="0" xr:uid="{E3EF43EA-F611-4170-9321-0EE9BEBA6D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18" authorId="0" shapeId="0" xr:uid="{38A585E7-A487-4FBB-AC3C-43D3B0EFA72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9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9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9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9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20" authorId="0" shapeId="0" xr:uid="{00DF7B81-1825-4E16-8C43-F1E2C21FB9B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0" authorId="0" shapeId="0" xr:uid="{62AF052F-3573-4813-8376-7CB070F2463C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0" authorId="0" shapeId="0" xr:uid="{A1069B21-4B72-4941-BCE4-E4D37D3FF3C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1" authorId="0" shapeId="0" xr:uid="{AD0D798A-81CF-4183-B356-834ACACD7E9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121" authorId="0" shapeId="0" xr:uid="{86FE193E-C586-42E7-B8E6-B05435215438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121" authorId="0" shapeId="0" xr:uid="{0D5ADDE2-C642-4676-9522-09282D8EE82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22" authorId="0" shapeId="0" xr:uid="{4E740A12-09B1-4942-9035-CB7D96218D0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2" authorId="0" shapeId="0" xr:uid="{55B5CC4C-4DF0-4ACD-80F7-C25DF988200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2" authorId="0" shapeId="0" xr:uid="{A7B084A8-36D5-437D-80B0-2B4CF89EAF0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2" authorId="0" shapeId="0" xr:uid="{DB317AA3-B6B8-4505-B578-8D4D90AAF9E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23" authorId="0" shapeId="0" xr:uid="{87DB8CDF-CE10-48B7-BEB0-0D9E5B1111B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23" authorId="0" shapeId="0" xr:uid="{8BB6C462-3843-41B7-BAA0-6DEDECFD04F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23" authorId="0" shapeId="0" xr:uid="{29F20F91-C71F-4DF4-8108-0B164C90C3C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23" authorId="0" shapeId="0" xr:uid="{DA49FD7A-E097-45F4-B5C1-7E518DCD349B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F138" authorId="0" shapeId="0" xr:uid="{2A9C1AF1-C236-4788-8410-1B49EF8A201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200" authorId="0" shapeId="0" xr:uid="{B01D9816-E9DB-49B3-A32E-2B642A6F31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1" authorId="0" shapeId="0" xr:uid="{624A68EC-E9B8-4A16-8A87-0E813676DD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2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3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1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1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2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5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9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9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0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1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1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1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2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2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2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6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7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8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8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9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9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E42CA70F-7A84-476A-817F-A3D8E5D66AC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2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3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4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5" authorId="0" shapeId="0" xr:uid="{6D6B5870-B76E-46B6-BD29-BE672E9781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29BD8327-DF1C-4700-969A-229B3C51FF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8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9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0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1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1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2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3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4" authorId="0" shapeId="0" xr:uid="{A07204FB-26CF-41E3-9410-285AD8E9CA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7005E53A-5494-4FD1-AE1A-46F6A7D94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5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6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7" authorId="0" shapeId="0" xr:uid="{72748C73-E553-48FE-B863-4BFD93202D6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8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9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0" authorId="0" shapeId="0" xr:uid="{777AE7CD-F696-4BF0-A155-EB0A2443B65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0" authorId="0" shapeId="0" xr:uid="{62DE06E9-495B-42A7-B79B-19FAD48AB02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1" authorId="0" shapeId="0" xr:uid="{37AF9A06-6CE5-4011-9319-D54D20E87A6A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2" authorId="0" shapeId="0" xr:uid="{81630E6A-AE9B-4FA1-99C6-EC4CC292065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2" authorId="0" shapeId="0" xr:uid="{6EB3F0DB-2875-4C48-A35E-6D846ACC225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3" authorId="0" shapeId="0" xr:uid="{220B0B55-4509-40BA-A3DC-2AF0DC7AE05E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J253" authorId="0" shapeId="0" xr:uid="{F6C7888B-72DE-4BD8-BF3A-7A0A236283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4582C46D-7360-4AB0-A4EF-83432D9D3237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254" authorId="0" shapeId="0" xr:uid="{C46CE90E-FDBD-4B09-BBCD-3B870EC9B89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4" authorId="0" shapeId="0" xr:uid="{C8280DFF-A907-48A6-925E-962C918294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5" authorId="0" shapeId="0" xr:uid="{A761ABF8-A37C-4512-9AF2-9FA708469BBC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5" authorId="0" shapeId="0" xr:uid="{A55A6699-D375-45AD-9260-82987B517AA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59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59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0" authorId="0" shapeId="0" xr:uid="{646A806E-D955-467A-8BDA-3FB7B856AC9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0" authorId="0" shapeId="0" xr:uid="{0570916F-0DB9-4EBB-8D5B-DFD2CC2F6F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1" authorId="0" shapeId="0" xr:uid="{BCDF2E36-BDB3-4C72-A8DF-F3C9AC4D0A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1" authorId="0" shapeId="0" xr:uid="{61F67A2A-3C08-41BA-BC55-34C3C6A8A2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2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2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4" authorId="0" shapeId="0" xr:uid="{46B55BF1-1EF0-4606-ABA7-82F0519C53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EDC150D5-EC97-460F-955C-A8E354E2AE8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8" authorId="0" shapeId="0" xr:uid="{AA7048F1-2D8B-4F49-8FD4-3457AC263A15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G268" authorId="0" shapeId="0" xr:uid="{F236B208-6D1F-4343-8D41-439EE61AB4B2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268" authorId="0" shapeId="0" xr:uid="{92B7A0AB-9F5E-49C3-8DE1-F30F3B24D384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U269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0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1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2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73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3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3" authorId="0" shapeId="0" xr:uid="{7FEF390E-49AA-441B-8FFF-E910AAF177E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3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74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74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74" authorId="0" shapeId="0" xr:uid="{0E946E06-C2EE-4ED0-B597-6BD56CE7BA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74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5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5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6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6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77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77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78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79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0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1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2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83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5" authorId="0" shapeId="0" xr:uid="{26221105-1EC9-4F6C-ABCE-7E5957265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88" authorId="0" shapeId="0" xr:uid="{DE23299B-C9EC-4B7E-AAD1-6634D97475C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90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0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1" authorId="0" shapeId="0" xr:uid="{E8FB4CB6-DD16-4004-80BE-1EF56B1E29C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1" authorId="0" shapeId="0" xr:uid="{D33900F0-E82B-49D1-8C36-B800EECFFCB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2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2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L293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93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94" authorId="0" shapeId="0" xr:uid="{9472F985-BE11-4A82-B4E3-11E90716F13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94" authorId="0" shapeId="0" xr:uid="{23200EF8-2592-4744-B0BD-DB5CB46B79D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94" authorId="0" shapeId="0" xr:uid="{736B24B7-20E4-4269-BE9F-F8380454B141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L295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5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L296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96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97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8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01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01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L302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2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2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3" authorId="0" shapeId="0" xr:uid="{8EF5EA25-9896-4636-B4A0-478D53F34C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3" authorId="0" shapeId="0" xr:uid="{75376474-7F0C-4A1C-A372-0FE76EE53B4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4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4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5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5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V307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307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308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8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9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0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1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3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313" authorId="0" shapeId="0" xr:uid="{3D22322B-F61F-48F5-94AF-75F34BDBF6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14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14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315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5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16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L317" authorId="0" shapeId="0" xr:uid="{EDB4B7BB-A34D-4B55-9751-076321412EA0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7" authorId="0" shapeId="0" xr:uid="{90C7B410-9C32-4A79-8D2D-0119CD5E7B3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318" authorId="0" shapeId="0" xr:uid="{5BB350A2-984B-48E7-8B3D-B30D3EFDC5A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9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2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2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3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3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4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4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5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5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6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6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7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7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8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328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9" authorId="0" shapeId="0" xr:uid="{C04066E6-C81E-41B7-AF12-A9477A66A54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329" authorId="0" shapeId="0" xr:uid="{BBE6E40D-40D9-46C7-8362-32D2EBE3DE99}">
      <text>
        <r>
          <rPr>
            <b/>
            <sz val="9"/>
            <color indexed="81"/>
            <rFont val="Tahoma"/>
            <family val="2"/>
            <charset val="204"/>
          </rPr>
          <t>https://www.futura-sciences.com/en/this-dinosaur-had-claws-twice-as-long-as-a-velociraptors-scientists-had-never-seen-anything-like-it_20295/</t>
        </r>
      </text>
    </comment>
    <comment ref="V329" authorId="0" shapeId="0" xr:uid="{C9C8FB0D-C01F-4E38-A223-FA08A176A9A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<sst xmlns="http://schemas.openxmlformats.org/spreadsheetml/2006/main" count="9930" uniqueCount="1904">
  <si>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</si>
  <si>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</si>
  <si>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</si>
  <si>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</si>
  <si>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</si>
  <si>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</si>
  <si>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</si>
  <si>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</si>
  <si>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</si>
  <si>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</si>
  <si>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</si>
  <si>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</si>
  <si>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</si>
  <si>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</si>
  <si>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</si>
  <si>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</si>
  <si>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</si>
  <si>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</si>
  <si>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</si>
  <si>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</si>
  <si>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</si>
  <si>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</si>
  <si>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</si>
  <si>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</si>
  <si>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</si>
  <si>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</si>
  <si>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</si>
  <si>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</si>
  <si>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</si>
  <si>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</si>
  <si>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</si>
  <si>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</si>
  <si>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</si>
  <si>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</si>
  <si>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</si>
  <si>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</si>
  <si>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</si>
  <si>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</si>
  <si>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</si>
  <si>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</si>
  <si>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</si>
  <si>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</si>
  <si>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</si>
  <si>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</si>
  <si>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</si>
  <si>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</si>
  <si>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</si>
  <si>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</si>
  <si>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</si>
  <si>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</si>
  <si>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</si>
  <si>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</si>
  <si>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</si>
  <si>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</si>
  <si>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</si>
  <si>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</si>
  <si>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</si>
  <si>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</si>
  <si>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</si>
  <si>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</si>
  <si>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</si>
  <si>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</si>
  <si>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</si>
  <si>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</si>
  <si>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</si>
  <si>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</si>
  <si>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</si>
  <si>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</si>
  <si>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</si>
  <si>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</si>
  <si>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</si>
  <si>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</si>
  <si>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</si>
  <si>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</si>
  <si>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</si>
  <si>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</si>
  <si>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</si>
  <si>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</si>
  <si>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</si>
  <si>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</si>
  <si>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</si>
  <si>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</si>
  <si>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</si>
  <si>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</si>
  <si>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</si>
  <si>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</si>
  <si>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</si>
  <si>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</si>
  <si>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</si>
  <si>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</si>
  <si>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</si>
  <si>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</si>
  <si>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</si>
  <si>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</si>
  <si>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</si>
  <si>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</si>
  <si>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</si>
  <si>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</si>
  <si>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</si>
  <si>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</si>
  <si>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</si>
  <si>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</si>
  <si>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</si>
  <si>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</si>
  <si>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</si>
  <si>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</si>
  <si>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</si>
  <si>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</si>
  <si>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</si>
  <si>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</si>
  <si>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</si>
  <si>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</si>
  <si>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</si>
  <si>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</si>
  <si>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</si>
  <si>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</si>
  <si>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</si>
  <si>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</si>
  <si>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</si>
  <si>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</si>
  <si>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</si>
  <si>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</si>
  <si>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</si>
  <si>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</si>
  <si>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</si>
  <si>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</si>
  <si>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</si>
  <si>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</si>
  <si>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</si>
  <si>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</si>
  <si>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</si>
  <si>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</si>
  <si>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</si>
  <si>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</si>
  <si>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</si>
  <si>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</si>
  <si>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</si>
  <si>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</si>
  <si>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</si>
  <si>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</si>
  <si>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</si>
  <si>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</si>
  <si>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</si>
  <si>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</si>
  <si>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</si>
  <si>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</si>
  <si>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</si>
  <si>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</si>
  <si>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</si>
  <si>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</si>
  <si>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</si>
  <si>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</si>
  <si>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</si>
  <si>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</si>
  <si>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</si>
  <si>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</si>
  <si>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</si>
  <si>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</si>
  <si>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</si>
  <si>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</si>
  <si>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</si>
  <si>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</si>
  <si>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</si>
  <si>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</si>
  <si>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</si>
  <si>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</si>
  <si>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</si>
  <si>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</si>
  <si>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</si>
  <si>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</si>
  <si>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</si>
  <si>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</si>
  <si>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</si>
  <si>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</si>
  <si>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</si>
  <si>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</si>
  <si>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</si>
  <si>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</si>
  <si>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</si>
  <si>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</si>
  <si>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</si>
  <si>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</si>
  <si>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</si>
  <si>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</si>
  <si>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</si>
  <si>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</si>
  <si>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</si>
  <si>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</si>
  <si>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</si>
  <si>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</si>
  <si>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</si>
  <si>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</si>
  <si>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</si>
  <si>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</si>
  <si>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</si>
  <si>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</si>
  <si>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</si>
  <si>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</si>
  <si>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</si>
  <si>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</si>
  <si>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</si>
  <si>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</si>
  <si>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</si>
  <si>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</si>
  <si>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</si>
  <si>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</si>
  <si>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</si>
  <si>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</si>
  <si>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</si>
  <si>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</si>
  <si>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</si>
  <si>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</si>
  <si>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</si>
  <si>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</si>
  <si>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</si>
  <si>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</si>
  <si>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</si>
  <si>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</si>
  <si>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</si>
  <si>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</si>
  <si>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</si>
  <si>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</si>
  <si>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</si>
  <si>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</si>
  <si>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</si>
  <si>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</si>
  <si>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</si>
  <si>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</si>
  <si>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</si>
  <si>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</si>
  <si>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</si>
  <si>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</si>
  <si>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</si>
  <si>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</si>
  <si>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</si>
  <si>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</si>
  <si>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</si>
  <si>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</si>
  <si>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</si>
  <si>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</si>
  <si>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</si>
  <si>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</si>
  <si>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</si>
  <si>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</si>
  <si>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</si>
  <si>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</si>
  <si>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</si>
  <si>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</si>
  <si>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</si>
  <si>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</si>
  <si>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</si>
  <si>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</si>
  <si>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</si>
  <si>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</si>
  <si>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</si>
  <si>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</si>
  <si>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</si>
  <si>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</si>
  <si>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</si>
  <si>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</si>
  <si>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</si>
  <si>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</si>
  <si>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</si>
  <si>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</si>
  <si>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</si>
  <si>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</si>
  <si>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</si>
  <si>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</si>
  <si>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</si>
  <si>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</si>
  <si>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</si>
  <si>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</si>
  <si>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</si>
  <si>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</si>
  <si>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</si>
  <si>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</si>
  <si>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</si>
  <si>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</si>
  <si>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</si>
  <si>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</si>
  <si>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</si>
  <si>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</si>
  <si>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</si>
  <si>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</si>
  <si>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</si>
  <si>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</si>
  <si>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</si>
  <si>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</si>
  <si>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</si>
  <si>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</si>
  <si>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</si>
  <si>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</si>
  <si>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</si>
  <si>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</si>
  <si>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</si>
  <si>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</si>
  <si>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</si>
  <si>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</si>
  <si>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</si>
  <si>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</si>
  <si>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</si>
  <si>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</si>
  <si>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</si>
  <si>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</si>
  <si>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</si>
  <si>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</si>
  <si>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</si>
  <si>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</si>
  <si>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</si>
  <si>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</si>
  <si>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</si>
  <si>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</si>
  <si>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</si>
  <si>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</si>
  <si>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</si>
  <si>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</si>
  <si>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</si>
  <si>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</si>
  <si>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</si>
  <si>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</si>
  <si>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</si>
  <si>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</si>
  <si>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</si>
  <si>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</si>
  <si>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</si>
  <si>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</si>
  <si>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</si>
  <si>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</si>
  <si>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</si>
  <si>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</si>
  <si>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</si>
  <si>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</si>
  <si>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</si>
  <si>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</si>
  <si>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</si>
  <si>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</si>
  <si>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</si>
  <si>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</si>
  <si>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</si>
  <si>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</si>
  <si>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</si>
  <si>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</si>
  <si>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</si>
  <si>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</si>
  <si>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</si>
  <si>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</si>
  <si>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</si>
  <si>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</si>
  <si>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</si>
  <si>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</si>
  <si>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</si>
  <si>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</si>
  <si>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</si>
  <si>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</si>
  <si>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</si>
  <si>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</si>
  <si>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</si>
  <si>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</si>
  <si>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</si>
  <si>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</si>
  <si>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</si>
  <si>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</si>
  <si>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</si>
  <si>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</si>
  <si>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</si>
  <si>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</si>
  <si>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</si>
  <si>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</si>
  <si>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</si>
  <si>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</si>
  <si>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</si>
  <si>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</si>
  <si>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</si>
  <si>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</si>
  <si>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</si>
  <si>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</si>
  <si>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</si>
  <si>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</si>
  <si>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</si>
  <si>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</si>
  <si>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</si>
  <si>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</si>
  <si>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</si>
  <si>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</si>
  <si>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</si>
  <si>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</si>
  <si>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</si>
  <si>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</si>
  <si>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</si>
  <si>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</si>
  <si>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</si>
  <si>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</si>
  <si>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</si>
  <si>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</si>
  <si>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</si>
  <si>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</si>
  <si>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</si>
  <si>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</si>
  <si>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</si>
  <si>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</si>
  <si>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</si>
  <si>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</si>
  <si>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</si>
  <si>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</si>
  <si>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</si>
  <si>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</si>
  <si>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</si>
  <si>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</si>
  <si>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</si>
  <si>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</si>
  <si>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</si>
  <si>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</si>
  <si>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</si>
  <si>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</si>
  <si>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</si>
  <si>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</si>
  <si>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</si>
  <si>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</si>
  <si>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</si>
  <si>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</si>
  <si>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</si>
  <si>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</si>
  <si>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</si>
  <si>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</si>
  <si>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</si>
  <si>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</si>
  <si>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</si>
  <si>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</si>
  <si>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</si>
  <si>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</si>
  <si>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</si>
  <si>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</si>
  <si>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</si>
  <si>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</si>
  <si>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</si>
  <si>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</si>
  <si>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</si>
  <si>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</si>
  <si>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</si>
  <si>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</si>
  <si>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</si>
  <si>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</si>
  <si>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</si>
  <si>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</si>
  <si>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</si>
  <si>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</si>
  <si>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</si>
  <si>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</si>
  <si>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</si>
  <si>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</si>
  <si>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</si>
  <si>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</si>
  <si>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</si>
  <si>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</si>
  <si>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</si>
  <si>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</si>
  <si>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</si>
  <si>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</si>
  <si>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</si>
  <si>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</si>
  <si>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</si>
  <si>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</si>
  <si>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</si>
  <si>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</si>
  <si>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</si>
  <si>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</si>
  <si>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</si>
  <si>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</si>
  <si>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</si>
  <si>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</si>
  <si>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</si>
  <si>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</si>
  <si>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</si>
  <si>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</si>
  <si>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</si>
  <si>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</si>
  <si>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</si>
  <si>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</si>
  <si>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</si>
  <si>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</si>
  <si>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</si>
  <si>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</si>
  <si>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</si>
  <si>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</si>
  <si>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</si>
  <si>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</si>
  <si>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</si>
  <si>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</si>
  <si>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</si>
  <si>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</si>
  <si>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</si>
  <si>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</si>
  <si>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</si>
  <si>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</si>
  <si>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</si>
  <si>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</si>
  <si>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</si>
  <si>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</si>
  <si>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</si>
  <si>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</si>
  <si>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</si>
  <si>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</si>
  <si>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</si>
  <si>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</si>
  <si>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</si>
  <si>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</si>
  <si>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</si>
  <si>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</si>
  <si>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</si>
  <si>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</si>
  <si>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</si>
  <si>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</si>
  <si>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</si>
  <si>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</si>
  <si>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</si>
  <si>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</si>
  <si>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</si>
  <si>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</si>
  <si>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</si>
  <si>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</si>
  <si>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</si>
  <si>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</si>
  <si>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</si>
  <si>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</si>
  <si>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</si>
  <si>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</si>
  <si>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</si>
  <si>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</si>
  <si>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</si>
  <si>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</si>
  <si>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</si>
  <si>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</si>
  <si>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</si>
  <si>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</si>
  <si>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</si>
  <si>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</si>
  <si>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</si>
  <si>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</si>
  <si>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</si>
  <si>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</si>
  <si>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</si>
  <si>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</si>
  <si>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</si>
  <si>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</si>
  <si>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</si>
  <si>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</si>
  <si>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</si>
  <si>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</si>
  <si>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</si>
  <si>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</si>
  <si>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</si>
  <si>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</si>
  <si>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</si>
  <si>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</si>
  <si>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</si>
  <si>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</si>
  <si>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</si>
  <si>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</si>
  <si>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</si>
  <si>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</si>
  <si>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</si>
  <si>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</si>
  <si>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</si>
  <si>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</si>
  <si>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</si>
  <si>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</si>
  <si>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</si>
  <si>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</si>
  <si>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</si>
  <si>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</si>
  <si>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</si>
  <si>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</si>
  <si>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</si>
  <si>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</si>
  <si>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</si>
  <si>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</si>
  <si>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</si>
  <si>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</si>
  <si>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</si>
  <si>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</si>
  <si>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</si>
  <si>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</si>
  <si>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</si>
  <si>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</si>
  <si>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</si>
  <si>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</si>
  <si>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</si>
  <si>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</si>
  <si>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</si>
  <si>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</si>
  <si>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</si>
  <si>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</si>
  <si>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</si>
  <si>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</si>
  <si>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</si>
  <si>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</si>
  <si>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</si>
  <si>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</si>
  <si>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</si>
  <si>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</si>
  <si>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</si>
  <si>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</si>
  <si>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</si>
  <si>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</si>
  <si>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</si>
  <si>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</si>
  <si>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</si>
  <si>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</si>
  <si>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</si>
  <si>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</si>
  <si>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</si>
  <si>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</si>
  <si>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</si>
  <si>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</si>
  <si>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</si>
  <si>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</si>
  <si>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</si>
  <si>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</si>
  <si>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</si>
  <si>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</si>
  <si>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</si>
  <si>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</si>
  <si>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</si>
  <si>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</si>
  <si>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</si>
  <si>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</si>
  <si>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</si>
  <si>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</si>
  <si>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</si>
  <si>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</si>
  <si>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</si>
  <si>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</si>
  <si>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</si>
  <si>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</si>
  <si>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</si>
  <si>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</si>
  <si>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</si>
  <si>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</si>
  <si>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</si>
  <si>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</si>
  <si>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</si>
  <si>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</si>
  <si>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</si>
  <si>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</si>
  <si>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</si>
  <si>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</si>
  <si>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</si>
  <si>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</si>
  <si>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</si>
  <si>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</si>
  <si>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</si>
  <si>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</si>
  <si>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</si>
  <si>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</si>
  <si>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</si>
  <si>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</si>
  <si>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</si>
  <si>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</si>
  <si>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</si>
  <si>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</si>
  <si>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</si>
  <si>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</si>
  <si>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</si>
  <si>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</si>
  <si>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</si>
  <si>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</si>
  <si>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</si>
  <si>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</si>
  <si>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</si>
  <si>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</si>
  <si>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</si>
  <si>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</si>
  <si>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</si>
  <si>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</si>
  <si>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</si>
  <si>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</si>
  <si>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</si>
  <si>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</si>
  <si>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</si>
  <si>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</si>
  <si>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</si>
  <si>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</si>
  <si>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</si>
  <si>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</si>
  <si>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</si>
  <si>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</si>
  <si>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</si>
  <si>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</si>
  <si>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</si>
  <si>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</si>
  <si>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</si>
  <si>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</si>
  <si>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</si>
  <si>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</si>
  <si>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</si>
  <si>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</si>
  <si>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</si>
  <si>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</si>
  <si>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</si>
  <si>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</si>
  <si>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</si>
  <si>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</si>
  <si>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</si>
  <si>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</si>
  <si>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</si>
  <si>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</si>
  <si>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</si>
  <si>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</si>
  <si>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</si>
  <si>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</si>
  <si>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</si>
  <si>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</si>
  <si>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</si>
  <si>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</si>
  <si>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</si>
  <si>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</si>
  <si>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</si>
  <si>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</si>
  <si>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</si>
  <si>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</si>
  <si>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</si>
  <si>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</si>
  <si>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</si>
  <si>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</si>
  <si>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</si>
  <si>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</si>
  <si>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</si>
  <si>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</si>
  <si>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</si>
  <si>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</si>
  <si>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</si>
  <si>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</si>
  <si>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</si>
  <si>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</si>
  <si>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</si>
  <si>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</si>
  <si>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</si>
  <si>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</si>
  <si>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</si>
  <si>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</si>
  <si>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</si>
  <si>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</si>
  <si>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</si>
  <si>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</si>
  <si>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</si>
  <si>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</si>
  <si>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</si>
  <si>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</si>
  <si>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</si>
  <si>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</si>
  <si>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</si>
  <si>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</si>
  <si>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</si>
  <si>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</si>
  <si>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</si>
  <si>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</si>
  <si>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</si>
  <si>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</si>
  <si>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</si>
  <si>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</si>
  <si>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</si>
  <si>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</si>
  <si>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</si>
  <si>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</si>
  <si>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</si>
  <si>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</si>
  <si>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</si>
  <si>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</si>
  <si>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</si>
  <si>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</si>
  <si>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</si>
  <si>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</si>
  <si>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</si>
  <si>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</si>
  <si>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</si>
  <si>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</si>
  <si>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</si>
  <si>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</si>
  <si>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</si>
  <si>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</si>
  <si>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</si>
  <si>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</si>
  <si>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</si>
  <si>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</si>
  <si>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</si>
  <si>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</si>
  <si>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</si>
  <si>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</si>
  <si>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</si>
  <si>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</si>
  <si>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</si>
  <si>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</si>
  <si>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</si>
  <si>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</si>
  <si>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</si>
  <si>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</si>
  <si>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</si>
  <si>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</si>
  <si>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</si>
  <si>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</si>
  <si>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</si>
  <si>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</si>
  <si>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</si>
  <si>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</si>
  <si>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</si>
  <si>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</si>
  <si>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</si>
  <si>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</si>
  <si>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</si>
  <si>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</si>
  <si>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</si>
  <si>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</si>
  <si>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</si>
  <si>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</si>
  <si>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</si>
  <si>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</si>
  <si>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</si>
  <si>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</si>
  <si>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</si>
  <si>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</si>
  <si>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</si>
  <si>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</si>
  <si>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</si>
  <si>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</si>
  <si>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</si>
  <si>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</si>
  <si>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</si>
  <si>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</si>
  <si>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</si>
  <si>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</si>
  <si>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</si>
  <si>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</si>
  <si>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</si>
  <si>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</si>
  <si>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</si>
  <si>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</si>
  <si>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</si>
  <si>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</si>
  <si>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</si>
  <si>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</si>
  <si>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</si>
  <si>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</si>
  <si>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</si>
  <si>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</si>
  <si>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</si>
  <si>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</si>
  <si>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</si>
  <si>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</si>
  <si>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</si>
  <si>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</si>
  <si>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</si>
  <si>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</si>
  <si>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</si>
  <si>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</si>
  <si>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</si>
  <si>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</si>
  <si>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</si>
  <si>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</si>
  <si>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</si>
  <si>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</si>
  <si>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</si>
  <si>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</si>
  <si>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</si>
  <si>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</si>
  <si>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</si>
  <si>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</si>
  <si>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</si>
  <si>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</si>
  <si>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</si>
  <si>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</si>
  <si>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</si>
  <si>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</si>
  <si>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</si>
  <si>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</si>
  <si>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</si>
  <si>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</si>
  <si>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</si>
  <si>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</si>
  <si>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</si>
  <si>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</si>
  <si>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</si>
  <si>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</si>
  <si>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</si>
  <si>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</si>
  <si>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</si>
  <si>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</si>
  <si>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</si>
  <si>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</si>
  <si>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</si>
  <si>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</si>
  <si>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</si>
  <si>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</si>
  <si>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</si>
  <si>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</si>
  <si>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</si>
  <si>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</si>
  <si>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</si>
  <si>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</si>
  <si>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</si>
  <si>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</si>
  <si>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</si>
  <si>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</si>
  <si>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</si>
  <si>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</si>
  <si>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</si>
  <si>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</si>
  <si>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</si>
  <si>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</si>
  <si>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</si>
  <si>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</si>
  <si>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</si>
  <si>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</si>
  <si>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</si>
  <si>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</si>
  <si>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</si>
  <si>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</si>
  <si>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</si>
  <si>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</si>
  <si>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</si>
  <si>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</si>
  <si>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</si>
  <si>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</si>
  <si>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</si>
  <si>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</si>
  <si>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</si>
  <si>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</si>
  <si>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</si>
  <si>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</si>
  <si>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</si>
  <si>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</si>
  <si>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</si>
  <si>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</si>
  <si>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</si>
  <si>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</si>
  <si>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</si>
  <si>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</si>
  <si>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</si>
  <si>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</si>
  <si>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</si>
  <si>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</si>
  <si>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</si>
  <si>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</si>
  <si>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</si>
  <si>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</si>
  <si>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</si>
  <si>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</si>
  <si>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</si>
  <si>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</si>
  <si>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</si>
  <si>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</si>
  <si>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</si>
  <si>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</si>
  <si>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</si>
  <si>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</si>
  <si>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</si>
  <si>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</si>
  <si>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</si>
  <si>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</si>
  <si>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</si>
  <si>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</si>
  <si>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</si>
  <si>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</si>
  <si>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</si>
  <si>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</si>
  <si>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</si>
  <si>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</si>
  <si>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</si>
  <si>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</si>
  <si>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</si>
  <si>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</si>
  <si>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</si>
  <si>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</si>
  <si>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</si>
  <si>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</si>
  <si>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</si>
  <si>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</si>
  <si>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</si>
  <si>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</si>
  <si>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</si>
  <si>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</si>
  <si>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</si>
  <si>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</si>
  <si>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</si>
  <si>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</si>
  <si>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</si>
  <si>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</si>
  <si>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</si>
  <si>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</si>
  <si>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</si>
  <si>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</si>
  <si>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</si>
  <si>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</si>
  <si>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</si>
  <si>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</si>
  <si>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</si>
  <si>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</si>
  <si>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</si>
  <si>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</si>
  <si>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</si>
  <si>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</si>
  <si>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</si>
  <si>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</si>
  <si>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</si>
  <si>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</si>
  <si>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</si>
  <si>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</si>
  <si>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</si>
  <si>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</si>
  <si>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</si>
  <si>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</si>
  <si>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</si>
  <si>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</si>
  <si>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</si>
  <si>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</si>
  <si>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</si>
  <si>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</si>
  <si>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</si>
  <si>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</si>
  <si>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</si>
  <si>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</si>
  <si>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</si>
  <si>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</si>
  <si>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</si>
  <si>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</si>
  <si>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</si>
  <si>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</si>
  <si>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</si>
  <si>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</si>
  <si>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</si>
  <si>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</si>
  <si>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</si>
  <si>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</si>
  <si>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</si>
  <si>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</si>
  <si>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</si>
  <si>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</si>
  <si>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</si>
  <si>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</si>
  <si>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</si>
  <si>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</si>
  <si>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</si>
  <si>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</si>
  <si>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</si>
  <si>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</si>
  <si>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</si>
  <si>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</si>
  <si>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</si>
  <si>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</si>
  <si>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</si>
  <si>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</si>
  <si>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</si>
  <si>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</si>
  <si>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</si>
  <si>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</si>
  <si>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</si>
  <si>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</si>
  <si>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</si>
  <si>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</si>
  <si>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</si>
  <si>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</si>
  <si>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</si>
  <si>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</si>
  <si>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</si>
  <si>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</si>
  <si>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</si>
  <si>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</si>
  <si>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</si>
  <si>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</si>
  <si>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</si>
  <si>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</si>
  <si>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</si>
  <si>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</si>
  <si>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</si>
  <si>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</si>
  <si>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</si>
  <si>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</si>
  <si>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</si>
  <si>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</si>
  <si>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</si>
  <si>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</si>
  <si>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</si>
  <si>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</si>
  <si>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</si>
  <si>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</si>
  <si>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</si>
  <si>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</si>
  <si>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</si>
  <si>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</si>
  <si>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</si>
  <si>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</si>
  <si>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</si>
  <si>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</si>
  <si>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</si>
  <si>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</si>
  <si>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</si>
  <si>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</si>
  <si>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</si>
  <si>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</si>
  <si>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</si>
  <si>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</si>
  <si>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</si>
  <si>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</si>
  <si>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</si>
  <si>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</si>
  <si>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</si>
  <si>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</si>
  <si>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</si>
  <si>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</si>
  <si>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</si>
  <si>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</si>
  <si>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</si>
  <si>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</si>
  <si>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</si>
  <si>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</si>
  <si>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</si>
  <si>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</si>
  <si>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</si>
  <si>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</si>
  <si>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</si>
  <si>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</si>
  <si>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</si>
  <si>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</si>
  <si>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</si>
  <si>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</si>
  <si>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</si>
  <si>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</si>
  <si>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</si>
  <si>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</si>
  <si>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</si>
  <si>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</si>
  <si>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</si>
  <si>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</si>
  <si>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</si>
  <si>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</si>
  <si>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</si>
  <si>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</si>
  <si>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</si>
  <si>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</si>
  <si>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</si>
  <si>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</si>
  <si>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</si>
  <si>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</si>
  <si>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</si>
  <si>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</si>
  <si>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</si>
  <si>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</si>
  <si>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</si>
  <si>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</si>
  <si>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</si>
  <si>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</si>
  <si>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</si>
  <si>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</si>
  <si>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</si>
  <si>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</si>
  <si>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</si>
  <si>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</si>
  <si>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</si>
  <si>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</si>
  <si>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</si>
  <si>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</si>
  <si>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</si>
  <si>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</si>
  <si>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</si>
  <si>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</si>
  <si>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</si>
  <si>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</si>
  <si>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</si>
  <si>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</si>
  <si>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</si>
  <si>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</si>
  <si>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</si>
  <si>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</si>
  <si>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</si>
  <si>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</si>
  <si>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</si>
  <si>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</si>
  <si>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</si>
  <si>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</si>
  <si>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</si>
  <si>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</si>
  <si>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</si>
  <si>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</si>
  <si>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</si>
  <si>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</si>
  <si>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</si>
  <si>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</si>
  <si>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</si>
  <si>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</si>
  <si>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</si>
  <si>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</si>
  <si>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</si>
  <si>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</si>
  <si>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</si>
  <si>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</si>
  <si>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</si>
  <si>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</si>
  <si>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</si>
  <si>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</si>
  <si>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</si>
  <si>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</si>
  <si>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</si>
  <si>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</si>
  <si>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</si>
  <si>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</si>
  <si>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</si>
  <si>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</si>
  <si>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</si>
  <si>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</si>
  <si>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</si>
  <si>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</si>
  <si>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</si>
  <si>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</si>
  <si>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</si>
  <si>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</si>
  <si>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</si>
  <si>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</si>
  <si>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</si>
  <si>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</si>
  <si>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</si>
  <si>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</si>
  <si>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</si>
  <si>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</si>
  <si>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</si>
  <si>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</si>
  <si>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</si>
  <si>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</si>
  <si>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</si>
  <si>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</si>
  <si>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</si>
  <si>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</si>
  <si>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</si>
  <si>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</si>
  <si>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</si>
  <si>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</si>
  <si>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</si>
  <si>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</si>
  <si>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</si>
  <si>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</si>
  <si>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</si>
  <si>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</si>
  <si>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</si>
  <si>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</si>
  <si>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</si>
  <si>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</si>
  <si>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</si>
  <si>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</si>
  <si>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</si>
  <si>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</si>
  <si>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</si>
  <si>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</si>
  <si>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</si>
  <si>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</si>
  <si>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</si>
  <si>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</si>
  <si>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</si>
  <si>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</si>
  <si>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</si>
  <si>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</si>
  <si>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</si>
  <si>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</si>
  <si>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</si>
  <si>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</si>
  <si>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</si>
  <si>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</si>
  <si>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</si>
  <si>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</si>
  <si>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</si>
  <si>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</si>
  <si>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</si>
  <si>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</si>
  <si>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</si>
  <si>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</si>
  <si>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</si>
  <si>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</si>
  <si>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</si>
  <si>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</si>
  <si>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</si>
  <si>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</si>
  <si>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</si>
  <si>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</si>
  <si>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</si>
  <si>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</si>
  <si>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</si>
  <si>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</si>
  <si>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</si>
  <si>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</si>
  <si>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</si>
  <si>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</si>
  <si>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</si>
  <si>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</si>
  <si>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</si>
  <si>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</si>
  <si>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</si>
  <si>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</si>
  <si>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</si>
  <si>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</si>
  <si>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</si>
  <si>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</si>
  <si>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</si>
  <si>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</si>
  <si>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</si>
  <si>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</si>
  <si>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</si>
  <si>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</si>
  <si>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</si>
  <si>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</si>
  <si>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</si>
  <si>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</si>
  <si>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</si>
  <si>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</si>
  <si>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</si>
  <si>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</si>
  <si>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</si>
  <si>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</si>
  <si>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</si>
  <si>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</si>
  <si>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</si>
  <si>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</si>
  <si>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</si>
  <si>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</si>
  <si>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</si>
  <si>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</si>
  <si>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</si>
  <si>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</si>
  <si>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</si>
  <si>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</si>
  <si>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</si>
  <si>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</si>
  <si>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</si>
  <si>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</si>
  <si>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</si>
  <si>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</si>
  <si>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</si>
  <si>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Zoology_DraftControl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</si>
  <si>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</si>
  <si>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</si>
  <si>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</si>
  <si>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</si>
  <si>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</si>
  <si>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</si>
  <si>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</si>
  <si>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</si>
  <si>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</si>
  <si>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</si>
  <si>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</si>
  <si>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</si>
  <si>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</si>
  <si>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</si>
  <si>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</si>
  <si>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</si>
  <si>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</si>
  <si>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</si>
  <si>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</si>
  <si>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</si>
  <si>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</si>
  <si>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</si>
  <si>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</si>
  <si>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</si>
  <si>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</si>
  <si>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</si>
  <si>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</si>
  <si>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</si>
  <si>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</si>
  <si>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</si>
  <si>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</si>
  <si>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</si>
  <si>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</si>
  <si>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</si>
  <si>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</si>
  <si>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</si>
  <si>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</si>
  <si>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</si>
  <si>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</si>
  <si>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</si>
  <si>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</si>
  <si>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</si>
  <si>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</si>
  <si>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</si>
  <si>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</si>
  <si>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</si>
  <si>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</si>
  <si>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</si>
  <si>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</si>
  <si>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</si>
  <si>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</si>
  <si>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</si>
  <si>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</si>
  <si>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</si>
  <si>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</si>
  <si>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</si>
  <si>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</si>
  <si>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</si>
  <si>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</si>
  <si>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</si>
  <si>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</si>
  <si>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</si>
  <si>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</si>
  <si>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</si>
  <si>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</si>
  <si>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</si>
  <si>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</si>
  <si>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</si>
  <si>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</si>
  <si>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</si>
  <si>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</si>
  <si>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</si>
  <si>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</si>
  <si>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</si>
  <si>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</si>
  <si>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</si>
  <si>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</si>
  <si>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</si>
  <si>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</si>
  <si>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</si>
  <si>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</si>
  <si>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</si>
  <si>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</si>
  <si>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</si>
  <si>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</si>
  <si>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</si>
  <si>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</si>
  <si>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</si>
  <si>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</si>
  <si>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</si>
  <si>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</si>
  <si>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</si>
  <si>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</si>
  <si>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</si>
  <si>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</si>
  <si>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</si>
  <si>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</si>
  <si>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</si>
  <si>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</si>
  <si>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</si>
  <si>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</si>
  <si>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</si>
  <si>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</si>
  <si>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</si>
  <si>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</si>
  <si>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</si>
  <si>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</si>
  <si>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</si>
  <si>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</si>
  <si>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</si>
  <si>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</si>
  <si>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</si>
  <si>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</si>
  <si>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</si>
  <si>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</si>
  <si>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</si>
  <si>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</si>
  <si>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</si>
  <si>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</si>
  <si>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</si>
  <si>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</si>
  <si>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</si>
  <si>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</si>
  <si>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</si>
  <si>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</si>
  <si>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</si>
  <si>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</si>
  <si>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</si>
  <si>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</si>
  <si>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</si>
  <si>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</si>
  <si>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</si>
  <si>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</si>
  <si>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</si>
  <si>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</si>
  <si>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</si>
  <si>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</si>
  <si>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</si>
  <si>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</si>
  <si>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</si>
  <si>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</si>
  <si>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</si>
  <si>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</si>
  <si>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</si>
  <si>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</si>
  <si>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</si>
  <si>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</si>
  <si>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</si>
  <si>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</si>
  <si>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</si>
  <si>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</si>
  <si>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</si>
  <si>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</si>
  <si>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</si>
  <si>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</si>
  <si>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</si>
  <si>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</si>
  <si>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</si>
  <si>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</si>
  <si>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</si>
  <si>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</si>
  <si>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</si>
  <si>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</si>
  <si>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</si>
  <si>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</si>
  <si>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</si>
  <si>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</si>
  <si>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</si>
  <si>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</si>
  <si>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</si>
  <si>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</si>
  <si>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</si>
  <si>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</si>
  <si>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</si>
  <si>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</si>
  <si>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</si>
  <si>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</si>
  <si>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</si>
  <si>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</si>
  <si>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</si>
  <si>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</si>
  <si>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</si>
  <si>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</si>
  <si>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</si>
  <si>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</si>
  <si>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</si>
  <si>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</si>
  <si>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</si>
  <si>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</si>
  <si>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</si>
  <si>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</si>
  <si>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</si>
  <si>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</si>
  <si>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</si>
  <si>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</si>
  <si>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</si>
  <si>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</si>
  <si>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</si>
  <si>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</si>
  <si>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</si>
  <si>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</si>
  <si>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</si>
  <si>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</si>
  <si>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</si>
  <si>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</si>
  <si>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</si>
  <si>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</si>
  <si>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</si>
  <si>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</si>
  <si>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</si>
  <si>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</si>
  <si>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</si>
  <si>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</si>
  <si>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</si>
  <si>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</si>
  <si>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</si>
  <si>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</si>
  <si>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</si>
  <si>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</si>
  <si>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</si>
  <si>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</si>
  <si>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</si>
  <si>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</si>
  <si>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</si>
  <si>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</si>
  <si>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</si>
  <si>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</si>
  <si>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</si>
  <si>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</si>
  <si>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</si>
  <si>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</si>
  <si>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</si>
  <si>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</si>
  <si>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</si>
  <si>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</si>
  <si>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</si>
  <si>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</si>
  <si>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</si>
  <si>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</si>
  <si>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</si>
  <si>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</si>
  <si>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</si>
  <si>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</si>
  <si>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</si>
  <si>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</si>
  <si>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</si>
  <si>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</si>
  <si>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</si>
  <si>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</si>
  <si>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</si>
  <si>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</si>
  <si>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</si>
  <si>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</si>
  <si>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</si>
  <si>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</si>
  <si>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</si>
  <si>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</si>
  <si>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</si>
  <si>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</si>
  <si>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</si>
  <si>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</si>
  <si>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</si>
  <si>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</si>
  <si>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</si>
  <si>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</si>
  <si>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</si>
  <si>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</si>
  <si>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</si>
  <si>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</si>
  <si>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</si>
  <si>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</si>
  <si>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</si>
  <si>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</si>
  <si>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</si>
  <si>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</si>
  <si>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</si>
  <si>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</si>
  <si>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</si>
  <si>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</si>
  <si>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</si>
  <si>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Angelis luminata</t>
  </si>
  <si>
    <t>Angelis luminata (larva)</t>
  </si>
  <si>
    <t>Colossus animae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</si>
  <si>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</si>
  <si>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</si>
  <si>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</si>
  <si>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</si>
  <si>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</si>
  <si>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</si>
  <si>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Caridea sanguinea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</si>
  <si>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</si>
  <si>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</si>
  <si>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</si>
  <si>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</si>
  <si>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</si>
  <si>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</si>
  <si>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</si>
  <si>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</si>
  <si>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</si>
  <si>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</si>
  <si>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</si>
  <si>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</si>
  <si>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</si>
  <si>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</si>
  <si>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</si>
  <si>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</si>
  <si>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</si>
  <si>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</si>
  <si>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</si>
  <si>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</si>
  <si>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</si>
  <si>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</si>
  <si>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</si>
  <si>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</si>
  <si>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</si>
  <si>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</si>
  <si>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</si>
  <si>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</si>
  <si>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Glaciulus parvus</t>
  </si>
  <si>
    <t>Acarus glacialis</t>
  </si>
  <si>
    <t>Mycodermis tegumentum</t>
  </si>
  <si>
    <t>Gallus titanicus</t>
  </si>
  <si>
    <t>Gallus titanicus (moribund)</t>
  </si>
  <si>
    <t>Antilope giganteus</t>
  </si>
  <si>
    <t>Devourer maximus</t>
  </si>
  <si>
    <t>Protofluidum viride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</si>
  <si>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</si>
  <si>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</si>
  <si>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</si>
  <si>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</si>
  <si>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</si>
  <si>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</si>
  <si>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</si>
  <si>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</si>
  <si>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</si>
  <si>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</si>
  <si>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</si>
  <si>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</si>
  <si>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</si>
  <si>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</si>
  <si>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</si>
  <si>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</si>
  <si>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</si>
  <si>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Gelatinous oculi</t>
  </si>
  <si>
    <t>Noctiluca oculatus</t>
  </si>
  <si>
    <t>Colossus herbosus</t>
  </si>
  <si>
    <t>Velociraptor nobilis</t>
  </si>
  <si>
    <t>Plasmodium morphicus</t>
  </si>
  <si>
    <t>Bos radiatus</t>
  </si>
  <si>
    <t>Caridea raptrix</t>
  </si>
  <si>
    <t>Devastator rapax</t>
  </si>
  <si>
    <t>Jaculus acutis</t>
  </si>
  <si>
    <t>Protofluidum rubrum</t>
  </si>
  <si>
    <t>Sporus ruber</t>
  </si>
  <si>
    <t>Canis lacerator</t>
  </si>
  <si>
    <t>Avis regalis</t>
  </si>
  <si>
    <t>Panthera arenae</t>
  </si>
  <si>
    <t>Loligo arenae</t>
  </si>
  <si>
    <t>Capra electronica</t>
  </si>
  <si>
    <t>Canis saltator</t>
  </si>
  <si>
    <t>Anguilla coelestis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</si>
  <si>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</si>
  <si>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</si>
  <si>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</si>
  <si>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</si>
  <si>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</si>
  <si>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</si>
  <si>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</si>
  <si>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Oculus immortalis</t>
  </si>
  <si>
    <t>Bestia ventus</t>
  </si>
  <si>
    <t>Arms</t>
  </si>
  <si>
    <t>Jellyfish</t>
  </si>
  <si>
    <t>tentacles</t>
  </si>
  <si>
    <t>Atypical reproduction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</si>
  <si>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</si>
  <si>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</si>
  <si>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</si>
  <si>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</si>
  <si>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</si>
  <si>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</si>
  <si>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</si>
  <si>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</si>
  <si>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</si>
  <si>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</si>
  <si>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MycoticCreature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</si>
  <si>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</si>
  <si>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</si>
  <si>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</si>
  <si>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</si>
  <si>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</si>
  <si>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</si>
  <si>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</si>
  <si>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</si>
  <si>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</si>
  <si>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</si>
  <si>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</si>
  <si>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</si>
  <si>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</si>
  <si>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</si>
  <si>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</si>
  <si>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</si>
  <si>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</si>
  <si>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</si>
  <si>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</si>
  <si>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Mustelid (NON-AQUATIC PISCIVORE)</t>
  </si>
  <si>
    <t>Scorpion</t>
  </si>
  <si>
    <t>Scorpion (WASTE)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</si>
  <si>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</si>
  <si>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</si>
  <si>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</si>
  <si>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</si>
  <si>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</si>
  <si>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</si>
  <si>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</si>
  <si>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</si>
  <si>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</si>
  <si>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</si>
  <si>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</si>
  <si>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Arachnid</t>
  </si>
  <si>
    <t>FrontLeftPaw, FrontRightPaw</t>
  </si>
  <si>
    <t>AA_AlphaBaseInsect</t>
  </si>
  <si>
    <t>BaseInsect2</t>
  </si>
  <si>
    <t>Beetle (PARALYSIS)</t>
  </si>
  <si>
    <t>AA_ParalysingBite</t>
  </si>
  <si>
    <t>Drake</t>
  </si>
  <si>
    <t>left dragonclaw, right dragonclaw</t>
  </si>
  <si>
    <t>AA_Leather_Behemoth</t>
  </si>
  <si>
    <t>Beetle (QUEEN)</t>
  </si>
  <si>
    <t>Arthrocolossus behemoth</t>
  </si>
  <si>
    <t>ArmoredWorm</t>
  </si>
  <si>
    <t>GiantHexapodReptile</t>
  </si>
  <si>
    <t>Englund et al. (2020) https://kmkjournals.com/upload/PDF/RJT/19/ther19_1_071-078.pdf</t>
  </si>
  <si>
    <t>Dapletosuchus</t>
  </si>
  <si>
    <t>Daspletosuchus ferox</t>
  </si>
  <si>
    <t>&lt;li&gt;Daspletosuchus&lt;/li&gt;</t>
  </si>
  <si>
    <t>Leather_Photonozoa</t>
  </si>
  <si>
    <t>Forage, Dig, Zoology_DraftControl</t>
  </si>
  <si>
    <t>Dig, Forage, Zoology_DraftControl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</si>
  <si>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</si>
  <si>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</si>
  <si>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</si>
  <si>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</si>
  <si>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</si>
  <si>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</si>
  <si>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</si>
  <si>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</si>
  <si>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</si>
  <si>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</si>
  <si>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</si>
  <si>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AA_RegenerativePierce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</si>
  <si>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</si>
  <si>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</si>
  <si>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</si>
  <si>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</si>
  <si>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</si>
  <si>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</si>
  <si>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</si>
  <si>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ninetails</t>
  </si>
  <si>
    <t>Stab</t>
  </si>
  <si>
    <t>Rodent (FOUR EYES, SCAVENGER)</t>
  </si>
  <si>
    <t>TeethedGoo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</si>
  <si>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</si>
  <si>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</si>
  <si>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</si>
  <si>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</si>
  <si>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</si>
  <si>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https://genomics.senescence.info/species/entry.php?species=Mus_musculus</t>
  </si>
  <si>
    <t>AA_FungalClaws</t>
  </si>
  <si>
    <t>Human</t>
  </si>
  <si>
    <t>OmnivoreHuman</t>
  </si>
  <si>
    <t>Rodent (CLAWED DIGGER)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</si>
  <si>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</si>
  <si>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</si>
  <si>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</si>
  <si>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</si>
  <si>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</si>
  <si>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</si>
  <si>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</si>
  <si>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</si>
  <si>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</si>
  <si>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</si>
  <si>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</si>
  <si>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</si>
  <si>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Beetle (CLAWS, ARMORED)</t>
  </si>
  <si>
    <t>Beetle (ARMORED)</t>
  </si>
  <si>
    <t>Beetle (ROAMER, ARMORED)</t>
  </si>
  <si>
    <t>Human (MIME)</t>
  </si>
  <si>
    <t>Human (MYCOTICHUSK)</t>
  </si>
  <si>
    <t>FO_PlaguedBite</t>
  </si>
  <si>
    <t>Mustelid (FOUR EYES)</t>
  </si>
  <si>
    <t>Ruminant  (BLUNT HORNS, FOUR EYES)</t>
  </si>
  <si>
    <t>Drake (FOUR EYES)</t>
  </si>
  <si>
    <t>Ruminant (HORNS, TAIL, FOUR EYES)</t>
  </si>
  <si>
    <t>FlyingEye</t>
  </si>
  <si>
    <t>SnakeWithTwoLimbs</t>
  </si>
  <si>
    <t>Goo</t>
  </si>
  <si>
    <t>QuadrupedAnimalWithHoovesTailAndHorn</t>
  </si>
  <si>
    <t>Ruminant  (BLUNT HORNS, SIX EYES)</t>
  </si>
  <si>
    <t>&lt;li&gt;Human&lt;/li&gt;</t>
  </si>
  <si>
    <t>Theropod (RAPTOR)</t>
  </si>
  <si>
    <t>Theropod</t>
  </si>
  <si>
    <t>Doglike (HYENA)</t>
  </si>
  <si>
    <t>Doglike (CANID)</t>
  </si>
  <si>
    <t>Catlike</t>
  </si>
  <si>
    <t>Catlike (PISCIVORE)</t>
  </si>
  <si>
    <t>Camellike (LLAMA)</t>
  </si>
  <si>
    <t>Camellike (CAMEL)</t>
  </si>
  <si>
    <t>Doglike (FOUR EYES)</t>
  </si>
  <si>
    <t>Doglike (FOUR EYES, SCAVENGER, PLAGUE)</t>
  </si>
  <si>
    <t>Catlike (FOUR EYES, NINE TAILS)</t>
  </si>
  <si>
    <t>Catlike (FLU)</t>
  </si>
  <si>
    <t>Mycopion ferus</t>
  </si>
  <si>
    <t>Mycopion sylvestris</t>
  </si>
  <si>
    <t>Mycopodium sylvestris</t>
  </si>
  <si>
    <t>Mycopodium ferus</t>
  </si>
  <si>
    <t>Megacancer montanus</t>
  </si>
  <si>
    <t>Megacancer lapidus</t>
  </si>
  <si>
    <t>Vulpes animalis</t>
  </si>
  <si>
    <t>Megacancer petreus</t>
  </si>
  <si>
    <t>Araneodraco animalis</t>
  </si>
  <si>
    <t>Genix frostis</t>
  </si>
  <si>
    <t>Genix ferox</t>
  </si>
  <si>
    <t>Feliscopus phoenix</t>
  </si>
  <si>
    <t>Bestia nigra</t>
  </si>
  <si>
    <t>Carcharofelis arenae</t>
  </si>
  <si>
    <t>Titanocoleus niger</t>
  </si>
  <si>
    <t>Cryptomorphus niger</t>
  </si>
  <si>
    <t>Gigarachne niger</t>
  </si>
  <si>
    <t>Bombos vivificalis</t>
  </si>
  <si>
    <t>Bird (STRONG BEAK, SMART, FOUR EYES)</t>
  </si>
  <si>
    <t>AA_InfectedClaws</t>
  </si>
  <si>
    <t>Doglike (CLAWED)</t>
  </si>
  <si>
    <t>arms</t>
  </si>
  <si>
    <t>SporeLayer</t>
  </si>
  <si>
    <t>Silkie coronatus</t>
  </si>
  <si>
    <t>Crepiscuovis nocturnus</t>
  </si>
  <si>
    <t>Crepiscuovis umbrosus</t>
  </si>
  <si>
    <t>Crepisculanius crepusculum</t>
  </si>
  <si>
    <t>Noctiluca ferox</t>
  </si>
  <si>
    <t>Behemoth giganteus</t>
  </si>
  <si>
    <t>Varanus squamosus</t>
  </si>
  <si>
    <t>Lizard (IGUANA)</t>
  </si>
  <si>
    <t>Lizard (MONITOR)</t>
  </si>
  <si>
    <t>Salvator electronis</t>
  </si>
  <si>
    <t>Ovis griseus</t>
  </si>
  <si>
    <t>Caprabos aculeus</t>
  </si>
  <si>
    <t>Technoscolopendra mucosa</t>
  </si>
  <si>
    <t>Crepiscuequs nocturnalis</t>
  </si>
  <si>
    <t>Crepiscubos tonitrus</t>
  </si>
  <si>
    <t>AA_Electric</t>
  </si>
  <si>
    <t>Slug (TRAINABLE)</t>
  </si>
  <si>
    <t>Snake (SMART, ELECTRIC)</t>
  </si>
  <si>
    <t>Beetle (CLAWS, SWARMLING)</t>
  </si>
  <si>
    <t>AA_SwarmlingClaws</t>
  </si>
  <si>
    <t>LandSquid</t>
  </si>
  <si>
    <t>LandJellyfish</t>
  </si>
  <si>
    <t>MechaWorm</t>
  </si>
  <si>
    <t>Doglike (RIPPER)</t>
  </si>
  <si>
    <t>shoulder claw</t>
  </si>
  <si>
    <t>AA_SentientPlant</t>
  </si>
  <si>
    <t>SentientPlant</t>
  </si>
  <si>
    <t>MechanicalCentipede</t>
  </si>
  <si>
    <t>GooWithTeethBody</t>
  </si>
  <si>
    <t>GooBody</t>
  </si>
  <si>
    <t>CephalopodBiped</t>
  </si>
  <si>
    <t>Fleshbeast</t>
  </si>
  <si>
    <t>SentientPlant (ACID)</t>
  </si>
  <si>
    <t>Hexapod</t>
  </si>
  <si>
    <t>AA_EyeBody</t>
  </si>
  <si>
    <t>Leather_Gallatross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</si>
</sst>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Euphractus sexcinctus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  <row r="167">
          <cell r="A167" t="str">
            <v>Harpactotyrannus venator</v>
          </cell>
          <cell r="B167">
            <v>1</v>
          </cell>
        </row>
        <row r="168">
          <cell r="A168" t="str">
            <v>Daspletosuchus ferox</v>
          </cell>
          <cell r="B168">
            <v>1</v>
          </cell>
        </row>
        <row r="169">
          <cell r="A169" t="str">
            <v>Asciotaurus validus</v>
          </cell>
          <cell r="B169">
            <v>1</v>
          </cell>
        </row>
        <row r="170">
          <cell r="A170" t="str">
            <v>Arthropython serpentes</v>
          </cell>
          <cell r="B170">
            <v>1</v>
          </cell>
        </row>
        <row r="171">
          <cell r="A171" t="str">
            <v>Talpobaena armata</v>
          </cell>
          <cell r="B171">
            <v>1</v>
          </cell>
        </row>
        <row r="172">
          <cell r="A172" t="str">
            <v>Paragnathus paradocus</v>
          </cell>
          <cell r="B172">
            <v>1</v>
          </cell>
        </row>
        <row r="173">
          <cell r="A173" t="str">
            <v>Mustela nigripes</v>
          </cell>
          <cell r="B173">
            <v>1.2697912324530132</v>
          </cell>
        </row>
        <row r="174">
          <cell r="A174" t="str">
            <v>Diceros bicornis</v>
          </cell>
          <cell r="B174">
            <v>1</v>
          </cell>
        </row>
        <row r="175">
          <cell r="A175" t="str">
            <v>Pan paniscus</v>
          </cell>
          <cell r="B175">
            <v>0.52290607632225938</v>
          </cell>
        </row>
        <row r="176">
          <cell r="A176" t="str">
            <v>Dinornis novaezealandiae</v>
          </cell>
          <cell r="B176">
            <v>1</v>
          </cell>
        </row>
        <row r="177">
          <cell r="A177" t="str">
            <v>Equus quagga</v>
          </cell>
          <cell r="B177">
            <v>1</v>
          </cell>
        </row>
        <row r="178">
          <cell r="A178" t="str">
            <v>Eudyptes chrysocome</v>
          </cell>
          <cell r="B178">
            <v>1</v>
          </cell>
        </row>
        <row r="179">
          <cell r="A179" t="str">
            <v>Sarcophilus harrisii</v>
          </cell>
          <cell r="B179">
            <v>1</v>
          </cell>
        </row>
        <row r="180">
          <cell r="A180" t="str">
            <v>Thylacinus cynocephalus</v>
          </cell>
          <cell r="B180">
            <v>1</v>
          </cell>
        </row>
        <row r="181">
          <cell r="A181" t="str">
            <v>Lycaon pictus</v>
          </cell>
          <cell r="B181">
            <v>1.0222399759593972</v>
          </cell>
        </row>
        <row r="182">
          <cell r="A182" t="str">
            <v>Manis crassicaudata</v>
          </cell>
          <cell r="B182">
            <v>1</v>
          </cell>
        </row>
        <row r="183">
          <cell r="A183" t="str">
            <v>Hydra toxifera</v>
          </cell>
          <cell r="B183">
            <v>1</v>
          </cell>
        </row>
        <row r="184">
          <cell r="A184" t="str">
            <v>Megatardi gigantea</v>
          </cell>
          <cell r="B184">
            <v>1</v>
          </cell>
        </row>
        <row r="185">
          <cell r="A185" t="str">
            <v>Pestigator ferox</v>
          </cell>
          <cell r="B185">
            <v>1</v>
          </cell>
        </row>
        <row r="186">
          <cell r="A186" t="str">
            <v>Vulpes toxifera</v>
          </cell>
          <cell r="B186">
            <v>1.2266423062576042</v>
          </cell>
        </row>
        <row r="187">
          <cell r="A187" t="str">
            <v>Ursus toxus</v>
          </cell>
          <cell r="B187">
            <v>0.77716495074174219</v>
          </cell>
        </row>
        <row r="188">
          <cell r="A188" t="str">
            <v>Iguana toxifera</v>
          </cell>
          <cell r="B188">
            <v>1</v>
          </cell>
        </row>
        <row r="189">
          <cell r="A189" t="str">
            <v>Panthera toxileo</v>
          </cell>
          <cell r="B189">
            <v>1.1021218846899565</v>
          </cell>
        </row>
        <row r="190">
          <cell r="A190" t="str">
            <v>Toxoscorpio bellator</v>
          </cell>
          <cell r="B190">
            <v>1</v>
          </cell>
        </row>
        <row r="191">
          <cell r="A191" t="str">
            <v>Sus toxiscrofa</v>
          </cell>
          <cell r="B191">
            <v>1</v>
          </cell>
        </row>
        <row r="192">
          <cell r="A192" t="str">
            <v>Odocoileus toxus</v>
          </cell>
          <cell r="B192">
            <v>1</v>
          </cell>
        </row>
        <row r="193">
          <cell r="A193" t="str">
            <v>Pseudobison toxus</v>
          </cell>
          <cell r="B193">
            <v>1</v>
          </cell>
        </row>
        <row r="194">
          <cell r="A194" t="str">
            <v>Acanthamoeba gigantea (small)</v>
          </cell>
          <cell r="B194">
            <v>1</v>
          </cell>
        </row>
        <row r="195">
          <cell r="A195" t="str">
            <v>Acanthamoeba gigantea (large)</v>
          </cell>
          <cell r="B195">
            <v>1</v>
          </cell>
        </row>
        <row r="196">
          <cell r="A196" t="str">
            <v>Acanthamoeba gigantea (huge)</v>
          </cell>
          <cell r="B196">
            <v>1</v>
          </cell>
        </row>
        <row r="197">
          <cell r="A197" t="str">
            <v>Pterodyna aeria</v>
          </cell>
          <cell r="B197">
            <v>1</v>
          </cell>
        </row>
        <row r="198">
          <cell r="A198" t="str">
            <v>Pterodyna aeria (colossal)</v>
          </cell>
          <cell r="B198">
            <v>1</v>
          </cell>
        </row>
        <row r="199">
          <cell r="A199" t="str">
            <v>Pterodyna aeria (infected)</v>
          </cell>
          <cell r="B199">
            <v>1</v>
          </cell>
        </row>
        <row r="200">
          <cell r="A200" t="str">
            <v>Mycopion defensus</v>
          </cell>
          <cell r="B200">
            <v>1</v>
          </cell>
        </row>
        <row r="201">
          <cell r="A201" t="str">
            <v>Mycopodium motus</v>
          </cell>
          <cell r="B201">
            <v>1</v>
          </cell>
        </row>
        <row r="202">
          <cell r="A202" t="str">
            <v>Angelis luminata</v>
          </cell>
          <cell r="B202">
            <v>1</v>
          </cell>
        </row>
        <row r="203">
          <cell r="A203" t="str">
            <v>Angelis luminata (larva)</v>
          </cell>
          <cell r="B203">
            <v>1</v>
          </cell>
        </row>
        <row r="204">
          <cell r="A204" t="str">
            <v>Colossus animae</v>
          </cell>
          <cell r="B204">
            <v>1</v>
          </cell>
        </row>
        <row r="205">
          <cell r="A205" t="str">
            <v>Araneodraco ferus</v>
          </cell>
          <cell r="B205">
            <v>1</v>
          </cell>
        </row>
        <row r="206">
          <cell r="A206" t="str">
            <v>Vox animalis</v>
          </cell>
          <cell r="B206">
            <v>1</v>
          </cell>
        </row>
        <row r="207">
          <cell r="A207" t="str">
            <v>Panthera glacialis</v>
          </cell>
          <cell r="B207">
            <v>1.1021218846899565</v>
          </cell>
        </row>
        <row r="208">
          <cell r="A208" t="str">
            <v>Speculum vividum</v>
          </cell>
          <cell r="B208">
            <v>1</v>
          </cell>
        </row>
        <row r="209">
          <cell r="A209" t="str">
            <v>Speculum vividum (larva)</v>
          </cell>
          <cell r="B209">
            <v>1</v>
          </cell>
        </row>
        <row r="210">
          <cell r="A210" t="str">
            <v>Sylphalis borealis</v>
          </cell>
          <cell r="B210">
            <v>1</v>
          </cell>
        </row>
        <row r="211">
          <cell r="A211" t="str">
            <v>Echidna projectilis</v>
          </cell>
          <cell r="B211">
            <v>1</v>
          </cell>
        </row>
        <row r="212">
          <cell r="A212" t="str">
            <v>Cimex titanus</v>
          </cell>
          <cell r="B212">
            <v>1</v>
          </cell>
        </row>
        <row r="213">
          <cell r="A213" t="str">
            <v>Behemoth colossal</v>
          </cell>
          <cell r="B213">
            <v>1</v>
          </cell>
        </row>
        <row r="214">
          <cell r="A214" t="str">
            <v>Arthrocolossus behemoth</v>
          </cell>
          <cell r="B214">
            <v>1</v>
          </cell>
        </row>
        <row r="215">
          <cell r="A215" t="str">
            <v>Scarabaeus niger</v>
          </cell>
          <cell r="B215">
            <v>1</v>
          </cell>
        </row>
        <row r="216">
          <cell r="A216" t="str">
            <v>Scolopendra nigra</v>
          </cell>
          <cell r="B216">
            <v>1</v>
          </cell>
        </row>
        <row r="217">
          <cell r="A217" t="str">
            <v>Araneus niger</v>
          </cell>
          <cell r="B217">
            <v>1</v>
          </cell>
        </row>
        <row r="218">
          <cell r="A218" t="str">
            <v>Araneodraco glacialis</v>
          </cell>
          <cell r="B218">
            <v>1</v>
          </cell>
        </row>
        <row r="219">
          <cell r="A219" t="str">
            <v>Araneodraco glacialis (clutch mother)</v>
          </cell>
          <cell r="B219">
            <v>1</v>
          </cell>
        </row>
        <row r="220">
          <cell r="A220" t="str">
            <v>Caridea sanguinea</v>
          </cell>
          <cell r="B220">
            <v>1</v>
          </cell>
        </row>
        <row r="221">
          <cell r="A221" t="str">
            <v>Bombus vivificalis</v>
          </cell>
          <cell r="B221">
            <v>1</v>
          </cell>
        </row>
        <row r="222">
          <cell r="A222" t="str">
            <v>Acarus petreus</v>
          </cell>
          <cell r="B222">
            <v>1</v>
          </cell>
        </row>
        <row r="223">
          <cell r="A223" t="str">
            <v>Bombus militaris</v>
          </cell>
          <cell r="B223">
            <v>1</v>
          </cell>
        </row>
        <row r="224">
          <cell r="A224" t="str">
            <v>Bombus militaris (hierophant)</v>
          </cell>
          <cell r="B224">
            <v>1</v>
          </cell>
        </row>
        <row r="225">
          <cell r="A225" t="str">
            <v>Bombus militaris (queen)</v>
          </cell>
          <cell r="B225">
            <v>1</v>
          </cell>
        </row>
        <row r="226">
          <cell r="A226" t="str">
            <v>Hystrix succulentis</v>
          </cell>
          <cell r="B226">
            <v>1</v>
          </cell>
        </row>
        <row r="227">
          <cell r="A227" t="str">
            <v>Bos chamaeleon</v>
          </cell>
          <cell r="B227">
            <v>1</v>
          </cell>
        </row>
        <row r="228">
          <cell r="A228" t="str">
            <v>Formica chemurgica</v>
          </cell>
          <cell r="B228">
            <v>1</v>
          </cell>
        </row>
        <row r="229">
          <cell r="A229" t="str">
            <v>Araneodraco ignis</v>
          </cell>
          <cell r="B229">
            <v>1</v>
          </cell>
        </row>
        <row r="230">
          <cell r="A230" t="str">
            <v>Coleoptera crepusculi</v>
          </cell>
          <cell r="B230">
            <v>1</v>
          </cell>
        </row>
        <row r="231">
          <cell r="A231" t="str">
            <v>Anolis audiens</v>
          </cell>
          <cell r="B231">
            <v>1</v>
          </cell>
        </row>
        <row r="232">
          <cell r="A232" t="str">
            <v>Caracal crystallinus</v>
          </cell>
          <cell r="B232">
            <v>0.90811679292382275</v>
          </cell>
        </row>
        <row r="233">
          <cell r="A233" t="str">
            <v>Acarus crystallis</v>
          </cell>
          <cell r="B233">
            <v>1</v>
          </cell>
        </row>
        <row r="234">
          <cell r="A234" t="str">
            <v>Bestia nigra obscura</v>
          </cell>
          <cell r="B234">
            <v>1</v>
          </cell>
        </row>
        <row r="235">
          <cell r="A235" t="str">
            <v>Vandalis tenebrosus</v>
          </cell>
          <cell r="B235">
            <v>1</v>
          </cell>
        </row>
        <row r="236">
          <cell r="A236" t="str">
            <v>Draco putrefactus</v>
          </cell>
          <cell r="B236">
            <v>1</v>
          </cell>
        </row>
        <row r="237">
          <cell r="A237" t="str">
            <v>Avis desertum</v>
          </cell>
          <cell r="B237">
            <v>1</v>
          </cell>
        </row>
        <row r="238">
          <cell r="A238" t="str">
            <v>Ovis malignus</v>
          </cell>
          <cell r="B238">
            <v>1</v>
          </cell>
        </row>
        <row r="239">
          <cell r="A239" t="str">
            <v>Haemophagus infinitus</v>
          </cell>
          <cell r="B239">
            <v>1</v>
          </cell>
        </row>
        <row r="240">
          <cell r="A240" t="str">
            <v>Haemophagus infinitus (larva)</v>
          </cell>
          <cell r="B240">
            <v>1</v>
          </cell>
        </row>
        <row r="241">
          <cell r="A241" t="str">
            <v>Araneodraco arenosus</v>
          </cell>
          <cell r="B241">
            <v>1</v>
          </cell>
        </row>
        <row r="242">
          <cell r="A242" t="str">
            <v>Araneodraco arenosus (clutch mother)</v>
          </cell>
          <cell r="B242">
            <v>1</v>
          </cell>
        </row>
        <row r="243">
          <cell r="A243" t="str">
            <v>Felis crepusculum</v>
          </cell>
          <cell r="B243">
            <v>0.89529411549459281</v>
          </cell>
        </row>
        <row r="244">
          <cell r="A244" t="str">
            <v>Rattus nocturnus</v>
          </cell>
          <cell r="B244">
            <v>1</v>
          </cell>
        </row>
        <row r="245">
          <cell r="A245" t="str">
            <v>Papilio imperatrix</v>
          </cell>
          <cell r="B245">
            <v>1</v>
          </cell>
        </row>
        <row r="246">
          <cell r="A246" t="str">
            <v>Papilio imperatrix (larva)</v>
          </cell>
          <cell r="B246">
            <v>1</v>
          </cell>
        </row>
        <row r="247">
          <cell r="A247" t="str">
            <v>Tentaculabomination gorga</v>
          </cell>
          <cell r="B247">
            <v>1</v>
          </cell>
        </row>
        <row r="248">
          <cell r="A248" t="str">
            <v>Erin similis</v>
          </cell>
          <cell r="B248">
            <v>1</v>
          </cell>
        </row>
        <row r="249">
          <cell r="A249" t="str">
            <v>Oculus viventis</v>
          </cell>
          <cell r="B249">
            <v>1</v>
          </cell>
        </row>
        <row r="250">
          <cell r="A250" t="str">
            <v>Araneodraco ferus</v>
          </cell>
          <cell r="B250">
            <v>1</v>
          </cell>
        </row>
        <row r="251">
          <cell r="A251" t="str">
            <v>Araneodraco ferus (clutch mother)</v>
          </cell>
          <cell r="B251">
            <v>1</v>
          </cell>
        </row>
        <row r="252">
          <cell r="A252" t="str">
            <v>Vespa incendium</v>
          </cell>
          <cell r="B252">
            <v>1</v>
          </cell>
        </row>
        <row r="253">
          <cell r="A253" t="str">
            <v>Mus fissilis</v>
          </cell>
          <cell r="B253">
            <v>1</v>
          </cell>
        </row>
        <row r="254">
          <cell r="A254" t="str">
            <v>Mus fissilis (second form)</v>
          </cell>
          <cell r="B254">
            <v>1</v>
          </cell>
        </row>
        <row r="255">
          <cell r="A255" t="str">
            <v>Mus fissilis (third form)</v>
          </cell>
          <cell r="B255">
            <v>1</v>
          </cell>
        </row>
        <row r="256">
          <cell r="A256" t="str">
            <v>Phoenicopterus phoenix</v>
          </cell>
          <cell r="B256">
            <v>1</v>
          </cell>
        </row>
        <row r="257">
          <cell r="A257" t="str">
            <v>Avis glacialis</v>
          </cell>
          <cell r="B257">
            <v>1</v>
          </cell>
        </row>
        <row r="258">
          <cell r="A258" t="str">
            <v>Lynx frostis</v>
          </cell>
          <cell r="B258">
            <v>1.0772222816384964</v>
          </cell>
        </row>
        <row r="259">
          <cell r="A259" t="str">
            <v>Glaciulus parvus</v>
          </cell>
          <cell r="B259">
            <v>1</v>
          </cell>
        </row>
        <row r="260">
          <cell r="A260" t="str">
            <v>Acarus glacialis</v>
          </cell>
          <cell r="B260">
            <v>1</v>
          </cell>
        </row>
        <row r="261">
          <cell r="A261" t="str">
            <v>Mycodermis tegumentum</v>
          </cell>
          <cell r="B261">
            <v>1</v>
          </cell>
        </row>
        <row r="262">
          <cell r="A262" t="str">
            <v>Gallus titanicus</v>
          </cell>
          <cell r="B262">
            <v>1</v>
          </cell>
        </row>
        <row r="263">
          <cell r="A263" t="str">
            <v>Gallus titanicus (moribund)</v>
          </cell>
          <cell r="B263">
            <v>1</v>
          </cell>
        </row>
        <row r="264">
          <cell r="A264" t="str">
            <v>Genix sapiens</v>
          </cell>
          <cell r="B264">
            <v>1</v>
          </cell>
        </row>
        <row r="265">
          <cell r="A265" t="str">
            <v>Gallus silkie coronatus</v>
          </cell>
          <cell r="B265">
            <v>1</v>
          </cell>
        </row>
        <row r="266">
          <cell r="A266" t="str">
            <v>Antilope giganteus</v>
          </cell>
          <cell r="B266">
            <v>1</v>
          </cell>
        </row>
        <row r="267">
          <cell r="A267" t="str">
            <v>Devourer maximus</v>
          </cell>
          <cell r="B267">
            <v>1</v>
          </cell>
        </row>
        <row r="268">
          <cell r="A268" t="str">
            <v>Protofluidum viride</v>
          </cell>
          <cell r="B268">
            <v>1</v>
          </cell>
        </row>
        <row r="269">
          <cell r="A269" t="str">
            <v>Ovis canadensis griseus</v>
          </cell>
          <cell r="B269">
            <v>1</v>
          </cell>
        </row>
        <row r="270">
          <cell r="A270" t="str">
            <v>Canis terrestris</v>
          </cell>
          <cell r="B270">
            <v>1.038364019968949</v>
          </cell>
        </row>
        <row r="271">
          <cell r="A271" t="str">
            <v>Helix giganteus</v>
          </cell>
          <cell r="B271">
            <v>1</v>
          </cell>
        </row>
        <row r="272">
          <cell r="A272" t="str">
            <v>Coleoptera ferrum</v>
          </cell>
          <cell r="B272">
            <v>1</v>
          </cell>
        </row>
        <row r="273">
          <cell r="A273" t="str">
            <v>Araneodraco sylvanus</v>
          </cell>
          <cell r="B273">
            <v>1</v>
          </cell>
        </row>
        <row r="274">
          <cell r="A274" t="str">
            <v>Gnathus ferox</v>
          </cell>
          <cell r="B274">
            <v>1</v>
          </cell>
        </row>
        <row r="275">
          <cell r="A275" t="str">
            <v>Coleoptera lucifer</v>
          </cell>
          <cell r="B275">
            <v>1</v>
          </cell>
        </row>
        <row r="276">
          <cell r="A276" t="str">
            <v>Vermes mammuthus</v>
          </cell>
          <cell r="B276">
            <v>1</v>
          </cell>
        </row>
        <row r="277">
          <cell r="A277" t="str">
            <v>Mantis carnifera</v>
          </cell>
          <cell r="B277">
            <v>1</v>
          </cell>
        </row>
        <row r="278">
          <cell r="A278" t="str">
            <v>Carnis putridus (mature)</v>
          </cell>
          <cell r="B278">
            <v>1</v>
          </cell>
        </row>
        <row r="279">
          <cell r="A279" t="str">
            <v>Avis prata</v>
          </cell>
          <cell r="B279">
            <v>1</v>
          </cell>
        </row>
        <row r="280">
          <cell r="A280" t="str">
            <v>Pediculus giganteus</v>
          </cell>
          <cell r="B280">
            <v>1</v>
          </cell>
        </row>
        <row r="281">
          <cell r="A281" t="str">
            <v>Metallophagus xenus</v>
          </cell>
          <cell r="B281">
            <v>1</v>
          </cell>
        </row>
        <row r="282">
          <cell r="A282" t="str">
            <v>Mimo sapientis</v>
          </cell>
          <cell r="B282">
            <v>1</v>
          </cell>
        </row>
        <row r="283">
          <cell r="A283" t="str">
            <v>Murka sapiens</v>
          </cell>
          <cell r="B283">
            <v>1</v>
          </cell>
        </row>
        <row r="284">
          <cell r="A284" t="str">
            <v>Colossus mycoides</v>
          </cell>
          <cell r="B284">
            <v>1</v>
          </cell>
        </row>
        <row r="285">
          <cell r="A285" t="str">
            <v>Echinopsios fixus</v>
          </cell>
          <cell r="B285">
            <v>1</v>
          </cell>
        </row>
        <row r="286">
          <cell r="A286" t="str">
            <v>Echinopsios volans</v>
          </cell>
          <cell r="B286">
            <v>1</v>
          </cell>
        </row>
        <row r="287">
          <cell r="A287" t="str">
            <v>Avis nocturnus</v>
          </cell>
          <cell r="B287">
            <v>1</v>
          </cell>
        </row>
        <row r="288">
          <cell r="A288" t="str">
            <v>Equus nocturnalis</v>
          </cell>
          <cell r="B288">
            <v>1</v>
          </cell>
        </row>
        <row r="289">
          <cell r="A289" t="str">
            <v>Ovis nocturnus</v>
          </cell>
          <cell r="B289">
            <v>1</v>
          </cell>
        </row>
        <row r="290">
          <cell r="A290" t="str">
            <v>Noctiluca sapiens</v>
          </cell>
          <cell r="B290">
            <v>1</v>
          </cell>
        </row>
        <row r="291">
          <cell r="A291" t="str">
            <v>Gelatinous oculi</v>
          </cell>
          <cell r="B291">
            <v>1</v>
          </cell>
        </row>
        <row r="292">
          <cell r="A292" t="str">
            <v>Noctiluca oculatus</v>
          </cell>
          <cell r="B292">
            <v>1</v>
          </cell>
        </row>
        <row r="293">
          <cell r="A293" t="str">
            <v>Colossus herbosus</v>
          </cell>
          <cell r="B293">
            <v>1</v>
          </cell>
        </row>
        <row r="294">
          <cell r="A294" t="str">
            <v>Acarus lapidus</v>
          </cell>
          <cell r="B294">
            <v>1</v>
          </cell>
        </row>
        <row r="295">
          <cell r="A295" t="str">
            <v>Velociraptor nobilis</v>
          </cell>
          <cell r="B295">
            <v>1</v>
          </cell>
        </row>
        <row r="296">
          <cell r="A296" t="str">
            <v>Panthera phoenix</v>
          </cell>
          <cell r="B296">
            <v>1.1021218846899565</v>
          </cell>
        </row>
        <row r="297">
          <cell r="A297" t="str">
            <v>Plasmodium morphicus</v>
          </cell>
          <cell r="B297">
            <v>1</v>
          </cell>
        </row>
        <row r="298">
          <cell r="A298" t="str">
            <v>Bos radiatus</v>
          </cell>
          <cell r="B298">
            <v>1</v>
          </cell>
        </row>
        <row r="299">
          <cell r="A299" t="str">
            <v>Caridea raptrix</v>
          </cell>
          <cell r="B299">
            <v>1</v>
          </cell>
        </row>
        <row r="300">
          <cell r="A300" t="str">
            <v>Devastator rapax</v>
          </cell>
          <cell r="B300">
            <v>1</v>
          </cell>
        </row>
        <row r="301">
          <cell r="A301" t="str">
            <v>Canis electronis</v>
          </cell>
          <cell r="B301">
            <v>1.038364019968949</v>
          </cell>
        </row>
        <row r="302">
          <cell r="A302" t="str">
            <v>Jaculus acutis</v>
          </cell>
          <cell r="B302">
            <v>1</v>
          </cell>
        </row>
        <row r="303">
          <cell r="A303" t="str">
            <v>Protofluidum rubrum</v>
          </cell>
          <cell r="B303">
            <v>1</v>
          </cell>
        </row>
        <row r="304">
          <cell r="A304" t="str">
            <v>Sporus ruber</v>
          </cell>
          <cell r="B304">
            <v>1</v>
          </cell>
        </row>
        <row r="305">
          <cell r="A305" t="str">
            <v>Canis lacerator</v>
          </cell>
          <cell r="B305">
            <v>1.038364019968949</v>
          </cell>
        </row>
        <row r="306">
          <cell r="A306" t="str">
            <v>Monitor squamosus</v>
          </cell>
          <cell r="B306">
            <v>1</v>
          </cell>
        </row>
        <row r="307">
          <cell r="A307" t="str">
            <v>Avis regalis</v>
          </cell>
          <cell r="B307">
            <v>1</v>
          </cell>
        </row>
        <row r="308">
          <cell r="A308" t="str">
            <v>Panthera arenae</v>
          </cell>
          <cell r="B308">
            <v>1.1021218846899565</v>
          </cell>
        </row>
        <row r="309">
          <cell r="A309" t="str">
            <v>Felis arenae</v>
          </cell>
          <cell r="B309">
            <v>0.89529411549459281</v>
          </cell>
        </row>
        <row r="310">
          <cell r="A310" t="str">
            <v>Loligo arenae</v>
          </cell>
          <cell r="B310">
            <v>1</v>
          </cell>
        </row>
        <row r="311">
          <cell r="A311" t="str">
            <v>Equus umbrosus</v>
          </cell>
          <cell r="B311">
            <v>1</v>
          </cell>
        </row>
        <row r="312">
          <cell r="A312" t="str">
            <v>Capra electronica</v>
          </cell>
          <cell r="B312">
            <v>1</v>
          </cell>
        </row>
        <row r="313">
          <cell r="A313" t="str">
            <v>Canis saltator</v>
          </cell>
          <cell r="B313">
            <v>1.038364019968949</v>
          </cell>
        </row>
        <row r="314">
          <cell r="A314" t="str">
            <v>Anguilla coelestis</v>
          </cell>
          <cell r="B314">
            <v>1</v>
          </cell>
        </row>
        <row r="315">
          <cell r="A315" t="str">
            <v>Scolopendra mucosa</v>
          </cell>
          <cell r="B315">
            <v>1</v>
          </cell>
        </row>
        <row r="316">
          <cell r="A316" t="str">
            <v>Ovis aculeus</v>
          </cell>
          <cell r="B316">
            <v>1</v>
          </cell>
        </row>
        <row r="317">
          <cell r="A317" t="str">
            <v>Cancer montanus</v>
          </cell>
          <cell r="B317">
            <v>1</v>
          </cell>
        </row>
        <row r="318">
          <cell r="A318" t="str">
            <v>Vermis collectivus</v>
          </cell>
          <cell r="B318">
            <v>1</v>
          </cell>
        </row>
        <row r="319">
          <cell r="A319" t="str">
            <v>Petrovorax asphaltus</v>
          </cell>
          <cell r="B319">
            <v>1</v>
          </cell>
        </row>
        <row r="320">
          <cell r="A320" t="str">
            <v>Teratomor primordius</v>
          </cell>
          <cell r="B320">
            <v>1</v>
          </cell>
        </row>
        <row r="321">
          <cell r="A321" t="str">
            <v>Terramorpha mutabilis</v>
          </cell>
          <cell r="B321">
            <v>1</v>
          </cell>
        </row>
        <row r="322">
          <cell r="A322" t="str">
            <v>Limax tetrapodium</v>
          </cell>
          <cell r="B322">
            <v>1</v>
          </cell>
        </row>
        <row r="323">
          <cell r="A323" t="str">
            <v>Thermophis titan</v>
          </cell>
          <cell r="B323">
            <v>1</v>
          </cell>
        </row>
        <row r="324">
          <cell r="A324" t="str">
            <v>Bestia tonitrus</v>
          </cell>
          <cell r="B324">
            <v>1</v>
          </cell>
        </row>
        <row r="325">
          <cell r="A325" t="str">
            <v>Bos tonitrus</v>
          </cell>
          <cell r="B325">
            <v>1</v>
          </cell>
        </row>
        <row r="326">
          <cell r="A326" t="str">
            <v>Oculus immortalis</v>
          </cell>
          <cell r="B326">
            <v>1</v>
          </cell>
        </row>
        <row r="327">
          <cell r="A327" t="str">
            <v>Generis ferus</v>
          </cell>
          <cell r="B327">
            <v>1</v>
          </cell>
        </row>
        <row r="328">
          <cell r="A328" t="str">
            <v>Podium sylvestre</v>
          </cell>
          <cell r="B328">
            <v>1</v>
          </cell>
        </row>
        <row r="329">
          <cell r="A329" t="str">
            <v>Bestia ventus</v>
          </cell>
          <cell r="B329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  <row r="167">
          <cell r="C167">
            <v>1</v>
          </cell>
        </row>
        <row r="168">
          <cell r="C168">
            <v>1</v>
          </cell>
        </row>
        <row r="169">
          <cell r="C169">
            <v>1</v>
          </cell>
        </row>
        <row r="170">
          <cell r="C170">
            <v>1</v>
          </cell>
        </row>
        <row r="171">
          <cell r="C171">
            <v>1</v>
          </cell>
        </row>
        <row r="172">
          <cell r="C172">
            <v>1</v>
          </cell>
        </row>
        <row r="173">
          <cell r="C173">
            <v>1.1315200874177178</v>
          </cell>
        </row>
        <row r="174">
          <cell r="C174">
            <v>1</v>
          </cell>
        </row>
        <row r="175">
          <cell r="C175">
            <v>2.1366378200334371</v>
          </cell>
        </row>
        <row r="176">
          <cell r="C176">
            <v>1</v>
          </cell>
        </row>
        <row r="177">
          <cell r="C177">
            <v>1</v>
          </cell>
        </row>
        <row r="178">
          <cell r="C178">
            <v>1</v>
          </cell>
        </row>
        <row r="179">
          <cell r="C179">
            <v>1</v>
          </cell>
        </row>
        <row r="180">
          <cell r="C180">
            <v>1</v>
          </cell>
        </row>
        <row r="181">
          <cell r="C181">
            <v>1.0735019524462699</v>
          </cell>
        </row>
        <row r="182">
          <cell r="C182">
            <v>1</v>
          </cell>
        </row>
        <row r="183">
          <cell r="C183">
            <v>1</v>
          </cell>
        </row>
        <row r="184">
          <cell r="C184">
            <v>1</v>
          </cell>
        </row>
        <row r="185">
          <cell r="C185">
            <v>1</v>
          </cell>
        </row>
        <row r="186">
          <cell r="C186">
            <v>1.0347115248382959</v>
          </cell>
        </row>
        <row r="187">
          <cell r="C187">
            <v>0.95286851108357262</v>
          </cell>
        </row>
        <row r="188">
          <cell r="C188">
            <v>1</v>
          </cell>
        </row>
        <row r="189">
          <cell r="C189">
            <v>1.0893763961400491</v>
          </cell>
        </row>
        <row r="190">
          <cell r="C190">
            <v>1</v>
          </cell>
        </row>
        <row r="191">
          <cell r="C191">
            <v>0.97083004636870796</v>
          </cell>
        </row>
        <row r="192">
          <cell r="C192">
            <v>1</v>
          </cell>
        </row>
        <row r="193">
          <cell r="C193">
            <v>1</v>
          </cell>
        </row>
        <row r="194">
          <cell r="C194">
            <v>1</v>
          </cell>
        </row>
        <row r="195">
          <cell r="C195">
            <v>1</v>
          </cell>
        </row>
        <row r="196">
          <cell r="C196">
            <v>1</v>
          </cell>
        </row>
        <row r="197">
          <cell r="C197">
            <v>1</v>
          </cell>
        </row>
        <row r="198">
          <cell r="C198">
            <v>1</v>
          </cell>
        </row>
        <row r="199">
          <cell r="C199">
            <v>1</v>
          </cell>
        </row>
        <row r="200">
          <cell r="C200">
            <v>1</v>
          </cell>
        </row>
        <row r="201">
          <cell r="C201">
            <v>1</v>
          </cell>
        </row>
        <row r="202">
          <cell r="C202">
            <v>1</v>
          </cell>
        </row>
        <row r="203">
          <cell r="C203">
            <v>1</v>
          </cell>
        </row>
        <row r="204">
          <cell r="C204">
            <v>1</v>
          </cell>
        </row>
        <row r="205">
          <cell r="C205">
            <v>1</v>
          </cell>
        </row>
        <row r="206">
          <cell r="C206">
            <v>1</v>
          </cell>
        </row>
        <row r="207">
          <cell r="C207">
            <v>1.0893763961400491</v>
          </cell>
        </row>
        <row r="208">
          <cell r="C208">
            <v>1</v>
          </cell>
        </row>
        <row r="209">
          <cell r="C209">
            <v>1</v>
          </cell>
        </row>
        <row r="210">
          <cell r="C210">
            <v>1</v>
          </cell>
        </row>
        <row r="211">
          <cell r="C211">
            <v>1</v>
          </cell>
        </row>
        <row r="212">
          <cell r="C212">
            <v>1</v>
          </cell>
        </row>
        <row r="213">
          <cell r="C213">
            <v>1</v>
          </cell>
        </row>
        <row r="214">
          <cell r="C214">
            <v>1</v>
          </cell>
        </row>
        <row r="215">
          <cell r="C215">
            <v>1</v>
          </cell>
        </row>
        <row r="216">
          <cell r="C216">
            <v>1</v>
          </cell>
        </row>
        <row r="217">
          <cell r="C217">
            <v>1</v>
          </cell>
        </row>
        <row r="218">
          <cell r="C218">
            <v>1</v>
          </cell>
        </row>
        <row r="219">
          <cell r="C219">
            <v>1</v>
          </cell>
        </row>
        <row r="220">
          <cell r="C220">
            <v>1</v>
          </cell>
        </row>
        <row r="221">
          <cell r="C221">
            <v>1</v>
          </cell>
        </row>
        <row r="222">
          <cell r="C222">
            <v>1</v>
          </cell>
        </row>
        <row r="223">
          <cell r="C223">
            <v>1</v>
          </cell>
        </row>
        <row r="224">
          <cell r="C224">
            <v>1</v>
          </cell>
        </row>
        <row r="225">
          <cell r="C225">
            <v>1</v>
          </cell>
        </row>
        <row r="226">
          <cell r="C226">
            <v>1</v>
          </cell>
        </row>
        <row r="227">
          <cell r="C227">
            <v>1</v>
          </cell>
        </row>
        <row r="228">
          <cell r="C228">
            <v>1</v>
          </cell>
        </row>
        <row r="229">
          <cell r="C229">
            <v>1</v>
          </cell>
        </row>
        <row r="230">
          <cell r="C230">
            <v>1</v>
          </cell>
        </row>
        <row r="231">
          <cell r="C231">
            <v>1.7200053335432037</v>
          </cell>
        </row>
        <row r="232">
          <cell r="C232">
            <v>1.006394342764126</v>
          </cell>
        </row>
        <row r="233">
          <cell r="C233">
            <v>1</v>
          </cell>
        </row>
        <row r="234">
          <cell r="C234">
            <v>1</v>
          </cell>
        </row>
        <row r="235">
          <cell r="C235">
            <v>1</v>
          </cell>
        </row>
        <row r="236">
          <cell r="C236">
            <v>1</v>
          </cell>
        </row>
        <row r="237">
          <cell r="C237">
            <v>1</v>
          </cell>
        </row>
        <row r="238">
          <cell r="C238">
            <v>1</v>
          </cell>
        </row>
        <row r="239">
          <cell r="C239">
            <v>1</v>
          </cell>
        </row>
        <row r="240">
          <cell r="C240">
            <v>1</v>
          </cell>
        </row>
        <row r="241">
          <cell r="C241">
            <v>1</v>
          </cell>
        </row>
        <row r="242">
          <cell r="C242">
            <v>1</v>
          </cell>
        </row>
        <row r="243">
          <cell r="C243">
            <v>1.0489713461232084</v>
          </cell>
        </row>
        <row r="244">
          <cell r="C244">
            <v>0.89112849882177569</v>
          </cell>
        </row>
        <row r="245">
          <cell r="C245">
            <v>1</v>
          </cell>
        </row>
        <row r="246">
          <cell r="C246">
            <v>1</v>
          </cell>
        </row>
        <row r="247">
          <cell r="C247">
            <v>1</v>
          </cell>
        </row>
        <row r="248">
          <cell r="C248">
            <v>1</v>
          </cell>
        </row>
        <row r="249">
          <cell r="C249">
            <v>1</v>
          </cell>
        </row>
        <row r="250">
          <cell r="C250">
            <v>1</v>
          </cell>
        </row>
        <row r="251">
          <cell r="C251">
            <v>1</v>
          </cell>
        </row>
        <row r="252">
          <cell r="C252">
            <v>1</v>
          </cell>
        </row>
        <row r="253">
          <cell r="C253">
            <v>1</v>
          </cell>
        </row>
        <row r="254">
          <cell r="C254">
            <v>1</v>
          </cell>
        </row>
        <row r="255">
          <cell r="C255">
            <v>1</v>
          </cell>
        </row>
        <row r="256">
          <cell r="C256">
            <v>1</v>
          </cell>
        </row>
        <row r="257">
          <cell r="C257">
            <v>1</v>
          </cell>
        </row>
        <row r="258">
          <cell r="C258">
            <v>0.77942794130455306</v>
          </cell>
        </row>
        <row r="259">
          <cell r="C259">
            <v>1</v>
          </cell>
        </row>
        <row r="260">
          <cell r="C260">
            <v>1</v>
          </cell>
        </row>
        <row r="261">
          <cell r="C261">
            <v>1</v>
          </cell>
        </row>
        <row r="262">
          <cell r="C262">
            <v>1</v>
          </cell>
        </row>
        <row r="263">
          <cell r="C263">
            <v>1</v>
          </cell>
        </row>
        <row r="264">
          <cell r="C264">
            <v>1</v>
          </cell>
        </row>
        <row r="265">
          <cell r="C265">
            <v>1</v>
          </cell>
        </row>
        <row r="266">
          <cell r="C266">
            <v>1</v>
          </cell>
        </row>
        <row r="267">
          <cell r="C267">
            <v>1</v>
          </cell>
        </row>
        <row r="268">
          <cell r="C268">
            <v>1</v>
          </cell>
        </row>
        <row r="269">
          <cell r="C269">
            <v>1</v>
          </cell>
        </row>
        <row r="270">
          <cell r="C270">
            <v>1.0425371059413748</v>
          </cell>
        </row>
        <row r="271">
          <cell r="C271">
            <v>1</v>
          </cell>
        </row>
        <row r="272">
          <cell r="C272">
            <v>1</v>
          </cell>
        </row>
        <row r="273">
          <cell r="C273">
            <v>1</v>
          </cell>
        </row>
        <row r="274">
          <cell r="C274">
            <v>1</v>
          </cell>
        </row>
        <row r="275">
          <cell r="C275">
            <v>1</v>
          </cell>
        </row>
        <row r="276">
          <cell r="C276">
            <v>1</v>
          </cell>
        </row>
        <row r="277">
          <cell r="C277">
            <v>1</v>
          </cell>
        </row>
        <row r="278">
          <cell r="C278">
            <v>1</v>
          </cell>
        </row>
        <row r="279">
          <cell r="C279">
            <v>1</v>
          </cell>
        </row>
        <row r="280">
          <cell r="C280">
            <v>1</v>
          </cell>
        </row>
        <row r="281">
          <cell r="C281">
            <v>1</v>
          </cell>
        </row>
        <row r="282">
          <cell r="C282">
            <v>1</v>
          </cell>
        </row>
        <row r="283">
          <cell r="C283">
            <v>1</v>
          </cell>
        </row>
        <row r="284">
          <cell r="C284">
            <v>1</v>
          </cell>
        </row>
        <row r="285">
          <cell r="C285">
            <v>1</v>
          </cell>
        </row>
        <row r="286">
          <cell r="C286">
            <v>1</v>
          </cell>
        </row>
        <row r="287">
          <cell r="C287">
            <v>1</v>
          </cell>
        </row>
        <row r="288">
          <cell r="C288">
            <v>1</v>
          </cell>
        </row>
        <row r="289">
          <cell r="C289">
            <v>1</v>
          </cell>
        </row>
        <row r="290">
          <cell r="C290">
            <v>1</v>
          </cell>
        </row>
        <row r="291">
          <cell r="C291">
            <v>1</v>
          </cell>
        </row>
        <row r="292">
          <cell r="C292">
            <v>1</v>
          </cell>
        </row>
        <row r="293">
          <cell r="C293">
            <v>1</v>
          </cell>
        </row>
        <row r="294">
          <cell r="C294">
            <v>1</v>
          </cell>
        </row>
        <row r="295">
          <cell r="C295">
            <v>0.47844493899746898</v>
          </cell>
        </row>
        <row r="296">
          <cell r="C296">
            <v>1.0893763961400491</v>
          </cell>
        </row>
        <row r="297">
          <cell r="C297">
            <v>1</v>
          </cell>
        </row>
        <row r="298">
          <cell r="C298">
            <v>1</v>
          </cell>
        </row>
        <row r="299">
          <cell r="C299">
            <v>1</v>
          </cell>
        </row>
        <row r="300">
          <cell r="C300">
            <v>1</v>
          </cell>
        </row>
        <row r="301">
          <cell r="C301">
            <v>1.0425371059413748</v>
          </cell>
        </row>
        <row r="302">
          <cell r="C302">
            <v>1</v>
          </cell>
        </row>
        <row r="303">
          <cell r="C303">
            <v>1</v>
          </cell>
        </row>
        <row r="304">
          <cell r="C304">
            <v>1</v>
          </cell>
        </row>
        <row r="305">
          <cell r="C305">
            <v>1.0425371059413748</v>
          </cell>
        </row>
        <row r="306">
          <cell r="C306">
            <v>1</v>
          </cell>
        </row>
        <row r="307">
          <cell r="C307">
            <v>1</v>
          </cell>
        </row>
        <row r="308">
          <cell r="C308">
            <v>1.0893763961400491</v>
          </cell>
        </row>
        <row r="309">
          <cell r="C309">
            <v>1.0489713461232084</v>
          </cell>
        </row>
        <row r="310">
          <cell r="C310">
            <v>1</v>
          </cell>
        </row>
        <row r="311">
          <cell r="C311">
            <v>1</v>
          </cell>
        </row>
        <row r="312">
          <cell r="C312">
            <v>1</v>
          </cell>
        </row>
        <row r="313">
          <cell r="C313">
            <v>1.0425371059413748</v>
          </cell>
        </row>
        <row r="314">
          <cell r="C314">
            <v>1</v>
          </cell>
        </row>
        <row r="315">
          <cell r="C315">
            <v>1</v>
          </cell>
        </row>
        <row r="316">
          <cell r="C316">
            <v>1</v>
          </cell>
        </row>
        <row r="317">
          <cell r="C317">
            <v>1.106172015282658</v>
          </cell>
        </row>
        <row r="318">
          <cell r="C318">
            <v>1</v>
          </cell>
        </row>
        <row r="319">
          <cell r="C319">
            <v>1</v>
          </cell>
        </row>
        <row r="320">
          <cell r="C320">
            <v>1</v>
          </cell>
        </row>
        <row r="321">
          <cell r="C321">
            <v>1</v>
          </cell>
        </row>
        <row r="322">
          <cell r="C322">
            <v>1</v>
          </cell>
        </row>
        <row r="323">
          <cell r="C323">
            <v>1</v>
          </cell>
        </row>
        <row r="324">
          <cell r="C324">
            <v>1</v>
          </cell>
        </row>
        <row r="325">
          <cell r="C325">
            <v>1</v>
          </cell>
        </row>
        <row r="326">
          <cell r="C326">
            <v>1</v>
          </cell>
        </row>
        <row r="327">
          <cell r="C327">
            <v>1</v>
          </cell>
        </row>
        <row r="328">
          <cell r="C328">
            <v>1</v>
          </cell>
        </row>
        <row r="329">
          <cell r="C329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23"/>
  <sheetViews>
    <sheetView topLeftCell="A26" zoomScale="85" zoomScaleNormal="85" workbookViewId="0">
      <pane xSplit="1" topLeftCell="B1" activePane="topRight" state="frozen"/>
      <selection pane="topRight" activeCell="K92" sqref="K92"/>
    </sheetView>
  </sheetViews>
  <sheetFormatPr defaultRowHeight="15" x14ac:dyDescent="0.25"/>
  <cols>
    <col min="1" max="1" width="39.570312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1039</v>
      </c>
      <c r="C1" s="39" t="s">
        <v>1038</v>
      </c>
      <c r="D1" s="39" t="s">
        <v>919</v>
      </c>
      <c r="E1" s="39" t="s">
        <v>1037</v>
      </c>
      <c r="F1" s="39" t="s">
        <v>1040</v>
      </c>
      <c r="G1" s="39" t="s">
        <v>1041</v>
      </c>
      <c r="H1" s="29" t="s">
        <v>923</v>
      </c>
      <c r="I1" s="29" t="s">
        <v>924</v>
      </c>
      <c r="J1" s="29" t="s">
        <v>925</v>
      </c>
      <c r="K1" s="29" t="s">
        <v>931</v>
      </c>
      <c r="L1" s="29" t="s">
        <v>932</v>
      </c>
      <c r="M1" s="29" t="s">
        <v>937</v>
      </c>
      <c r="N1" s="4" t="s">
        <v>938</v>
      </c>
      <c r="O1" s="29" t="s">
        <v>1096</v>
      </c>
      <c r="P1" s="4" t="s">
        <v>948</v>
      </c>
      <c r="Q1" s="4" t="s">
        <v>9</v>
      </c>
      <c r="R1" s="4" t="s">
        <v>949</v>
      </c>
      <c r="S1" s="4" t="s">
        <v>950</v>
      </c>
      <c r="T1" s="4" t="s">
        <v>951</v>
      </c>
      <c r="U1" s="4" t="s">
        <v>1097</v>
      </c>
      <c r="V1" s="4" t="s">
        <v>963</v>
      </c>
      <c r="W1" s="4" t="s">
        <v>965</v>
      </c>
      <c r="X1" s="4" t="s">
        <v>966</v>
      </c>
      <c r="Y1" s="4" t="s">
        <v>967</v>
      </c>
      <c r="Z1" s="4" t="s">
        <v>11</v>
      </c>
      <c r="AA1" s="4" t="s">
        <v>974</v>
      </c>
      <c r="AB1" s="4" t="s">
        <v>975</v>
      </c>
      <c r="AC1" s="4" t="s">
        <v>976</v>
      </c>
      <c r="AD1" s="39" t="s">
        <v>988</v>
      </c>
      <c r="AE1" s="4" t="s">
        <v>989</v>
      </c>
      <c r="AF1" s="4" t="s">
        <v>990</v>
      </c>
      <c r="AG1" s="4" t="s">
        <v>992</v>
      </c>
      <c r="AH1" s="4" t="s">
        <v>991</v>
      </c>
      <c r="AI1" s="43" t="s">
        <v>999</v>
      </c>
      <c r="AJ1" s="43" t="s">
        <v>1000</v>
      </c>
      <c r="AK1" s="43" t="s">
        <v>1006</v>
      </c>
      <c r="AL1" s="4" t="s">
        <v>665</v>
      </c>
      <c r="AM1" s="43" t="s">
        <v>1034</v>
      </c>
      <c r="AN1" s="43" t="s">
        <v>1032</v>
      </c>
      <c r="AO1" s="43" t="s">
        <v>1033</v>
      </c>
      <c r="AP1" s="43" t="s">
        <v>1035</v>
      </c>
      <c r="AQ1" s="43" t="s">
        <v>1751</v>
      </c>
      <c r="AR1" s="43" t="s">
        <v>1030</v>
      </c>
      <c r="AS1" s="43" t="s">
        <v>1036</v>
      </c>
      <c r="AT1" s="43" t="s">
        <v>1042</v>
      </c>
      <c r="AU1" s="43" t="s">
        <v>1043</v>
      </c>
      <c r="AV1" s="43" t="s">
        <v>1055</v>
      </c>
      <c r="AW1" s="4" t="s">
        <v>850</v>
      </c>
      <c r="AX1" s="43" t="s">
        <v>1061</v>
      </c>
      <c r="AY1" s="43" t="s">
        <v>1062</v>
      </c>
      <c r="AZ1" s="43" t="s">
        <v>1065</v>
      </c>
      <c r="BA1" s="43" t="s">
        <v>1103</v>
      </c>
      <c r="BB1" s="43" t="s">
        <v>1102</v>
      </c>
      <c r="BC1" s="43" t="s">
        <v>1071</v>
      </c>
      <c r="BD1" s="43" t="s">
        <v>1073</v>
      </c>
      <c r="BE1" s="43" t="s">
        <v>1075</v>
      </c>
      <c r="BF1" s="43" t="s">
        <v>1081</v>
      </c>
      <c r="BG1" s="39" t="s">
        <v>1082</v>
      </c>
      <c r="BH1" s="39" t="s">
        <v>1083</v>
      </c>
      <c r="BI1" s="39" t="s">
        <v>1084</v>
      </c>
      <c r="BJ1" s="39" t="s">
        <v>1086</v>
      </c>
      <c r="BK1" s="39" t="s">
        <v>1110</v>
      </c>
      <c r="BL1" s="39" t="s">
        <v>1111</v>
      </c>
      <c r="BM1" s="39" t="s">
        <v>1112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939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979</v>
      </c>
      <c r="AB2" s="4" t="s">
        <v>981</v>
      </c>
      <c r="AC2" s="4" t="s">
        <v>1069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1004</v>
      </c>
      <c r="AK2" s="4">
        <v>0</v>
      </c>
      <c r="AL2" s="4" t="s">
        <v>1022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1029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1761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v>1400</v>
      </c>
      <c r="I3" s="41">
        <f>AVERAGE(12.1%,36.3%)</f>
        <v>0.24199999999999999</v>
      </c>
      <c r="J3" s="39">
        <v>0.89</v>
      </c>
      <c r="K3" s="39" t="s">
        <v>930</v>
      </c>
      <c r="L3" s="39">
        <v>1</v>
      </c>
      <c r="M3" s="39">
        <v>1</v>
      </c>
      <c r="N3" s="4" t="s">
        <v>939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979</v>
      </c>
      <c r="AB3" s="4" t="s">
        <v>981</v>
      </c>
      <c r="AC3" s="4" t="s">
        <v>1069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1004</v>
      </c>
      <c r="AK3" s="4">
        <v>0</v>
      </c>
      <c r="AL3" s="4" t="s">
        <v>1022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1029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1087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1747</v>
      </c>
      <c r="B4" s="39">
        <v>1</v>
      </c>
      <c r="C4" s="39">
        <v>1.1000000000000001</v>
      </c>
      <c r="D4" s="39">
        <v>0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939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979</v>
      </c>
      <c r="AB4" s="4" t="s">
        <v>981</v>
      </c>
      <c r="AC4" s="4" t="s">
        <v>1069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1004</v>
      </c>
      <c r="AK4" s="4">
        <v>0</v>
      </c>
      <c r="AL4" s="4" t="s">
        <v>289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1031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1092</v>
      </c>
      <c r="BK4" s="39">
        <v>0</v>
      </c>
      <c r="BL4" s="39">
        <v>0</v>
      </c>
      <c r="BM4" s="39">
        <v>0</v>
      </c>
    </row>
    <row r="5" spans="1:65" x14ac:dyDescent="0.25">
      <c r="A5" t="s">
        <v>1746</v>
      </c>
      <c r="B5" s="39">
        <v>1</v>
      </c>
      <c r="C5" s="39">
        <v>1.1000000000000001</v>
      </c>
      <c r="D5" s="39">
        <v>0</v>
      </c>
      <c r="E5" s="39">
        <v>1</v>
      </c>
      <c r="F5" s="39">
        <v>0</v>
      </c>
      <c r="G5" s="39">
        <v>2</v>
      </c>
      <c r="H5" s="40">
        <v>95</v>
      </c>
      <c r="I5" s="41">
        <f>H5/1000/AVERAGE(4.6)</f>
        <v>2.065217391304348E-2</v>
      </c>
      <c r="J5" s="39">
        <v>1.2</v>
      </c>
      <c r="K5" s="39">
        <v>0.32</v>
      </c>
      <c r="L5" s="39">
        <v>1</v>
      </c>
      <c r="M5" s="39">
        <v>1</v>
      </c>
      <c r="N5" s="4" t="s">
        <v>939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979</v>
      </c>
      <c r="AB5" s="4" t="s">
        <v>981</v>
      </c>
      <c r="AC5" s="4" t="s">
        <v>1069</v>
      </c>
      <c r="AD5" s="39">
        <v>1</v>
      </c>
      <c r="AE5" s="4">
        <v>1.1000000000000001</v>
      </c>
      <c r="AF5" s="4" t="s">
        <v>995</v>
      </c>
      <c r="AG5" s="4" t="s">
        <v>997</v>
      </c>
      <c r="AH5" s="4" t="s">
        <v>953</v>
      </c>
      <c r="AI5" s="4">
        <v>1</v>
      </c>
      <c r="AJ5" s="4" t="s">
        <v>1004</v>
      </c>
      <c r="AK5" s="4">
        <v>0</v>
      </c>
      <c r="AL5" s="4" t="s">
        <v>1094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1029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1087</v>
      </c>
      <c r="BK5" s="39">
        <v>1</v>
      </c>
      <c r="BL5" s="39">
        <v>0</v>
      </c>
      <c r="BM5" s="39">
        <v>0</v>
      </c>
    </row>
    <row r="6" spans="1:65" s="16" customFormat="1" x14ac:dyDescent="0.25">
      <c r="A6" s="16" t="s">
        <v>1745</v>
      </c>
      <c r="B6" s="39">
        <v>1</v>
      </c>
      <c r="C6" s="39">
        <v>1.25</v>
      </c>
      <c r="D6" s="39">
        <v>0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930</v>
      </c>
      <c r="L6" s="39">
        <v>0</v>
      </c>
      <c r="M6" s="39">
        <v>0</v>
      </c>
      <c r="N6" s="4" t="s">
        <v>945</v>
      </c>
      <c r="O6" s="4">
        <v>1</v>
      </c>
      <c r="P6" s="4">
        <v>1</v>
      </c>
      <c r="Q6" s="4">
        <v>1</v>
      </c>
      <c r="R6" s="4" t="s">
        <v>954</v>
      </c>
      <c r="S6" s="4" t="s">
        <v>952</v>
      </c>
      <c r="T6" s="4" t="s">
        <v>953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977</v>
      </c>
      <c r="AB6" s="4" t="s">
        <v>982</v>
      </c>
      <c r="AC6" s="4" t="s">
        <v>956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0</v>
      </c>
      <c r="AR6" s="4" t="s">
        <v>1029</v>
      </c>
      <c r="AS6" s="4">
        <v>0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1</v>
      </c>
      <c r="BG6" s="39">
        <v>1</v>
      </c>
      <c r="BH6" s="39">
        <v>0.1</v>
      </c>
      <c r="BI6" s="39">
        <v>2.5000000000000001E-2</v>
      </c>
      <c r="BJ6" s="39" t="s">
        <v>1088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1748</v>
      </c>
      <c r="B7" s="39">
        <v>1</v>
      </c>
      <c r="C7" s="39">
        <v>1.25</v>
      </c>
      <c r="D7" s="39">
        <v>0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930</v>
      </c>
      <c r="L7" s="39">
        <v>0</v>
      </c>
      <c r="M7" s="39">
        <v>0</v>
      </c>
      <c r="N7" s="4" t="s">
        <v>945</v>
      </c>
      <c r="O7" s="4">
        <v>1</v>
      </c>
      <c r="P7" s="4">
        <v>1</v>
      </c>
      <c r="Q7" s="4">
        <v>1</v>
      </c>
      <c r="R7" s="4" t="s">
        <v>954</v>
      </c>
      <c r="S7" s="4" t="s">
        <v>952</v>
      </c>
      <c r="T7" s="4" t="s">
        <v>953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0.8</v>
      </c>
      <c r="AA7" s="4" t="s">
        <v>977</v>
      </c>
      <c r="AB7" s="4" t="s">
        <v>982</v>
      </c>
      <c r="AC7" s="4" t="s">
        <v>956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0</v>
      </c>
      <c r="AO7" s="4">
        <v>0</v>
      </c>
      <c r="AP7" s="4" t="s">
        <v>45</v>
      </c>
      <c r="AQ7" s="4">
        <v>0</v>
      </c>
      <c r="AR7" s="4" t="s">
        <v>1029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1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1</v>
      </c>
      <c r="BG7" s="39">
        <v>1</v>
      </c>
      <c r="BH7" s="39">
        <v>0.1</v>
      </c>
      <c r="BI7" s="39">
        <v>2.5000000000000001E-2</v>
      </c>
      <c r="BJ7" s="39" t="s">
        <v>1088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1744</v>
      </c>
      <c r="B8" s="39">
        <v>0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930</v>
      </c>
      <c r="L8" s="39">
        <v>0</v>
      </c>
      <c r="M8" s="39">
        <v>0</v>
      </c>
      <c r="N8" s="4" t="s">
        <v>945</v>
      </c>
      <c r="O8" s="4">
        <v>1</v>
      </c>
      <c r="P8" s="4">
        <v>1</v>
      </c>
      <c r="Q8" s="4">
        <v>1</v>
      </c>
      <c r="R8" s="4" t="s">
        <v>954</v>
      </c>
      <c r="S8" s="4" t="s">
        <v>952</v>
      </c>
      <c r="T8" s="4" t="s">
        <v>953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0.8</v>
      </c>
      <c r="AA8" s="4" t="s">
        <v>977</v>
      </c>
      <c r="AB8" s="4" t="s">
        <v>982</v>
      </c>
      <c r="AC8" s="4" t="s">
        <v>956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0</v>
      </c>
      <c r="AR8" s="4" t="s">
        <v>1031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0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1</v>
      </c>
      <c r="BG8" s="39">
        <v>1</v>
      </c>
      <c r="BH8" s="39">
        <v>0</v>
      </c>
      <c r="BI8" s="39">
        <v>0</v>
      </c>
      <c r="BJ8" s="39" t="s">
        <v>1088</v>
      </c>
      <c r="BK8" s="39">
        <v>0</v>
      </c>
      <c r="BL8" s="39">
        <v>0</v>
      </c>
      <c r="BM8" s="39">
        <v>0</v>
      </c>
    </row>
    <row r="9" spans="1:65" s="16" customFormat="1" x14ac:dyDescent="0.25">
      <c r="A9" s="16" t="s">
        <v>1743</v>
      </c>
      <c r="B9" s="39">
        <v>1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930</v>
      </c>
      <c r="L9" s="39">
        <v>0</v>
      </c>
      <c r="M9" s="39">
        <v>0</v>
      </c>
      <c r="N9" s="4" t="s">
        <v>41</v>
      </c>
      <c r="O9" s="4">
        <v>1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0.8</v>
      </c>
      <c r="AA9" s="4" t="s">
        <v>977</v>
      </c>
      <c r="AB9" s="4" t="s">
        <v>982</v>
      </c>
      <c r="AC9" s="4" t="s">
        <v>956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0</v>
      </c>
      <c r="AR9" s="4" t="s">
        <v>674</v>
      </c>
      <c r="AS9" s="4">
        <v>0</v>
      </c>
      <c r="AT9" s="4">
        <v>1</v>
      </c>
      <c r="AU9" s="4">
        <v>1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1088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1742</v>
      </c>
      <c r="B10" s="39">
        <v>1</v>
      </c>
      <c r="C10" s="39">
        <v>1.5</v>
      </c>
      <c r="D10" s="39">
        <v>1</v>
      </c>
      <c r="E10" s="39">
        <v>11</v>
      </c>
      <c r="F10" s="39">
        <v>0</v>
      </c>
      <c r="G10" s="39">
        <v>0</v>
      </c>
      <c r="H10" s="40">
        <v>1</v>
      </c>
      <c r="I10" s="41">
        <v>1</v>
      </c>
      <c r="J10" s="39">
        <v>1.0900000000000001</v>
      </c>
      <c r="K10" s="39" t="s">
        <v>930</v>
      </c>
      <c r="L10" s="39">
        <v>0</v>
      </c>
      <c r="M10" s="39">
        <v>0</v>
      </c>
      <c r="N10" s="4" t="s">
        <v>41</v>
      </c>
      <c r="O10" s="4">
        <v>1</v>
      </c>
      <c r="P10" s="4">
        <v>1</v>
      </c>
      <c r="Q10" s="4">
        <v>0.9</v>
      </c>
      <c r="R10" s="4" t="s">
        <v>954</v>
      </c>
      <c r="S10" s="4" t="s">
        <v>952</v>
      </c>
      <c r="T10" s="4" t="s">
        <v>953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</v>
      </c>
      <c r="AA10" s="4" t="s">
        <v>977</v>
      </c>
      <c r="AB10" s="4" t="s">
        <v>982</v>
      </c>
      <c r="AC10" s="4" t="s">
        <v>956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</v>
      </c>
      <c r="AJ10" s="4" t="s">
        <v>41</v>
      </c>
      <c r="AK10" s="4">
        <v>0</v>
      </c>
      <c r="AL10" s="4" t="s">
        <v>41</v>
      </c>
      <c r="AM10" s="4">
        <v>0</v>
      </c>
      <c r="AN10" s="4">
        <v>2.5000000000000001E-2</v>
      </c>
      <c r="AO10" s="4">
        <v>0.1</v>
      </c>
      <c r="AP10" s="4" t="s">
        <v>45</v>
      </c>
      <c r="AQ10" s="4">
        <v>0</v>
      </c>
      <c r="AR10" s="4" t="s">
        <v>674</v>
      </c>
      <c r="AS10" s="4">
        <v>0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1</v>
      </c>
      <c r="BC10" s="4">
        <v>0</v>
      </c>
      <c r="BD10" s="4">
        <v>0</v>
      </c>
      <c r="BE10" s="4">
        <v>1</v>
      </c>
      <c r="BF10" s="4">
        <v>2</v>
      </c>
      <c r="BG10" s="39">
        <v>1</v>
      </c>
      <c r="BH10" s="39">
        <v>0</v>
      </c>
      <c r="BI10" s="39">
        <v>0</v>
      </c>
      <c r="BJ10" s="39" t="s">
        <v>1088</v>
      </c>
      <c r="BK10" s="39">
        <v>0</v>
      </c>
      <c r="BL10" s="39">
        <v>0</v>
      </c>
      <c r="BM10" s="39">
        <v>0</v>
      </c>
    </row>
    <row r="11" spans="1:65" s="16" customFormat="1" x14ac:dyDescent="0.25">
      <c r="A11" s="16" t="s">
        <v>1741</v>
      </c>
      <c r="B11" s="39">
        <v>1</v>
      </c>
      <c r="C11" s="39">
        <v>1.25</v>
      </c>
      <c r="D11" s="39">
        <v>0</v>
      </c>
      <c r="E11" s="39">
        <v>11</v>
      </c>
      <c r="F11" s="39">
        <v>0</v>
      </c>
      <c r="G11" s="39">
        <v>0</v>
      </c>
      <c r="H11" s="40">
        <v>1</v>
      </c>
      <c r="I11" s="41">
        <v>1</v>
      </c>
      <c r="J11" s="39">
        <v>1.0900000000000001</v>
      </c>
      <c r="K11" s="39" t="s">
        <v>930</v>
      </c>
      <c r="L11" s="39">
        <v>0</v>
      </c>
      <c r="M11" s="39">
        <v>0</v>
      </c>
      <c r="N11" s="4" t="s">
        <v>41</v>
      </c>
      <c r="O11" s="4">
        <v>1</v>
      </c>
      <c r="P11" s="4">
        <v>1</v>
      </c>
      <c r="Q11" s="4">
        <v>1</v>
      </c>
      <c r="R11" s="4" t="s">
        <v>954</v>
      </c>
      <c r="S11" s="4" t="s">
        <v>952</v>
      </c>
      <c r="T11" s="4" t="s">
        <v>953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1</v>
      </c>
      <c r="AA11" s="4" t="s">
        <v>977</v>
      </c>
      <c r="AB11" s="4" t="s">
        <v>982</v>
      </c>
      <c r="AC11" s="4" t="s">
        <v>956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</v>
      </c>
      <c r="AJ11" s="4" t="s">
        <v>41</v>
      </c>
      <c r="AK11" s="4">
        <v>0</v>
      </c>
      <c r="AL11" s="4" t="s">
        <v>41</v>
      </c>
      <c r="AM11" s="4">
        <v>0</v>
      </c>
      <c r="AN11" s="4">
        <v>0</v>
      </c>
      <c r="AO11" s="4">
        <v>0</v>
      </c>
      <c r="AP11" s="4" t="s">
        <v>45</v>
      </c>
      <c r="AQ11" s="4">
        <v>0</v>
      </c>
      <c r="AR11" s="4" t="s">
        <v>674</v>
      </c>
      <c r="AS11" s="4">
        <v>0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1</v>
      </c>
      <c r="BA11" s="4">
        <v>0</v>
      </c>
      <c r="BB11" s="4">
        <v>1</v>
      </c>
      <c r="BC11" s="4">
        <v>0</v>
      </c>
      <c r="BD11" s="4">
        <v>0</v>
      </c>
      <c r="BE11" s="4">
        <v>1</v>
      </c>
      <c r="BF11" s="4">
        <v>2</v>
      </c>
      <c r="BG11" s="39">
        <v>1</v>
      </c>
      <c r="BH11" s="39">
        <v>0.1</v>
      </c>
      <c r="BI11" s="39">
        <v>2.5000000000000001E-2</v>
      </c>
      <c r="BJ11" s="39" t="s">
        <v>1088</v>
      </c>
      <c r="BK11" s="39">
        <v>0</v>
      </c>
      <c r="BL11" s="39">
        <v>0</v>
      </c>
      <c r="BM11" s="39">
        <v>0</v>
      </c>
    </row>
    <row r="12" spans="1:65" x14ac:dyDescent="0.25">
      <c r="A12" t="s">
        <v>41</v>
      </c>
      <c r="B12" s="39">
        <v>0</v>
      </c>
      <c r="C12" s="39">
        <v>1.25</v>
      </c>
      <c r="D12" s="39">
        <v>1</v>
      </c>
      <c r="E12" s="39">
        <v>11</v>
      </c>
      <c r="F12" s="39">
        <v>0</v>
      </c>
      <c r="G12" s="39">
        <v>0</v>
      </c>
      <c r="H12" s="40">
        <v>1</v>
      </c>
      <c r="I12" s="41">
        <v>1</v>
      </c>
      <c r="J12" s="39">
        <v>1.0900000000000001</v>
      </c>
      <c r="K12" s="39" t="s">
        <v>930</v>
      </c>
      <c r="L12" s="39">
        <v>0</v>
      </c>
      <c r="M12" s="39">
        <v>0</v>
      </c>
      <c r="N12" s="4" t="s">
        <v>41</v>
      </c>
      <c r="O12" s="4">
        <v>1</v>
      </c>
      <c r="P12" s="4">
        <v>1</v>
      </c>
      <c r="Q12" s="4">
        <v>1</v>
      </c>
      <c r="R12" s="4" t="s">
        <v>954</v>
      </c>
      <c r="S12" s="4" t="s">
        <v>952</v>
      </c>
      <c r="T12" s="4" t="s">
        <v>953</v>
      </c>
      <c r="U12" s="4" t="s">
        <v>45</v>
      </c>
      <c r="V12" s="4" t="s">
        <v>45</v>
      </c>
      <c r="W12" s="4" t="s">
        <v>45</v>
      </c>
      <c r="X12" s="4" t="s">
        <v>45</v>
      </c>
      <c r="Y12" s="4" t="s">
        <v>45</v>
      </c>
      <c r="Z12" s="4">
        <v>1</v>
      </c>
      <c r="AA12" s="4" t="s">
        <v>977</v>
      </c>
      <c r="AB12" s="4" t="s">
        <v>982</v>
      </c>
      <c r="AC12" s="4" t="s">
        <v>956</v>
      </c>
      <c r="AD12" s="39">
        <v>0</v>
      </c>
      <c r="AE12" s="4" t="s">
        <v>45</v>
      </c>
      <c r="AF12" s="4" t="s">
        <v>45</v>
      </c>
      <c r="AG12" s="4" t="s">
        <v>45</v>
      </c>
      <c r="AH12" s="4" t="s">
        <v>45</v>
      </c>
      <c r="AI12" s="4">
        <v>1</v>
      </c>
      <c r="AJ12" s="4" t="s">
        <v>41</v>
      </c>
      <c r="AK12" s="4">
        <v>0</v>
      </c>
      <c r="AL12" s="4" t="s">
        <v>41</v>
      </c>
      <c r="AM12" s="4">
        <v>0</v>
      </c>
      <c r="AN12" s="4">
        <v>0</v>
      </c>
      <c r="AO12" s="4">
        <v>0</v>
      </c>
      <c r="AP12" s="4" t="s">
        <v>45</v>
      </c>
      <c r="AQ12" s="4">
        <v>0</v>
      </c>
      <c r="AR12" s="4" t="s">
        <v>674</v>
      </c>
      <c r="AS12" s="4">
        <v>0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1</v>
      </c>
      <c r="BC12" s="4">
        <v>0</v>
      </c>
      <c r="BD12" s="4">
        <v>0</v>
      </c>
      <c r="BE12" s="4">
        <v>1</v>
      </c>
      <c r="BF12" s="4">
        <v>2</v>
      </c>
      <c r="BG12" s="39">
        <v>1</v>
      </c>
      <c r="BH12" s="39">
        <v>0</v>
      </c>
      <c r="BI12" s="39">
        <v>0</v>
      </c>
      <c r="BJ12" s="39" t="s">
        <v>1088</v>
      </c>
      <c r="BK12" s="39">
        <v>0</v>
      </c>
      <c r="BL12" s="39">
        <v>0</v>
      </c>
      <c r="BM12" s="39">
        <v>0</v>
      </c>
    </row>
    <row r="13" spans="1:65" s="16" customFormat="1" x14ac:dyDescent="0.25">
      <c r="A13" s="16" t="s">
        <v>1835</v>
      </c>
      <c r="B13" s="39">
        <v>0</v>
      </c>
      <c r="C13" s="39">
        <v>1.25</v>
      </c>
      <c r="D13" s="39">
        <v>0</v>
      </c>
      <c r="E13" s="39">
        <v>1</v>
      </c>
      <c r="F13" s="39">
        <v>1</v>
      </c>
      <c r="G13" s="39">
        <v>0</v>
      </c>
      <c r="H13" s="40">
        <f>AVERAGE(21.6,12,10,13.1,30.5,38,15)</f>
        <v>20.028571428571428</v>
      </c>
      <c r="I13" s="41">
        <f>AVERAGE(0.54,1.5,1.5,0.86,0.24,0.54,0.85)</f>
        <v>0.86142857142857143</v>
      </c>
      <c r="J13" s="39">
        <v>1.0900000000000001</v>
      </c>
      <c r="K13" s="42">
        <f>AVERAGE(0.13,0.106,0.134,0.129)</f>
        <v>0.12475</v>
      </c>
      <c r="L13" s="39">
        <v>0</v>
      </c>
      <c r="M13" s="39">
        <v>0</v>
      </c>
      <c r="N13" s="4" t="s">
        <v>55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0.8</v>
      </c>
      <c r="AA13" s="4" t="s">
        <v>980</v>
      </c>
      <c r="AB13" s="4" t="s">
        <v>984</v>
      </c>
      <c r="AC13" s="4" t="s">
        <v>1069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1.2</v>
      </c>
      <c r="AJ13" s="4" t="s">
        <v>1001</v>
      </c>
      <c r="AK13" s="4">
        <v>0</v>
      </c>
      <c r="AL13" s="4" t="s">
        <v>1012</v>
      </c>
      <c r="AM13" s="4">
        <v>1</v>
      </c>
      <c r="AN13" s="4">
        <v>0.1</v>
      </c>
      <c r="AO13" s="4">
        <v>0.3</v>
      </c>
      <c r="AP13" s="4">
        <v>1</v>
      </c>
      <c r="AQ13" s="4">
        <v>0</v>
      </c>
      <c r="AR13" s="4" t="s">
        <v>1029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1</v>
      </c>
      <c r="BC13" s="4">
        <v>0</v>
      </c>
      <c r="BD13" s="4">
        <v>0</v>
      </c>
      <c r="BE13" s="4">
        <v>0</v>
      </c>
      <c r="BF13" s="4">
        <v>0</v>
      </c>
      <c r="BG13" s="39">
        <v>1</v>
      </c>
      <c r="BH13" s="39">
        <v>0.2</v>
      </c>
      <c r="BI13" s="39">
        <v>2.5000000000000001E-2</v>
      </c>
      <c r="BJ13" s="39" t="s">
        <v>1085</v>
      </c>
      <c r="BK13" s="39">
        <v>0</v>
      </c>
      <c r="BL13" s="39">
        <v>0</v>
      </c>
      <c r="BM13" s="39">
        <v>0</v>
      </c>
    </row>
    <row r="14" spans="1:65" x14ac:dyDescent="0.25">
      <c r="A14" t="s">
        <v>1836</v>
      </c>
      <c r="B14" s="39">
        <v>0</v>
      </c>
      <c r="C14" s="39">
        <v>1.25</v>
      </c>
      <c r="D14" s="39">
        <v>0</v>
      </c>
      <c r="E14" s="39">
        <v>1</v>
      </c>
      <c r="F14" s="39">
        <v>1</v>
      </c>
      <c r="G14" s="39">
        <v>0</v>
      </c>
      <c r="H14" s="40">
        <f>AVERAGE(21.6,12,10,13.1,30.5,38,15)</f>
        <v>20.028571428571428</v>
      </c>
      <c r="I14" s="41">
        <f>AVERAGE(0.54,1.5,1.5,0.86,0.24,0.54,0.85)</f>
        <v>0.86142857142857143</v>
      </c>
      <c r="J14" s="39">
        <v>1.0900000000000001</v>
      </c>
      <c r="K14" s="42">
        <f>AVERAGE(0.13,0.106,0.134,0.129)</f>
        <v>0.12475</v>
      </c>
      <c r="L14" s="39">
        <v>0</v>
      </c>
      <c r="M14" s="39">
        <v>0</v>
      </c>
      <c r="N14" s="4" t="s">
        <v>55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980</v>
      </c>
      <c r="AB14" s="4" t="s">
        <v>984</v>
      </c>
      <c r="AC14" s="4" t="s">
        <v>1069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1.2</v>
      </c>
      <c r="AJ14" s="4" t="s">
        <v>1001</v>
      </c>
      <c r="AK14" s="4">
        <v>0</v>
      </c>
      <c r="AL14" s="4" t="s">
        <v>1012</v>
      </c>
      <c r="AM14" s="4">
        <v>1</v>
      </c>
      <c r="AN14" s="4">
        <v>0.1</v>
      </c>
      <c r="AO14" s="4">
        <v>0.3</v>
      </c>
      <c r="AP14" s="4">
        <v>1</v>
      </c>
      <c r="AQ14" s="4">
        <v>0</v>
      </c>
      <c r="AR14" s="4" t="s">
        <v>1029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1</v>
      </c>
      <c r="BC14" s="4">
        <v>0</v>
      </c>
      <c r="BD14" s="4">
        <v>0</v>
      </c>
      <c r="BE14" s="4">
        <v>0</v>
      </c>
      <c r="BF14" s="4">
        <v>0</v>
      </c>
      <c r="BG14" s="39">
        <v>1</v>
      </c>
      <c r="BH14" s="39">
        <v>0.2</v>
      </c>
      <c r="BI14" s="39">
        <v>2.5000000000000001E-2</v>
      </c>
      <c r="BJ14" s="39" t="s">
        <v>1085</v>
      </c>
      <c r="BK14" s="39">
        <v>0</v>
      </c>
      <c r="BL14" s="39">
        <v>0</v>
      </c>
      <c r="BM14" s="39">
        <v>0</v>
      </c>
    </row>
    <row r="15" spans="1:65" x14ac:dyDescent="0.25">
      <c r="A15" t="s">
        <v>421</v>
      </c>
      <c r="B15" s="39">
        <v>0</v>
      </c>
      <c r="C15" s="39">
        <v>1.5</v>
      </c>
      <c r="D15" s="39">
        <v>1</v>
      </c>
      <c r="E15" s="39">
        <v>1</v>
      </c>
      <c r="F15" s="39">
        <v>0</v>
      </c>
      <c r="G15" s="39">
        <v>0</v>
      </c>
      <c r="H15" s="40">
        <v>32</v>
      </c>
      <c r="I15" s="41">
        <f>H15/1000/13</f>
        <v>2.4615384615384616E-3</v>
      </c>
      <c r="J15" s="39">
        <v>1.9</v>
      </c>
      <c r="K15" s="39">
        <v>0.32</v>
      </c>
      <c r="L15" s="39">
        <v>1</v>
      </c>
      <c r="M15" s="39">
        <v>1</v>
      </c>
      <c r="N15" s="4" t="s">
        <v>45</v>
      </c>
      <c r="O15" s="4">
        <v>1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 t="s">
        <v>45</v>
      </c>
      <c r="AA15" s="4" t="s">
        <v>45</v>
      </c>
      <c r="AB15" s="4" t="s">
        <v>45</v>
      </c>
      <c r="AC15" s="4" t="s">
        <v>45</v>
      </c>
      <c r="AD15" s="39">
        <v>1</v>
      </c>
      <c r="AE15" s="4">
        <v>1.2</v>
      </c>
      <c r="AF15" s="4" t="s">
        <v>994</v>
      </c>
      <c r="AG15" s="4" t="s">
        <v>998</v>
      </c>
      <c r="AH15" s="4" t="s">
        <v>953</v>
      </c>
      <c r="AI15" s="4">
        <v>1</v>
      </c>
      <c r="AJ15" s="4" t="s">
        <v>1004</v>
      </c>
      <c r="AK15" s="4">
        <v>0</v>
      </c>
      <c r="AL15" s="4" t="s">
        <v>421</v>
      </c>
      <c r="AM15" s="4">
        <v>0</v>
      </c>
      <c r="AN15" s="4">
        <v>0</v>
      </c>
      <c r="AO15" s="4">
        <v>0</v>
      </c>
      <c r="AP15" s="4" t="s">
        <v>45</v>
      </c>
      <c r="AQ15" s="4">
        <v>0</v>
      </c>
      <c r="AR15" s="4" t="s">
        <v>674</v>
      </c>
      <c r="AS15" s="4">
        <v>0</v>
      </c>
      <c r="AT15" s="4">
        <v>0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1</v>
      </c>
      <c r="BA15" s="4">
        <v>0</v>
      </c>
      <c r="BB15" s="4">
        <v>0</v>
      </c>
      <c r="BC15" s="4">
        <v>1</v>
      </c>
      <c r="BD15" s="4">
        <v>0</v>
      </c>
      <c r="BE15" s="4">
        <v>0</v>
      </c>
      <c r="BF15" s="4">
        <v>1</v>
      </c>
      <c r="BG15" s="39">
        <v>0.25</v>
      </c>
      <c r="BH15" s="39">
        <v>0</v>
      </c>
      <c r="BI15" s="39">
        <v>0</v>
      </c>
      <c r="BJ15" s="39" t="s">
        <v>1087</v>
      </c>
      <c r="BK15" s="39">
        <v>0</v>
      </c>
      <c r="BL15" s="39">
        <v>0</v>
      </c>
      <c r="BM15" s="39">
        <v>0</v>
      </c>
    </row>
    <row r="16" spans="1:65" x14ac:dyDescent="0.25">
      <c r="A16" t="s">
        <v>458</v>
      </c>
      <c r="B16" s="39">
        <v>2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458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980</v>
      </c>
      <c r="AB16" s="4" t="s">
        <v>983</v>
      </c>
      <c r="AC16" s="4" t="s">
        <v>1069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1002</v>
      </c>
      <c r="AK16" s="4">
        <v>0</v>
      </c>
      <c r="AL16" s="4" t="s">
        <v>1020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674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1087</v>
      </c>
      <c r="BK16" s="39">
        <v>0</v>
      </c>
      <c r="BL16" s="39">
        <v>0</v>
      </c>
      <c r="BM16" s="39">
        <v>0</v>
      </c>
    </row>
    <row r="17" spans="1:65" x14ac:dyDescent="0.25">
      <c r="A17" t="s">
        <v>70</v>
      </c>
      <c r="B17" s="39">
        <v>2</v>
      </c>
      <c r="C17" s="39">
        <v>1</v>
      </c>
      <c r="D17" s="39">
        <v>0</v>
      </c>
      <c r="E17" s="39">
        <v>5</v>
      </c>
      <c r="F17" s="39">
        <v>0</v>
      </c>
      <c r="G17" s="39">
        <v>0</v>
      </c>
      <c r="H17" s="40">
        <f>AVERAGE(21.6,12,10,13.1,30.5,38,15)</f>
        <v>20.028571428571428</v>
      </c>
      <c r="I17" s="41">
        <f>AVERAGE(0.54,1.5,1.5,0.86,0.24,0.54,0.85)</f>
        <v>0.86142857142857143</v>
      </c>
      <c r="J17" s="39">
        <v>1.0900000000000001</v>
      </c>
      <c r="K17" s="42">
        <v>0.08</v>
      </c>
      <c r="L17" s="39">
        <v>0</v>
      </c>
      <c r="M17" s="39">
        <v>0</v>
      </c>
      <c r="N17" s="4" t="s">
        <v>45</v>
      </c>
      <c r="O17" s="4">
        <v>0</v>
      </c>
      <c r="P17" s="4">
        <v>1</v>
      </c>
      <c r="Q17" s="4">
        <v>0.9</v>
      </c>
      <c r="R17" s="4" t="s">
        <v>955</v>
      </c>
      <c r="S17" s="4" t="s">
        <v>957</v>
      </c>
      <c r="T17" s="4" t="s">
        <v>956</v>
      </c>
      <c r="U17" s="4">
        <v>3</v>
      </c>
      <c r="V17" s="4">
        <v>0.7</v>
      </c>
      <c r="W17" s="4" t="s">
        <v>968</v>
      </c>
      <c r="X17" s="4" t="s">
        <v>969</v>
      </c>
      <c r="Y17" s="4" t="s">
        <v>953</v>
      </c>
      <c r="Z17" s="4" t="s">
        <v>45</v>
      </c>
      <c r="AA17" s="4" t="s">
        <v>45</v>
      </c>
      <c r="AB17" s="4" t="s">
        <v>45</v>
      </c>
      <c r="AC17" s="4" t="s">
        <v>45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1001</v>
      </c>
      <c r="AK17" s="4">
        <v>1</v>
      </c>
      <c r="AL17" s="4" t="s">
        <v>1018</v>
      </c>
      <c r="AM17" s="4">
        <v>0</v>
      </c>
      <c r="AN17" s="4">
        <v>2.5000000000000001E-2</v>
      </c>
      <c r="AO17" s="4">
        <v>0.3</v>
      </c>
      <c r="AP17" s="4" t="s">
        <v>45</v>
      </c>
      <c r="AQ17" s="4">
        <v>0</v>
      </c>
      <c r="AR17" s="4" t="s">
        <v>1029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0.05</v>
      </c>
      <c r="BJ17" s="39" t="s">
        <v>1085</v>
      </c>
      <c r="BK17" s="39">
        <v>0</v>
      </c>
      <c r="BL17" s="39">
        <v>0</v>
      </c>
      <c r="BM17" s="39">
        <v>0</v>
      </c>
    </row>
    <row r="18" spans="1:65" x14ac:dyDescent="0.25">
      <c r="A18" t="s">
        <v>1837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AVERAGE(21.6,12,10,13.1,30.5,38,15)</f>
        <v>20.028571428571428</v>
      </c>
      <c r="I18" s="41">
        <f>AVERAGE(0.54,1.5,1.5,0.86,0.24,0.54,0.85)</f>
        <v>0.86142857142857143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74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980</v>
      </c>
      <c r="AB18" s="4" t="s">
        <v>984</v>
      </c>
      <c r="AC18" s="4" t="s">
        <v>1069</v>
      </c>
      <c r="AD18" s="39">
        <v>1</v>
      </c>
      <c r="AE18" s="4">
        <v>0.65</v>
      </c>
      <c r="AF18" s="4" t="s">
        <v>1753</v>
      </c>
      <c r="AG18" s="4" t="s">
        <v>998</v>
      </c>
      <c r="AH18" s="4" t="s">
        <v>953</v>
      </c>
      <c r="AI18" s="4">
        <v>1.2</v>
      </c>
      <c r="AJ18" s="4" t="s">
        <v>1001</v>
      </c>
      <c r="AK18" s="4">
        <v>0</v>
      </c>
      <c r="AL18" s="4" t="s">
        <v>1012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1031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1085</v>
      </c>
      <c r="BK18" s="39">
        <v>0</v>
      </c>
      <c r="BL18" s="39">
        <v>0</v>
      </c>
      <c r="BM18" s="39">
        <v>0</v>
      </c>
    </row>
    <row r="19" spans="1:65" s="16" customFormat="1" x14ac:dyDescent="0.25">
      <c r="A19" s="16" t="s">
        <v>1838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AVERAGE(21.6,12,10,13.1,30.5,38,15)</f>
        <v>20.028571428571428</v>
      </c>
      <c r="I19" s="41">
        <f>AVERAGE(0.54,1.5,1.5,0.86,0.24,0.54,0.85)</f>
        <v>0.86142857142857143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74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980</v>
      </c>
      <c r="AB19" s="4" t="s">
        <v>984</v>
      </c>
      <c r="AC19" s="4" t="s">
        <v>1069</v>
      </c>
      <c r="AD19" s="39">
        <v>1</v>
      </c>
      <c r="AE19" s="4">
        <v>0.65</v>
      </c>
      <c r="AF19" s="4" t="s">
        <v>1753</v>
      </c>
      <c r="AG19" s="4" t="s">
        <v>998</v>
      </c>
      <c r="AH19" s="4" t="s">
        <v>953</v>
      </c>
      <c r="AI19" s="4">
        <v>1.2</v>
      </c>
      <c r="AJ19" s="4" t="s">
        <v>1001</v>
      </c>
      <c r="AK19" s="4">
        <v>0</v>
      </c>
      <c r="AL19" s="4" t="s">
        <v>1012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1031</v>
      </c>
      <c r="AS19" s="4">
        <v>1</v>
      </c>
      <c r="AT19" s="4">
        <v>1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1085</v>
      </c>
      <c r="BK19" s="39">
        <v>0</v>
      </c>
      <c r="BL19" s="39">
        <v>0</v>
      </c>
      <c r="BM19" s="39">
        <v>0</v>
      </c>
    </row>
    <row r="20" spans="1:65" x14ac:dyDescent="0.25">
      <c r="A20" t="s">
        <v>282</v>
      </c>
      <c r="B20" s="39">
        <v>0</v>
      </c>
      <c r="C20" s="39">
        <v>1</v>
      </c>
      <c r="D20" s="39">
        <v>1</v>
      </c>
      <c r="E20" s="39">
        <v>1</v>
      </c>
      <c r="F20" s="39">
        <v>0</v>
      </c>
      <c r="G20" s="39">
        <v>0</v>
      </c>
      <c r="H20" s="40">
        <f>AVERAGE(AVERAGE(14.84,16.45,15.67,11.41,11.56,11.45),11.5)</f>
        <v>12.531666666666666</v>
      </c>
      <c r="I20" s="41">
        <f>AVERAGE(63%,61.11%,59.19%,126.33%,114.23%,101.98%)</f>
        <v>0.87639999999999996</v>
      </c>
      <c r="J20" s="39">
        <v>1.0900000000000001</v>
      </c>
      <c r="K20" s="39" t="s">
        <v>930</v>
      </c>
      <c r="L20" s="39">
        <v>0</v>
      </c>
      <c r="M20" s="39">
        <v>0</v>
      </c>
      <c r="N20" s="4" t="s">
        <v>944</v>
      </c>
      <c r="O20" s="4">
        <v>1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1</v>
      </c>
      <c r="AA20" s="4" t="s">
        <v>980</v>
      </c>
      <c r="AB20" s="4" t="s">
        <v>983</v>
      </c>
      <c r="AC20" s="4" t="s">
        <v>1069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</v>
      </c>
      <c r="AJ20" s="4" t="s">
        <v>1003</v>
      </c>
      <c r="AK20" s="4">
        <v>0</v>
      </c>
      <c r="AL20" s="4" t="s">
        <v>1011</v>
      </c>
      <c r="AM20" s="4">
        <v>0</v>
      </c>
      <c r="AN20" s="4">
        <v>0</v>
      </c>
      <c r="AO20" s="4">
        <v>0</v>
      </c>
      <c r="AP20" s="4" t="s">
        <v>45</v>
      </c>
      <c r="AQ20" s="4">
        <v>0</v>
      </c>
      <c r="AR20" s="4" t="s">
        <v>674</v>
      </c>
      <c r="AS20" s="4">
        <v>1</v>
      </c>
      <c r="AT20" s="4">
        <v>1</v>
      </c>
      <c r="AU20" s="4">
        <v>1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1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39">
        <v>0.5</v>
      </c>
      <c r="BH20" s="39">
        <v>0</v>
      </c>
      <c r="BI20" s="39">
        <v>0</v>
      </c>
      <c r="BJ20" s="39" t="s">
        <v>1087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1839</v>
      </c>
      <c r="B21" s="39">
        <v>0</v>
      </c>
      <c r="C21" s="39">
        <v>0.7</v>
      </c>
      <c r="D21" s="39">
        <v>1</v>
      </c>
      <c r="E21" s="39">
        <v>5</v>
      </c>
      <c r="F21" s="39">
        <v>1</v>
      </c>
      <c r="G21" s="39">
        <v>0</v>
      </c>
      <c r="H21" s="40">
        <f>AVERAGE(21.6,12,10,13.1,30.5,38,15)</f>
        <v>20.028571428571428</v>
      </c>
      <c r="I21" s="41">
        <f>AVERAGE(0.54,1.5,1.5,0.86,0.24,0.54,0.85)</f>
        <v>0.86142857142857143</v>
      </c>
      <c r="J21" s="39">
        <v>1.0900000000000001</v>
      </c>
      <c r="K21" s="39" t="s">
        <v>930</v>
      </c>
      <c r="L21" s="39">
        <v>0</v>
      </c>
      <c r="M21" s="39">
        <v>0</v>
      </c>
      <c r="N21" s="4" t="s">
        <v>943</v>
      </c>
      <c r="O21" s="4">
        <v>0</v>
      </c>
      <c r="P21" s="4">
        <v>1</v>
      </c>
      <c r="Q21" s="4">
        <v>0.95</v>
      </c>
      <c r="R21" s="4" t="s">
        <v>955</v>
      </c>
      <c r="S21" s="4" t="s">
        <v>958</v>
      </c>
      <c r="T21" s="4" t="s">
        <v>956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980</v>
      </c>
      <c r="AB21" s="4" t="s">
        <v>983</v>
      </c>
      <c r="AC21" s="4" t="s">
        <v>1069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1001</v>
      </c>
      <c r="AK21" s="4">
        <v>1</v>
      </c>
      <c r="AL21" s="4" t="s">
        <v>1014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674</v>
      </c>
      <c r="AS21" s="4">
        <v>0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1</v>
      </c>
      <c r="BG21" s="39">
        <v>0.5</v>
      </c>
      <c r="BH21" s="39">
        <v>0</v>
      </c>
      <c r="BI21" s="39">
        <v>0</v>
      </c>
      <c r="BJ21" s="39" t="s">
        <v>1085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1840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AVERAGE(21.6,12,10,13.1,30.5,38,15)</f>
        <v>20.028571428571428</v>
      </c>
      <c r="I22" s="41">
        <f>AVERAGE(0.54,1.5,1.5,0.86,0.24,0.54,0.85)</f>
        <v>0.86142857142857143</v>
      </c>
      <c r="J22" s="39">
        <v>1.0900000000000001</v>
      </c>
      <c r="K22" s="39" t="s">
        <v>930</v>
      </c>
      <c r="L22" s="39">
        <v>0</v>
      </c>
      <c r="M22" s="39">
        <v>0</v>
      </c>
      <c r="N22" s="4" t="s">
        <v>943</v>
      </c>
      <c r="O22" s="4">
        <v>0</v>
      </c>
      <c r="P22" s="4">
        <v>1</v>
      </c>
      <c r="Q22" s="4">
        <v>0.95</v>
      </c>
      <c r="R22" s="4" t="s">
        <v>955</v>
      </c>
      <c r="S22" s="4" t="s">
        <v>958</v>
      </c>
      <c r="T22" s="4" t="s">
        <v>956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980</v>
      </c>
      <c r="AB22" s="4" t="s">
        <v>983</v>
      </c>
      <c r="AC22" s="4" t="s">
        <v>1069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1001</v>
      </c>
      <c r="AK22" s="4">
        <v>1</v>
      </c>
      <c r="AL22" s="4" t="s">
        <v>1013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674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1085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1737</v>
      </c>
      <c r="B23" s="39">
        <v>0</v>
      </c>
      <c r="C23" s="39">
        <v>1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AVERAGE(21.6,12,10,13.1,30.5,38,15)</f>
        <v>20.028571428571428</v>
      </c>
      <c r="I23" s="41">
        <f>AVERAGE(0.54,1.5,1.5,0.86,0.24,0.54,0.85)</f>
        <v>0.86142857142857143</v>
      </c>
      <c r="J23" s="39">
        <v>1.0900000000000001</v>
      </c>
      <c r="K23" s="39" t="s">
        <v>930</v>
      </c>
      <c r="L23" s="39">
        <v>0</v>
      </c>
      <c r="M23" s="39">
        <v>0</v>
      </c>
      <c r="N23" s="4" t="s">
        <v>943</v>
      </c>
      <c r="O23" s="4">
        <v>0</v>
      </c>
      <c r="P23" s="4">
        <v>1</v>
      </c>
      <c r="Q23" s="4">
        <v>0.85</v>
      </c>
      <c r="R23" s="4" t="s">
        <v>955</v>
      </c>
      <c r="S23" s="4" t="s">
        <v>958</v>
      </c>
      <c r="T23" s="4" t="s">
        <v>956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980</v>
      </c>
      <c r="AB23" s="4" t="s">
        <v>983</v>
      </c>
      <c r="AC23" s="4" t="s">
        <v>1069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1001</v>
      </c>
      <c r="AK23" s="4">
        <v>1</v>
      </c>
      <c r="AL23" s="4" t="s">
        <v>1014</v>
      </c>
      <c r="AM23" s="4">
        <v>0</v>
      </c>
      <c r="AN23" s="4">
        <v>0</v>
      </c>
      <c r="AO23" s="4">
        <v>0</v>
      </c>
      <c r="AP23" s="4">
        <v>0.2</v>
      </c>
      <c r="AQ23" s="4">
        <v>0</v>
      </c>
      <c r="AR23" s="4" t="s">
        <v>674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0.7</v>
      </c>
      <c r="BH23" s="39">
        <v>0</v>
      </c>
      <c r="BI23" s="39">
        <v>0</v>
      </c>
      <c r="BJ23" s="39" t="s">
        <v>1085</v>
      </c>
      <c r="BK23" s="39">
        <v>0</v>
      </c>
      <c r="BL23" s="39">
        <v>0</v>
      </c>
      <c r="BM23" s="39">
        <v>0</v>
      </c>
    </row>
    <row r="24" spans="1:65" x14ac:dyDescent="0.25">
      <c r="A24" t="s">
        <v>90</v>
      </c>
      <c r="B24" s="39">
        <v>0</v>
      </c>
      <c r="C24" s="39">
        <v>0.7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39" t="s">
        <v>930</v>
      </c>
      <c r="L24" s="39">
        <v>0</v>
      </c>
      <c r="M24" s="39">
        <v>0</v>
      </c>
      <c r="N24" s="4" t="s">
        <v>943</v>
      </c>
      <c r="O24" s="4">
        <v>0</v>
      </c>
      <c r="P24" s="4">
        <v>1</v>
      </c>
      <c r="Q24" s="4">
        <v>0.85</v>
      </c>
      <c r="R24" s="4" t="s">
        <v>955</v>
      </c>
      <c r="S24" s="4" t="s">
        <v>958</v>
      </c>
      <c r="T24" s="4" t="s">
        <v>956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980</v>
      </c>
      <c r="AB24" s="4" t="s">
        <v>983</v>
      </c>
      <c r="AC24" s="4" t="s">
        <v>1069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1001</v>
      </c>
      <c r="AK24" s="4">
        <v>1</v>
      </c>
      <c r="AL24" s="4" t="s">
        <v>1014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674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1085</v>
      </c>
      <c r="BK24" s="39">
        <v>0</v>
      </c>
      <c r="BL24" s="39">
        <v>0</v>
      </c>
      <c r="BM24" s="39">
        <v>0</v>
      </c>
    </row>
    <row r="25" spans="1:65" s="16" customFormat="1" x14ac:dyDescent="0.25">
      <c r="A25" s="16" t="s">
        <v>1875</v>
      </c>
      <c r="B25" s="39">
        <v>1</v>
      </c>
      <c r="C25" s="39">
        <v>1.3</v>
      </c>
      <c r="D25" s="39">
        <v>0</v>
      </c>
      <c r="E25" s="39">
        <v>1</v>
      </c>
      <c r="F25" s="39">
        <v>0</v>
      </c>
      <c r="G25" s="39">
        <v>0</v>
      </c>
      <c r="H25" s="40">
        <v>21</v>
      </c>
      <c r="I25" s="41">
        <v>0.85</v>
      </c>
      <c r="J25" s="39">
        <v>1.0900000000000001</v>
      </c>
      <c r="K25" s="39" t="s">
        <v>930</v>
      </c>
      <c r="L25" s="39">
        <v>0</v>
      </c>
      <c r="M25" s="39">
        <v>0</v>
      </c>
      <c r="N25" s="4" t="s">
        <v>942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0.9</v>
      </c>
      <c r="AA25" s="4" t="s">
        <v>980</v>
      </c>
      <c r="AB25" s="4" t="s">
        <v>983</v>
      </c>
      <c r="AC25" s="4" t="s">
        <v>1069</v>
      </c>
      <c r="AD25" s="39">
        <v>1</v>
      </c>
      <c r="AE25" s="4">
        <v>0.7</v>
      </c>
      <c r="AF25" s="4" t="s">
        <v>994</v>
      </c>
      <c r="AG25" s="4" t="s">
        <v>998</v>
      </c>
      <c r="AH25" s="4" t="s">
        <v>953</v>
      </c>
      <c r="AI25" s="4">
        <v>1.2</v>
      </c>
      <c r="AJ25" s="4" t="s">
        <v>1002</v>
      </c>
      <c r="AK25" s="4">
        <v>0</v>
      </c>
      <c r="AL25" s="4" t="s">
        <v>1020</v>
      </c>
      <c r="AM25" s="4">
        <v>0</v>
      </c>
      <c r="AN25" s="4">
        <v>0</v>
      </c>
      <c r="AO25" s="4">
        <v>0</v>
      </c>
      <c r="AP25" s="4" t="s">
        <v>45</v>
      </c>
      <c r="AQ25" s="4">
        <v>0</v>
      </c>
      <c r="AR25" s="4" t="s">
        <v>674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39">
        <v>0.5</v>
      </c>
      <c r="BH25" s="39">
        <v>0</v>
      </c>
      <c r="BI25" s="39">
        <v>0</v>
      </c>
      <c r="BJ25" s="39" t="s">
        <v>1087</v>
      </c>
      <c r="BK25" s="39">
        <v>0</v>
      </c>
      <c r="BL25" s="39">
        <v>0</v>
      </c>
      <c r="BM25" s="39">
        <v>0</v>
      </c>
    </row>
    <row r="26" spans="1:65" x14ac:dyDescent="0.25">
      <c r="A26" s="16" t="s">
        <v>1876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930</v>
      </c>
      <c r="L26" s="39">
        <v>0</v>
      </c>
      <c r="M26" s="39">
        <v>0</v>
      </c>
      <c r="N26" s="4" t="s">
        <v>942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0.85</v>
      </c>
      <c r="AA26" s="4" t="s">
        <v>980</v>
      </c>
      <c r="AB26" s="4" t="s">
        <v>983</v>
      </c>
      <c r="AC26" s="4" t="s">
        <v>1070</v>
      </c>
      <c r="AD26" s="39">
        <v>1</v>
      </c>
      <c r="AE26" s="4">
        <v>0.7</v>
      </c>
      <c r="AF26" s="4" t="s">
        <v>994</v>
      </c>
      <c r="AG26" s="4" t="s">
        <v>998</v>
      </c>
      <c r="AH26" s="4" t="s">
        <v>953</v>
      </c>
      <c r="AI26" s="4">
        <v>1.2</v>
      </c>
      <c r="AJ26" s="4" t="s">
        <v>1002</v>
      </c>
      <c r="AK26" s="4">
        <v>0</v>
      </c>
      <c r="AL26" s="4" t="s">
        <v>1020</v>
      </c>
      <c r="AM26" s="4">
        <v>0</v>
      </c>
      <c r="AN26" s="4">
        <v>0.1</v>
      </c>
      <c r="AO26" s="4">
        <v>0.3</v>
      </c>
      <c r="AP26" s="4" t="s">
        <v>45</v>
      </c>
      <c r="AQ26" s="4">
        <v>0</v>
      </c>
      <c r="AR26" s="4" t="s">
        <v>1031</v>
      </c>
      <c r="AS26" s="4">
        <v>1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1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0.2</v>
      </c>
      <c r="BI26" s="39">
        <v>2.5000000000000001E-2</v>
      </c>
      <c r="BJ26" s="39" t="s">
        <v>1087</v>
      </c>
      <c r="BK26" s="39">
        <v>0</v>
      </c>
      <c r="BL26" s="39">
        <v>0</v>
      </c>
      <c r="BM26" s="39">
        <v>0</v>
      </c>
    </row>
    <row r="27" spans="1:65" x14ac:dyDescent="0.25">
      <c r="A27" t="s">
        <v>624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1</v>
      </c>
      <c r="H27" s="40">
        <f>AVERAGE(21.6,12,10,13.1,30.5,38,15)</f>
        <v>20.028571428571428</v>
      </c>
      <c r="I27" s="41">
        <f>AVERAGE(0.54,1.5,1.5,0.86,0.24,0.54,0.85)</f>
        <v>0.86142857142857143</v>
      </c>
      <c r="J27" s="39">
        <v>1.0900000000000001</v>
      </c>
      <c r="K27" s="39" t="s">
        <v>930</v>
      </c>
      <c r="L27" s="39">
        <v>0</v>
      </c>
      <c r="M27" s="39">
        <v>0</v>
      </c>
      <c r="N27" s="4" t="s">
        <v>940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0.95</v>
      </c>
      <c r="AA27" s="4" t="s">
        <v>980</v>
      </c>
      <c r="AB27" s="4" t="s">
        <v>983</v>
      </c>
      <c r="AC27" s="4" t="s">
        <v>1069</v>
      </c>
      <c r="AD27" s="39">
        <v>1</v>
      </c>
      <c r="AE27" s="4">
        <v>0.7</v>
      </c>
      <c r="AF27" s="4" t="s">
        <v>1753</v>
      </c>
      <c r="AG27" s="4" t="s">
        <v>998</v>
      </c>
      <c r="AH27" s="4" t="s">
        <v>953</v>
      </c>
      <c r="AI27" s="4">
        <v>1</v>
      </c>
      <c r="AJ27" s="4" t="s">
        <v>1001</v>
      </c>
      <c r="AK27" s="4">
        <v>0</v>
      </c>
      <c r="AL27" s="4" t="s">
        <v>1011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674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</v>
      </c>
      <c r="BI27" s="39">
        <v>0</v>
      </c>
      <c r="BJ27" s="39" t="s">
        <v>1085</v>
      </c>
      <c r="BK27" s="39">
        <v>0</v>
      </c>
      <c r="BL27" s="39">
        <v>0</v>
      </c>
      <c r="BM27" s="39">
        <v>0</v>
      </c>
    </row>
    <row r="28" spans="1:65" x14ac:dyDescent="0.25">
      <c r="A28" s="16" t="s">
        <v>462</v>
      </c>
      <c r="B28" s="39">
        <v>1</v>
      </c>
      <c r="C28" s="39">
        <v>1.3</v>
      </c>
      <c r="D28" s="39">
        <v>1</v>
      </c>
      <c r="E28" s="39">
        <v>5</v>
      </c>
      <c r="F28" s="39">
        <v>0</v>
      </c>
      <c r="G28" s="39">
        <v>1</v>
      </c>
      <c r="H28" s="40">
        <f>AVERAGE(21.6,12,10,13.1,30.5,38,15)</f>
        <v>20.028571428571428</v>
      </c>
      <c r="I28" s="41">
        <f>AVERAGE(0.54,1.5,1.5,0.86,0.24,0.54,0.85)</f>
        <v>0.86142857142857143</v>
      </c>
      <c r="J28" s="39">
        <v>1.0900000000000001</v>
      </c>
      <c r="K28" s="39" t="s">
        <v>930</v>
      </c>
      <c r="L28" s="39">
        <v>0</v>
      </c>
      <c r="M28" s="39">
        <v>0</v>
      </c>
      <c r="N28" s="4" t="s">
        <v>45</v>
      </c>
      <c r="O28" s="4">
        <v>0</v>
      </c>
      <c r="P28" s="4">
        <v>1</v>
      </c>
      <c r="Q28" s="4">
        <v>1</v>
      </c>
      <c r="R28" s="43" t="s">
        <v>1095</v>
      </c>
      <c r="S28" s="43" t="s">
        <v>959</v>
      </c>
      <c r="T28" s="4" t="s">
        <v>953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 t="s">
        <v>45</v>
      </c>
      <c r="AA28" s="4" t="s">
        <v>45</v>
      </c>
      <c r="AB28" s="4" t="s">
        <v>45</v>
      </c>
      <c r="AC28" s="4" t="s">
        <v>45</v>
      </c>
      <c r="AD28" s="39">
        <v>1</v>
      </c>
      <c r="AE28" s="4">
        <v>0.7</v>
      </c>
      <c r="AF28" s="4" t="s">
        <v>1753</v>
      </c>
      <c r="AG28" s="4" t="s">
        <v>998</v>
      </c>
      <c r="AH28" s="4" t="s">
        <v>953</v>
      </c>
      <c r="AI28" s="4">
        <v>1</v>
      </c>
      <c r="AJ28" s="4" t="s">
        <v>1001</v>
      </c>
      <c r="AK28" s="4">
        <v>1</v>
      </c>
      <c r="AL28" s="4" t="s">
        <v>1025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674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1</v>
      </c>
      <c r="BF28" s="4">
        <v>0</v>
      </c>
      <c r="BG28" s="39">
        <v>0.7</v>
      </c>
      <c r="BH28" s="39">
        <v>0</v>
      </c>
      <c r="BI28" s="39">
        <v>0</v>
      </c>
      <c r="BJ28" s="39" t="s">
        <v>1089</v>
      </c>
      <c r="BK28" s="39">
        <v>0</v>
      </c>
      <c r="BL28" s="39">
        <v>0</v>
      </c>
      <c r="BM28" s="39">
        <v>0</v>
      </c>
    </row>
    <row r="29" spans="1:65" x14ac:dyDescent="0.25">
      <c r="A29" t="s">
        <v>625</v>
      </c>
      <c r="B29" s="39">
        <v>0</v>
      </c>
      <c r="C29" s="39">
        <v>1.2</v>
      </c>
      <c r="D29" s="39">
        <v>0</v>
      </c>
      <c r="E29" s="39">
        <v>1</v>
      </c>
      <c r="F29" s="39">
        <v>0</v>
      </c>
      <c r="G29" s="39">
        <v>0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930</v>
      </c>
      <c r="L29" s="39">
        <v>0</v>
      </c>
      <c r="M29" s="39">
        <v>0</v>
      </c>
      <c r="N29" s="4" t="s">
        <v>941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0.85</v>
      </c>
      <c r="AA29" s="4" t="s">
        <v>980</v>
      </c>
      <c r="AB29" s="4" t="s">
        <v>983</v>
      </c>
      <c r="AC29" s="4" t="s">
        <v>1069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1001</v>
      </c>
      <c r="AK29" s="4">
        <v>0</v>
      </c>
      <c r="AL29" s="4" t="s">
        <v>1011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674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0.7</v>
      </c>
      <c r="BH29" s="39">
        <v>0</v>
      </c>
      <c r="BI29" s="39">
        <v>0</v>
      </c>
      <c r="BJ29" s="39" t="s">
        <v>1085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926</v>
      </c>
      <c r="B30" s="39">
        <v>1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AVERAGE(65.5,108.7)</f>
        <v>87.1</v>
      </c>
      <c r="I30" s="41">
        <f>AVERAGE(16.8%,11.9%)</f>
        <v>0.14350000000000002</v>
      </c>
      <c r="J30" s="39">
        <v>0.96</v>
      </c>
      <c r="K30" s="39">
        <v>0.32</v>
      </c>
      <c r="L30" s="39">
        <v>1</v>
      </c>
      <c r="M30" s="39">
        <v>0</v>
      </c>
      <c r="N30" s="4" t="s">
        <v>941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980</v>
      </c>
      <c r="AB30" s="4" t="s">
        <v>983</v>
      </c>
      <c r="AC30" s="4" t="s">
        <v>1069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1001</v>
      </c>
      <c r="AK30" s="4">
        <v>0</v>
      </c>
      <c r="AL30" s="4" t="s">
        <v>1012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674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0.5</v>
      </c>
      <c r="BH30" s="39">
        <v>0</v>
      </c>
      <c r="BI30" s="39">
        <v>0</v>
      </c>
      <c r="BJ30" s="39" t="s">
        <v>1085</v>
      </c>
      <c r="BK30" s="39">
        <v>0</v>
      </c>
      <c r="BL30" s="39">
        <v>0</v>
      </c>
      <c r="BM30" s="39">
        <v>0</v>
      </c>
    </row>
    <row r="31" spans="1:65" x14ac:dyDescent="0.25">
      <c r="A31" t="s">
        <v>453</v>
      </c>
      <c r="B31" s="39">
        <v>2</v>
      </c>
      <c r="C31" s="39">
        <v>2</v>
      </c>
      <c r="D31" s="39">
        <v>0</v>
      </c>
      <c r="E31" s="39">
        <v>1</v>
      </c>
      <c r="F31" s="39">
        <v>0</v>
      </c>
      <c r="G31" s="39">
        <v>0</v>
      </c>
      <c r="H31" s="40">
        <v>1000</v>
      </c>
      <c r="I31" s="41">
        <v>0.3</v>
      </c>
      <c r="J31" s="39">
        <v>1.3</v>
      </c>
      <c r="K31" s="39" t="s">
        <v>930</v>
      </c>
      <c r="L31" s="39">
        <v>1</v>
      </c>
      <c r="M31" s="39">
        <v>0</v>
      </c>
      <c r="N31" s="4" t="s">
        <v>941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</v>
      </c>
      <c r="AA31" s="4" t="s">
        <v>980</v>
      </c>
      <c r="AB31" s="4" t="s">
        <v>983</v>
      </c>
      <c r="AC31" s="4" t="s">
        <v>1069</v>
      </c>
      <c r="AD31" s="39">
        <v>1</v>
      </c>
      <c r="AE31" s="4">
        <v>0.65</v>
      </c>
      <c r="AF31" s="4" t="s">
        <v>1753</v>
      </c>
      <c r="AG31" s="4" t="s">
        <v>998</v>
      </c>
      <c r="AH31" s="4" t="s">
        <v>953</v>
      </c>
      <c r="AI31" s="4">
        <v>1.5</v>
      </c>
      <c r="AJ31" s="4" t="s">
        <v>41</v>
      </c>
      <c r="AK31" s="4">
        <v>0</v>
      </c>
      <c r="AL31" s="4" t="s">
        <v>1012</v>
      </c>
      <c r="AM31" s="4">
        <v>0</v>
      </c>
      <c r="AN31" s="4">
        <v>1</v>
      </c>
      <c r="AO31" s="4">
        <v>1</v>
      </c>
      <c r="AP31" s="4" t="s">
        <v>45</v>
      </c>
      <c r="AQ31" s="4">
        <v>0</v>
      </c>
      <c r="AR31" s="4" t="s">
        <v>1029</v>
      </c>
      <c r="AS31" s="4">
        <v>1</v>
      </c>
      <c r="AT31" s="4">
        <v>0</v>
      </c>
      <c r="AU31" s="4">
        <v>0</v>
      </c>
      <c r="AV31" s="4" t="s">
        <v>45</v>
      </c>
      <c r="AW31" s="4">
        <v>1</v>
      </c>
      <c r="AX31" s="4">
        <v>1</v>
      </c>
      <c r="AY31" s="4">
        <v>1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1</v>
      </c>
      <c r="BH31" s="39">
        <v>0.25</v>
      </c>
      <c r="BI31" s="39">
        <v>0.05</v>
      </c>
      <c r="BJ31" s="39" t="s">
        <v>1085</v>
      </c>
      <c r="BK31" s="39">
        <v>1</v>
      </c>
      <c r="BL31" s="39">
        <v>0</v>
      </c>
      <c r="BM31" s="39">
        <v>1</v>
      </c>
    </row>
    <row r="32" spans="1:65" s="16" customFormat="1" x14ac:dyDescent="0.25">
      <c r="A32" s="16" t="s">
        <v>1738</v>
      </c>
      <c r="B32" s="39">
        <v>1</v>
      </c>
      <c r="C32" s="39">
        <v>1.5</v>
      </c>
      <c r="D32" s="39">
        <v>0</v>
      </c>
      <c r="E32" s="39">
        <v>1</v>
      </c>
      <c r="F32" s="39">
        <v>1</v>
      </c>
      <c r="G32" s="39">
        <v>0</v>
      </c>
      <c r="H32" s="40">
        <f t="shared" ref="H32:H45" si="0">AVERAGE(21.6,12,10,13.1,30.5,38,15)</f>
        <v>20.028571428571428</v>
      </c>
      <c r="I32" s="41">
        <f t="shared" ref="I32:I45" si="1">AVERAGE(0.54,1.5,1.5,0.86,0.24,0.54,0.85)</f>
        <v>0.86142857142857143</v>
      </c>
      <c r="J32" s="39">
        <v>1.0900000000000001</v>
      </c>
      <c r="K32" s="42">
        <f>AVERAGE(0.13,0.106,0.134,0.129)</f>
        <v>0.12475</v>
      </c>
      <c r="L32" s="39">
        <v>0</v>
      </c>
      <c r="M32" s="39">
        <v>0</v>
      </c>
      <c r="N32" s="4" t="s">
        <v>941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980</v>
      </c>
      <c r="AB32" s="4" t="s">
        <v>984</v>
      </c>
      <c r="AC32" s="4" t="s">
        <v>1069</v>
      </c>
      <c r="AD32" s="39">
        <v>1</v>
      </c>
      <c r="AE32" s="4">
        <v>0.65</v>
      </c>
      <c r="AF32" s="4" t="s">
        <v>1753</v>
      </c>
      <c r="AG32" s="4" t="s">
        <v>998</v>
      </c>
      <c r="AH32" s="4" t="s">
        <v>953</v>
      </c>
      <c r="AI32" s="4">
        <v>1.2</v>
      </c>
      <c r="AJ32" s="4" t="s">
        <v>1001</v>
      </c>
      <c r="AK32" s="4">
        <v>0</v>
      </c>
      <c r="AL32" s="4" t="s">
        <v>1012</v>
      </c>
      <c r="AM32" s="4">
        <v>1</v>
      </c>
      <c r="AN32" s="4">
        <v>0.1</v>
      </c>
      <c r="AO32" s="4">
        <v>0.3</v>
      </c>
      <c r="AP32" s="4">
        <v>0.5</v>
      </c>
      <c r="AQ32" s="4">
        <v>0</v>
      </c>
      <c r="AR32" s="4" t="s">
        <v>1031</v>
      </c>
      <c r="AS32" s="4">
        <v>1</v>
      </c>
      <c r="AT32" s="4">
        <v>1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1.1000000000000001</v>
      </c>
      <c r="BH32" s="39">
        <v>0.2</v>
      </c>
      <c r="BI32" s="39">
        <v>2.5000000000000001E-2</v>
      </c>
      <c r="BJ32" s="39" t="s">
        <v>1087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1736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 t="shared" si="0"/>
        <v>20.028571428571428</v>
      </c>
      <c r="I33" s="41">
        <f t="shared" si="1"/>
        <v>0.86142857142857143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941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980</v>
      </c>
      <c r="AB33" s="4" t="s">
        <v>984</v>
      </c>
      <c r="AC33" s="4" t="s">
        <v>1069</v>
      </c>
      <c r="AD33" s="39">
        <v>1</v>
      </c>
      <c r="AE33" s="4">
        <v>0.65</v>
      </c>
      <c r="AF33" s="4" t="s">
        <v>1753</v>
      </c>
      <c r="AG33" s="4" t="s">
        <v>998</v>
      </c>
      <c r="AH33" s="4" t="s">
        <v>953</v>
      </c>
      <c r="AI33" s="4">
        <v>1.2</v>
      </c>
      <c r="AJ33" s="4" t="s">
        <v>1001</v>
      </c>
      <c r="AK33" s="4">
        <v>0</v>
      </c>
      <c r="AL33" s="4" t="s">
        <v>1012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1031</v>
      </c>
      <c r="AS33" s="4">
        <v>1</v>
      </c>
      <c r="AT33" s="4">
        <v>1</v>
      </c>
      <c r="AU33" s="4">
        <v>1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1087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1735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 t="shared" si="0"/>
        <v>20.028571428571428</v>
      </c>
      <c r="I34" s="41">
        <f t="shared" si="1"/>
        <v>0.86142857142857143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941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980</v>
      </c>
      <c r="AB34" s="4" t="s">
        <v>984</v>
      </c>
      <c r="AC34" s="4" t="s">
        <v>1069</v>
      </c>
      <c r="AD34" s="39">
        <v>1</v>
      </c>
      <c r="AE34" s="4">
        <v>0.65</v>
      </c>
      <c r="AF34" s="4" t="s">
        <v>1753</v>
      </c>
      <c r="AG34" s="4" t="s">
        <v>998</v>
      </c>
      <c r="AH34" s="4" t="s">
        <v>953</v>
      </c>
      <c r="AI34" s="4">
        <v>1.2</v>
      </c>
      <c r="AJ34" s="4" t="s">
        <v>1001</v>
      </c>
      <c r="AK34" s="4">
        <v>0</v>
      </c>
      <c r="AL34" s="4" t="s">
        <v>1012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1031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2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1087</v>
      </c>
      <c r="BK34" s="39">
        <v>0</v>
      </c>
      <c r="BL34" s="39">
        <v>0</v>
      </c>
      <c r="BM34" s="39">
        <v>0</v>
      </c>
    </row>
    <row r="35" spans="1:65" x14ac:dyDescent="0.25">
      <c r="A35" t="s">
        <v>102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 t="shared" si="0"/>
        <v>20.028571428571428</v>
      </c>
      <c r="I35" s="41">
        <f t="shared" si="1"/>
        <v>0.86142857142857143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941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980</v>
      </c>
      <c r="AB35" s="4" t="s">
        <v>984</v>
      </c>
      <c r="AC35" s="4" t="s">
        <v>1069</v>
      </c>
      <c r="AD35" s="39">
        <v>1</v>
      </c>
      <c r="AE35" s="4">
        <v>0.65</v>
      </c>
      <c r="AF35" s="4" t="s">
        <v>1753</v>
      </c>
      <c r="AG35" s="4" t="s">
        <v>998</v>
      </c>
      <c r="AH35" s="4" t="s">
        <v>953</v>
      </c>
      <c r="AI35" s="4">
        <v>1.2</v>
      </c>
      <c r="AJ35" s="4" t="s">
        <v>1001</v>
      </c>
      <c r="AK35" s="4">
        <v>0</v>
      </c>
      <c r="AL35" s="4" t="s">
        <v>1012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1031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1087</v>
      </c>
      <c r="BK35" s="39">
        <v>0</v>
      </c>
      <c r="BL35" s="39">
        <v>0</v>
      </c>
      <c r="BM35" s="39">
        <v>0</v>
      </c>
    </row>
    <row r="36" spans="1:65" x14ac:dyDescent="0.25">
      <c r="A36" t="s">
        <v>107</v>
      </c>
      <c r="B36" s="39">
        <v>0</v>
      </c>
      <c r="C36" s="39">
        <v>1</v>
      </c>
      <c r="D36" s="39">
        <v>1</v>
      </c>
      <c r="E36" s="39">
        <v>5</v>
      </c>
      <c r="F36" s="39">
        <v>0</v>
      </c>
      <c r="G36" s="39">
        <v>0</v>
      </c>
      <c r="H36" s="40">
        <f t="shared" si="0"/>
        <v>20.028571428571428</v>
      </c>
      <c r="I36" s="41">
        <f t="shared" si="1"/>
        <v>0.86142857142857143</v>
      </c>
      <c r="J36" s="39">
        <v>1.0900000000000001</v>
      </c>
      <c r="K36" s="39" t="s">
        <v>930</v>
      </c>
      <c r="L36" s="39">
        <v>0</v>
      </c>
      <c r="M36" s="39">
        <v>0</v>
      </c>
      <c r="N36" s="4" t="s">
        <v>107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1.1000000000000001</v>
      </c>
      <c r="AA36" s="4" t="s">
        <v>980</v>
      </c>
      <c r="AB36" s="4" t="s">
        <v>983</v>
      </c>
      <c r="AC36" s="4" t="s">
        <v>1069</v>
      </c>
      <c r="AD36" s="39">
        <v>0</v>
      </c>
      <c r="AE36" s="4" t="s">
        <v>45</v>
      </c>
      <c r="AF36" s="4" t="s">
        <v>45</v>
      </c>
      <c r="AG36" s="4" t="s">
        <v>45</v>
      </c>
      <c r="AH36" s="4" t="s">
        <v>45</v>
      </c>
      <c r="AI36" s="4">
        <v>1</v>
      </c>
      <c r="AJ36" s="4" t="s">
        <v>1001</v>
      </c>
      <c r="AK36" s="4">
        <v>1</v>
      </c>
      <c r="AL36" s="4" t="s">
        <v>1014</v>
      </c>
      <c r="AM36" s="4">
        <v>0</v>
      </c>
      <c r="AN36" s="4">
        <v>0</v>
      </c>
      <c r="AO36" s="4">
        <v>0</v>
      </c>
      <c r="AP36" s="4" t="s">
        <v>45</v>
      </c>
      <c r="AQ36" s="4">
        <v>1</v>
      </c>
      <c r="AR36" s="4" t="s">
        <v>674</v>
      </c>
      <c r="AS36" s="4">
        <v>0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1</v>
      </c>
      <c r="BG36" s="39">
        <v>0.5</v>
      </c>
      <c r="BH36" s="39">
        <v>0</v>
      </c>
      <c r="BI36" s="39">
        <v>0</v>
      </c>
      <c r="BJ36" s="39" t="s">
        <v>1085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1733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si="0"/>
        <v>20.028571428571428</v>
      </c>
      <c r="I37" s="41">
        <f t="shared" si="1"/>
        <v>0.86142857142857143</v>
      </c>
      <c r="J37" s="39">
        <v>1.0900000000000001</v>
      </c>
      <c r="K37" s="39" t="s">
        <v>930</v>
      </c>
      <c r="L37" s="39">
        <v>0</v>
      </c>
      <c r="M37" s="39">
        <v>0</v>
      </c>
      <c r="N37" s="4" t="s">
        <v>107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>
        <v>1</v>
      </c>
      <c r="V37" s="4">
        <v>0.8</v>
      </c>
      <c r="W37" s="4" t="s">
        <v>968</v>
      </c>
      <c r="X37" s="4" t="s">
        <v>969</v>
      </c>
      <c r="Y37" s="4" t="s">
        <v>953</v>
      </c>
      <c r="Z37" s="4">
        <v>0.95</v>
      </c>
      <c r="AA37" s="4" t="s">
        <v>980</v>
      </c>
      <c r="AB37" s="4" t="s">
        <v>983</v>
      </c>
      <c r="AC37" s="4" t="s">
        <v>1069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1001</v>
      </c>
      <c r="AK37" s="4">
        <v>1</v>
      </c>
      <c r="AL37" s="4" t="s">
        <v>1024</v>
      </c>
      <c r="AM37" s="4">
        <v>0</v>
      </c>
      <c r="AN37" s="4">
        <v>2.5000000000000001E-2</v>
      </c>
      <c r="AO37" s="4">
        <v>0.1</v>
      </c>
      <c r="AP37" s="4" t="s">
        <v>45</v>
      </c>
      <c r="AQ37" s="4">
        <v>1</v>
      </c>
      <c r="AR37" s="4" t="s">
        <v>674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0.5</v>
      </c>
      <c r="BH37" s="39">
        <v>0.1</v>
      </c>
      <c r="BI37" s="39">
        <v>2.5000000000000001E-2</v>
      </c>
      <c r="BJ37" s="39" t="s">
        <v>1085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1734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si="0"/>
        <v>20.028571428571428</v>
      </c>
      <c r="I38" s="41">
        <f t="shared" si="1"/>
        <v>0.86142857142857143</v>
      </c>
      <c r="J38" s="39">
        <v>1.0900000000000001</v>
      </c>
      <c r="K38" s="42">
        <v>0.18</v>
      </c>
      <c r="L38" s="39">
        <v>0</v>
      </c>
      <c r="M38" s="39">
        <v>0</v>
      </c>
      <c r="N38" s="4" t="s">
        <v>107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980</v>
      </c>
      <c r="AB38" s="4" t="s">
        <v>983</v>
      </c>
      <c r="AC38" s="4" t="s">
        <v>1069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1001</v>
      </c>
      <c r="AK38" s="4">
        <v>1</v>
      </c>
      <c r="AL38" s="4" t="s">
        <v>1014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674</v>
      </c>
      <c r="AS38" s="4">
        <v>0</v>
      </c>
      <c r="AT38" s="4">
        <v>0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0.25</v>
      </c>
      <c r="BH38" s="39">
        <v>0.1</v>
      </c>
      <c r="BI38" s="39">
        <v>2.5000000000000001E-2</v>
      </c>
      <c r="BJ38" s="39" t="s">
        <v>1085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1732</v>
      </c>
      <c r="B39" s="39">
        <v>0</v>
      </c>
      <c r="C39" s="39">
        <v>1</v>
      </c>
      <c r="D39" s="39">
        <v>0</v>
      </c>
      <c r="E39" s="39">
        <v>1</v>
      </c>
      <c r="F39" s="39">
        <v>0</v>
      </c>
      <c r="G39" s="39">
        <v>0</v>
      </c>
      <c r="H39" s="40">
        <f t="shared" si="0"/>
        <v>20.028571428571428</v>
      </c>
      <c r="I39" s="41">
        <f t="shared" si="1"/>
        <v>0.86142857142857143</v>
      </c>
      <c r="J39" s="39">
        <v>1.0900000000000001</v>
      </c>
      <c r="K39" s="42">
        <f>AVERAGE(0.13,0.106,0.134,0.129)</f>
        <v>0.12475</v>
      </c>
      <c r="L39" s="39">
        <v>0</v>
      </c>
      <c r="M39" s="39">
        <v>0</v>
      </c>
      <c r="N39" s="4" t="s">
        <v>45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>
        <v>3</v>
      </c>
      <c r="V39" s="4">
        <v>0.75</v>
      </c>
      <c r="W39" s="4" t="s">
        <v>968</v>
      </c>
      <c r="X39" s="4" t="s">
        <v>969</v>
      </c>
      <c r="Y39" s="4" t="s">
        <v>953</v>
      </c>
      <c r="Z39" s="4" t="s">
        <v>45</v>
      </c>
      <c r="AA39" s="4" t="s">
        <v>45</v>
      </c>
      <c r="AB39" s="4" t="s">
        <v>45</v>
      </c>
      <c r="AC39" s="4" t="s">
        <v>45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1001</v>
      </c>
      <c r="AK39" s="4">
        <v>0</v>
      </c>
      <c r="AL39" s="4" t="s">
        <v>1021</v>
      </c>
      <c r="AM39" s="4">
        <v>0</v>
      </c>
      <c r="AN39" s="4">
        <v>0</v>
      </c>
      <c r="AO39" s="4">
        <v>0</v>
      </c>
      <c r="AP39" s="4" t="s">
        <v>45</v>
      </c>
      <c r="AQ39" s="4">
        <v>0</v>
      </c>
      <c r="AR39" s="4" t="s">
        <v>1031</v>
      </c>
      <c r="AS39" s="4">
        <v>0</v>
      </c>
      <c r="AT39" s="4">
        <v>1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0.7</v>
      </c>
      <c r="BH39" s="39">
        <v>0.1</v>
      </c>
      <c r="BI39" s="39">
        <v>2.5000000000000001E-2</v>
      </c>
      <c r="BJ39" s="39" t="s">
        <v>1087</v>
      </c>
      <c r="BK39" s="39">
        <v>0</v>
      </c>
      <c r="BL39" s="39">
        <v>0</v>
      </c>
      <c r="BM39" s="39">
        <v>0</v>
      </c>
    </row>
    <row r="40" spans="1:65" x14ac:dyDescent="0.25">
      <c r="A40" t="s">
        <v>671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 t="shared" si="0"/>
        <v>20.028571428571428</v>
      </c>
      <c r="I40" s="41">
        <f t="shared" si="1"/>
        <v>0.86142857142857143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941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0.85</v>
      </c>
      <c r="AA40" s="4" t="s">
        <v>980</v>
      </c>
      <c r="AB40" s="4" t="s">
        <v>984</v>
      </c>
      <c r="AC40" s="4" t="s">
        <v>1069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1001</v>
      </c>
      <c r="AK40" s="4">
        <v>0</v>
      </c>
      <c r="AL40" s="4" t="s">
        <v>671</v>
      </c>
      <c r="AM40" s="4">
        <v>1</v>
      </c>
      <c r="AN40" s="4">
        <v>0</v>
      </c>
      <c r="AO40" s="4">
        <v>0</v>
      </c>
      <c r="AP40" s="4">
        <v>0.5</v>
      </c>
      <c r="AQ40" s="4">
        <v>0</v>
      </c>
      <c r="AR40" s="4" t="s">
        <v>1031</v>
      </c>
      <c r="AS40" s="4">
        <v>1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0.7</v>
      </c>
      <c r="BH40" s="39">
        <v>0.1</v>
      </c>
      <c r="BI40" s="39">
        <v>2.5000000000000001E-2</v>
      </c>
      <c r="BJ40" s="39" t="s">
        <v>1087</v>
      </c>
      <c r="BK40" s="39">
        <v>0</v>
      </c>
      <c r="BL40" s="39">
        <v>0</v>
      </c>
      <c r="BM40" s="39">
        <v>0</v>
      </c>
    </row>
    <row r="41" spans="1:65" x14ac:dyDescent="0.25">
      <c r="A41" t="s">
        <v>465</v>
      </c>
      <c r="B41" s="39">
        <v>2</v>
      </c>
      <c r="C41" s="39">
        <v>1.5</v>
      </c>
      <c r="D41" s="39">
        <v>0</v>
      </c>
      <c r="E41" s="39">
        <v>1</v>
      </c>
      <c r="F41" s="39">
        <v>0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39" t="s">
        <v>930</v>
      </c>
      <c r="L41" s="39">
        <v>0</v>
      </c>
      <c r="M41" s="39">
        <v>0</v>
      </c>
      <c r="N41" s="4" t="s">
        <v>41</v>
      </c>
      <c r="O41" s="4">
        <v>1</v>
      </c>
      <c r="P41" s="4">
        <v>1</v>
      </c>
      <c r="Q41" s="4">
        <v>0.9</v>
      </c>
      <c r="R41" s="4" t="s">
        <v>961</v>
      </c>
      <c r="S41" s="4" t="s">
        <v>960</v>
      </c>
      <c r="T41" s="4" t="s">
        <v>962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0.9</v>
      </c>
      <c r="AA41" s="4" t="s">
        <v>980</v>
      </c>
      <c r="AB41" s="4" t="s">
        <v>982</v>
      </c>
      <c r="AC41" s="4" t="s">
        <v>1069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</v>
      </c>
      <c r="AJ41" s="4" t="s">
        <v>1005</v>
      </c>
      <c r="AK41" s="4">
        <v>0</v>
      </c>
      <c r="AL41" s="4" t="s">
        <v>1023</v>
      </c>
      <c r="AM41" s="4">
        <v>0</v>
      </c>
      <c r="AN41" s="4">
        <v>0</v>
      </c>
      <c r="AO41" s="4">
        <v>0</v>
      </c>
      <c r="AP41" s="4" t="s">
        <v>45</v>
      </c>
      <c r="AQ41" s="4">
        <v>0</v>
      </c>
      <c r="AR41" s="4" t="s">
        <v>674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2</v>
      </c>
      <c r="BG41" s="39">
        <v>0.5</v>
      </c>
      <c r="BH41" s="39">
        <v>0</v>
      </c>
      <c r="BI41" s="39">
        <v>0</v>
      </c>
      <c r="BJ41" s="39" t="s">
        <v>1087</v>
      </c>
      <c r="BK41" s="39">
        <v>0</v>
      </c>
      <c r="BL41" s="39">
        <v>0</v>
      </c>
      <c r="BM41" s="39">
        <v>0</v>
      </c>
    </row>
    <row r="42" spans="1:65" s="16" customFormat="1" ht="14.25" customHeight="1" x14ac:dyDescent="0.25">
      <c r="A42" s="16" t="s">
        <v>1019</v>
      </c>
      <c r="B42" s="39">
        <v>2</v>
      </c>
      <c r="C42" s="39">
        <v>1.3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39" t="s">
        <v>930</v>
      </c>
      <c r="L42" s="39">
        <v>0</v>
      </c>
      <c r="M42" s="39">
        <v>0</v>
      </c>
      <c r="N42" s="4" t="s">
        <v>110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980</v>
      </c>
      <c r="AB42" s="4" t="s">
        <v>984</v>
      </c>
      <c r="AC42" s="4" t="s">
        <v>1069</v>
      </c>
      <c r="AD42" s="39">
        <v>1</v>
      </c>
      <c r="AE42" s="4">
        <v>0.65</v>
      </c>
      <c r="AF42" s="4" t="s">
        <v>993</v>
      </c>
      <c r="AG42" s="4" t="s">
        <v>996</v>
      </c>
      <c r="AH42" s="4" t="s">
        <v>956</v>
      </c>
      <c r="AI42" s="4">
        <v>1</v>
      </c>
      <c r="AJ42" s="4" t="s">
        <v>1001</v>
      </c>
      <c r="AK42" s="4">
        <v>0</v>
      </c>
      <c r="AL42" s="4" t="s">
        <v>1019</v>
      </c>
      <c r="AM42" s="4">
        <v>2</v>
      </c>
      <c r="AN42" s="4">
        <v>2.5000000000000001E-2</v>
      </c>
      <c r="AO42" s="4">
        <v>0.1</v>
      </c>
      <c r="AP42" s="4" t="s">
        <v>45</v>
      </c>
      <c r="AQ42" s="4">
        <v>0</v>
      </c>
      <c r="AR42" s="4" t="s">
        <v>1029</v>
      </c>
      <c r="AS42" s="4">
        <v>0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</v>
      </c>
      <c r="BH42" s="39">
        <v>0.1</v>
      </c>
      <c r="BI42" s="39">
        <v>0.05</v>
      </c>
      <c r="BJ42" s="39" t="s">
        <v>1090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1820</v>
      </c>
      <c r="B43" s="39">
        <v>2</v>
      </c>
      <c r="C43" s="39">
        <v>2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39" t="s">
        <v>930</v>
      </c>
      <c r="L43" s="39">
        <v>0</v>
      </c>
      <c r="M43" s="39">
        <v>0</v>
      </c>
      <c r="N43" s="4" t="s">
        <v>110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980</v>
      </c>
      <c r="AB43" s="4" t="s">
        <v>984</v>
      </c>
      <c r="AC43" s="4" t="s">
        <v>1069</v>
      </c>
      <c r="AD43" s="39">
        <v>1</v>
      </c>
      <c r="AE43" s="4">
        <v>0.65</v>
      </c>
      <c r="AF43" s="4" t="s">
        <v>993</v>
      </c>
      <c r="AG43" s="4" t="s">
        <v>996</v>
      </c>
      <c r="AH43" s="4" t="s">
        <v>953</v>
      </c>
      <c r="AI43" s="4">
        <v>1</v>
      </c>
      <c r="AJ43" s="4" t="s">
        <v>1001</v>
      </c>
      <c r="AK43" s="4">
        <v>0</v>
      </c>
      <c r="AL43" s="4" t="s">
        <v>1802</v>
      </c>
      <c r="AM43" s="4">
        <v>2</v>
      </c>
      <c r="AN43" s="4">
        <v>1</v>
      </c>
      <c r="AO43" s="4">
        <v>1</v>
      </c>
      <c r="AP43" s="4" t="s">
        <v>45</v>
      </c>
      <c r="AQ43" s="4">
        <v>0</v>
      </c>
      <c r="AR43" s="4" t="s">
        <v>1029</v>
      </c>
      <c r="AS43" s="4">
        <v>1</v>
      </c>
      <c r="AT43" s="4">
        <v>0</v>
      </c>
      <c r="AU43" s="4">
        <v>0</v>
      </c>
      <c r="AV43" s="4" t="s">
        <v>45</v>
      </c>
      <c r="AW43" s="4">
        <v>1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1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1089</v>
      </c>
      <c r="BK43" s="39">
        <v>1</v>
      </c>
      <c r="BL43" s="39">
        <v>0</v>
      </c>
      <c r="BM43" s="39">
        <v>1</v>
      </c>
    </row>
    <row r="44" spans="1:65" s="16" customFormat="1" x14ac:dyDescent="0.25">
      <c r="A44" s="16" t="s">
        <v>1821</v>
      </c>
      <c r="B44" s="39">
        <v>2</v>
      </c>
      <c r="C44" s="39">
        <v>2</v>
      </c>
      <c r="D44" s="39">
        <v>0</v>
      </c>
      <c r="E44" s="39">
        <v>1</v>
      </c>
      <c r="F44" s="39">
        <v>0</v>
      </c>
      <c r="G44" s="39">
        <v>0</v>
      </c>
      <c r="H44" s="40">
        <f>AVERAGE(204.4,4.35)</f>
        <v>104.375</v>
      </c>
      <c r="I44" s="41">
        <f>AVERAGE(5.3%,380%)</f>
        <v>1.9264999999999999</v>
      </c>
      <c r="J44" s="39">
        <v>1</v>
      </c>
      <c r="K44" s="39" t="s">
        <v>930</v>
      </c>
      <c r="L44" s="39">
        <v>1</v>
      </c>
      <c r="M44" s="39">
        <v>0</v>
      </c>
      <c r="N44" s="4" t="s">
        <v>110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980</v>
      </c>
      <c r="AB44" s="4" t="s">
        <v>983</v>
      </c>
      <c r="AC44" s="4" t="s">
        <v>1069</v>
      </c>
      <c r="AD44" s="39">
        <v>1</v>
      </c>
      <c r="AE44" s="4">
        <v>0.65</v>
      </c>
      <c r="AF44" s="4" t="s">
        <v>993</v>
      </c>
      <c r="AG44" s="4" t="s">
        <v>996</v>
      </c>
      <c r="AH44" s="4" t="s">
        <v>1801</v>
      </c>
      <c r="AI44" s="4">
        <v>1</v>
      </c>
      <c r="AJ44" s="4" t="s">
        <v>1005</v>
      </c>
      <c r="AK44" s="4">
        <v>0</v>
      </c>
      <c r="AL44" s="4" t="s">
        <v>1802</v>
      </c>
      <c r="AM44" s="4">
        <v>1</v>
      </c>
      <c r="AN44" s="4">
        <v>1</v>
      </c>
      <c r="AO44" s="4">
        <v>1</v>
      </c>
      <c r="AP44" s="4" t="s">
        <v>45</v>
      </c>
      <c r="AQ44" s="4">
        <v>0</v>
      </c>
      <c r="AR44" s="4" t="s">
        <v>674</v>
      </c>
      <c r="AS44" s="4">
        <v>1</v>
      </c>
      <c r="AT44" s="4">
        <v>0</v>
      </c>
      <c r="AU44" s="4">
        <v>0</v>
      </c>
      <c r="AV44" s="4" t="s">
        <v>45</v>
      </c>
      <c r="AW44" s="4">
        <v>1</v>
      </c>
      <c r="AX44" s="4">
        <v>1</v>
      </c>
      <c r="AY44" s="4">
        <v>1</v>
      </c>
      <c r="AZ44" s="4">
        <v>0</v>
      </c>
      <c r="BA44" s="4">
        <v>0</v>
      </c>
      <c r="BB44" s="4">
        <v>0</v>
      </c>
      <c r="BC44" s="4">
        <v>1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1089</v>
      </c>
      <c r="BK44" s="39">
        <v>1</v>
      </c>
      <c r="BL44" s="39">
        <v>0</v>
      </c>
      <c r="BM44" s="39">
        <v>1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39" t="s">
        <v>930</v>
      </c>
      <c r="L45" s="39">
        <v>0</v>
      </c>
      <c r="M45" s="39">
        <v>0</v>
      </c>
      <c r="N45" s="4" t="s">
        <v>110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980</v>
      </c>
      <c r="AB45" s="4" t="s">
        <v>984</v>
      </c>
      <c r="AC45" s="4" t="s">
        <v>1069</v>
      </c>
      <c r="AD45" s="39">
        <v>1</v>
      </c>
      <c r="AE45" s="4">
        <v>0.65</v>
      </c>
      <c r="AF45" s="4" t="s">
        <v>993</v>
      </c>
      <c r="AG45" s="4" t="s">
        <v>996</v>
      </c>
      <c r="AH45" s="4" t="s">
        <v>956</v>
      </c>
      <c r="AI45" s="4">
        <v>1</v>
      </c>
      <c r="AJ45" s="4" t="s">
        <v>1001</v>
      </c>
      <c r="AK45" s="4">
        <v>0</v>
      </c>
      <c r="AL45" s="4" t="s">
        <v>113</v>
      </c>
      <c r="AM45" s="4">
        <v>2</v>
      </c>
      <c r="AN45" s="4">
        <v>2.5000000000000001E-2</v>
      </c>
      <c r="AO45" s="4">
        <v>0.1</v>
      </c>
      <c r="AP45" s="4">
        <v>0.5</v>
      </c>
      <c r="AQ45" s="4">
        <v>0</v>
      </c>
      <c r="AR45" s="4" t="s">
        <v>1029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1085</v>
      </c>
      <c r="BK45" s="39">
        <v>0</v>
      </c>
      <c r="BL45" s="39">
        <v>0</v>
      </c>
      <c r="BM45" s="39">
        <v>0</v>
      </c>
    </row>
    <row r="46" spans="1:65" x14ac:dyDescent="0.25">
      <c r="A46" t="s">
        <v>116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>30.5</f>
        <v>30.5</v>
      </c>
      <c r="I46" s="41">
        <f>0.24</f>
        <v>0.24</v>
      </c>
      <c r="J46" s="39">
        <v>1.0900000000000001</v>
      </c>
      <c r="K46" s="39" t="s">
        <v>930</v>
      </c>
      <c r="L46" s="39">
        <v>1</v>
      </c>
      <c r="M46" s="39">
        <v>0</v>
      </c>
      <c r="N46" s="4" t="s">
        <v>943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970</v>
      </c>
      <c r="X46" s="4" t="s">
        <v>971</v>
      </c>
      <c r="Y46" s="4" t="s">
        <v>953</v>
      </c>
      <c r="Z46" s="4">
        <v>1</v>
      </c>
      <c r="AA46" s="4" t="s">
        <v>980</v>
      </c>
      <c r="AB46" s="4" t="s">
        <v>983</v>
      </c>
      <c r="AC46" s="4" t="s">
        <v>1069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1001</v>
      </c>
      <c r="AK46" s="4">
        <v>0</v>
      </c>
      <c r="AL46" s="4" t="s">
        <v>1017</v>
      </c>
      <c r="AM46" s="4">
        <v>0</v>
      </c>
      <c r="AN46" s="4">
        <v>0.05</v>
      </c>
      <c r="AO46" s="4">
        <v>0.3</v>
      </c>
      <c r="AP46" s="4" t="s">
        <v>45</v>
      </c>
      <c r="AQ46" s="4">
        <v>0</v>
      </c>
      <c r="AR46" s="4" t="s">
        <v>674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1085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1731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114" si="2">AVERAGE(21.6,12,10,13.1,30.5,38,15)</f>
        <v>20.028571428571428</v>
      </c>
      <c r="I47" s="41">
        <f t="shared" ref="I47:I114" si="3">AVERAGE(0.54,1.5,1.5,0.86,0.24,0.54,0.85)</f>
        <v>0.86142857142857143</v>
      </c>
      <c r="J47" s="39">
        <v>1.0900000000000001</v>
      </c>
      <c r="K47" s="39" t="s">
        <v>930</v>
      </c>
      <c r="L47" s="39">
        <v>0</v>
      </c>
      <c r="M47" s="39">
        <v>0</v>
      </c>
      <c r="N47" s="4" t="s">
        <v>940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980</v>
      </c>
      <c r="AB47" s="4" t="s">
        <v>985</v>
      </c>
      <c r="AC47" s="4" t="s">
        <v>1069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1001</v>
      </c>
      <c r="AK47" s="4">
        <v>0</v>
      </c>
      <c r="AL47" s="4" t="s">
        <v>1011</v>
      </c>
      <c r="AM47" s="4">
        <v>0</v>
      </c>
      <c r="AN47" s="4">
        <v>0</v>
      </c>
      <c r="AO47" s="4">
        <v>0</v>
      </c>
      <c r="AP47" s="4">
        <v>0.5</v>
      </c>
      <c r="AQ47" s="4">
        <v>0</v>
      </c>
      <c r="AR47" s="4" t="s">
        <v>674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1085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1730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20.028571428571428</v>
      </c>
      <c r="I48" s="41">
        <f t="shared" si="3"/>
        <v>0.86142857142857143</v>
      </c>
      <c r="J48" s="39">
        <v>1.0900000000000001</v>
      </c>
      <c r="K48" s="39" t="s">
        <v>930</v>
      </c>
      <c r="L48" s="39">
        <v>0</v>
      </c>
      <c r="M48" s="39">
        <v>0</v>
      </c>
      <c r="N48" s="4" t="s">
        <v>940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980</v>
      </c>
      <c r="AB48" s="4" t="s">
        <v>985</v>
      </c>
      <c r="AC48" s="4" t="s">
        <v>1069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1001</v>
      </c>
      <c r="AK48" s="4">
        <v>0</v>
      </c>
      <c r="AL48" s="4" t="s">
        <v>1011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674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1087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1729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20.028571428571428</v>
      </c>
      <c r="I49" s="41">
        <f t="shared" si="3"/>
        <v>0.86142857142857143</v>
      </c>
      <c r="J49" s="39">
        <v>1.0900000000000001</v>
      </c>
      <c r="K49" s="39" t="s">
        <v>930</v>
      </c>
      <c r="L49" s="39">
        <v>0</v>
      </c>
      <c r="M49" s="39">
        <v>0</v>
      </c>
      <c r="N49" s="4" t="s">
        <v>940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980</v>
      </c>
      <c r="AB49" s="4" t="s">
        <v>985</v>
      </c>
      <c r="AC49" s="4" t="s">
        <v>1069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1001</v>
      </c>
      <c r="AK49" s="4">
        <v>0</v>
      </c>
      <c r="AL49" s="4" t="s">
        <v>1012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1031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1087</v>
      </c>
      <c r="BK49" s="39">
        <v>0</v>
      </c>
      <c r="BL49" s="39">
        <v>0</v>
      </c>
      <c r="BM49" s="39">
        <v>0</v>
      </c>
    </row>
    <row r="50" spans="1:65" x14ac:dyDescent="0.25">
      <c r="A50" t="s">
        <v>940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20.028571428571428</v>
      </c>
      <c r="I50" s="41">
        <f t="shared" si="3"/>
        <v>0.86142857142857143</v>
      </c>
      <c r="J50" s="39">
        <v>1.0900000000000001</v>
      </c>
      <c r="K50" s="39" t="s">
        <v>930</v>
      </c>
      <c r="L50" s="39">
        <v>0</v>
      </c>
      <c r="M50" s="39">
        <v>0</v>
      </c>
      <c r="N50" s="4" t="s">
        <v>940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980</v>
      </c>
      <c r="AB50" s="4" t="s">
        <v>985</v>
      </c>
      <c r="AC50" s="4" t="s">
        <v>1069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1001</v>
      </c>
      <c r="AK50" s="4">
        <v>0</v>
      </c>
      <c r="AL50" s="4" t="s">
        <v>1012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674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1087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1728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20.028571428571428</v>
      </c>
      <c r="I51" s="41">
        <f t="shared" si="3"/>
        <v>0.86142857142857143</v>
      </c>
      <c r="J51" s="39">
        <v>1.0900000000000001</v>
      </c>
      <c r="K51" s="39" t="s">
        <v>930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955</v>
      </c>
      <c r="S51" s="4" t="s">
        <v>958</v>
      </c>
      <c r="T51" s="4" t="s">
        <v>956</v>
      </c>
      <c r="U51" s="4">
        <v>3</v>
      </c>
      <c r="V51" s="4">
        <v>0.85</v>
      </c>
      <c r="W51" s="4" t="s">
        <v>970</v>
      </c>
      <c r="X51" s="4" t="s">
        <v>971</v>
      </c>
      <c r="Y51" s="4" t="s">
        <v>953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1001</v>
      </c>
      <c r="AK51" s="4">
        <v>0</v>
      </c>
      <c r="AL51" s="4" t="s">
        <v>1014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674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1085</v>
      </c>
      <c r="BK51" s="39">
        <v>0</v>
      </c>
      <c r="BL51" s="39">
        <v>0</v>
      </c>
      <c r="BM51" s="39">
        <v>0</v>
      </c>
    </row>
    <row r="52" spans="1:65" x14ac:dyDescent="0.25">
      <c r="A52" t="s">
        <v>1726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20.028571428571428</v>
      </c>
      <c r="I52" s="41">
        <f t="shared" si="3"/>
        <v>0.86142857142857143</v>
      </c>
      <c r="J52" s="39">
        <v>1.0900000000000001</v>
      </c>
      <c r="K52" s="39" t="s">
        <v>930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955</v>
      </c>
      <c r="S52" s="4" t="s">
        <v>958</v>
      </c>
      <c r="T52" s="4" t="s">
        <v>956</v>
      </c>
      <c r="U52" s="4">
        <v>3</v>
      </c>
      <c r="V52" s="4">
        <v>0.85</v>
      </c>
      <c r="W52" s="4" t="s">
        <v>970</v>
      </c>
      <c r="X52" s="4" t="s">
        <v>971</v>
      </c>
      <c r="Y52" s="4" t="s">
        <v>953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1001</v>
      </c>
      <c r="AK52" s="4">
        <v>0</v>
      </c>
      <c r="AL52" s="4" t="s">
        <v>1014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674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1085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1790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20.028571428571428</v>
      </c>
      <c r="I53" s="41">
        <f t="shared" si="3"/>
        <v>0.86142857142857143</v>
      </c>
      <c r="J53" s="39">
        <v>1.0900000000000001</v>
      </c>
      <c r="K53" s="39" t="s">
        <v>930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955</v>
      </c>
      <c r="S53" s="4" t="s">
        <v>958</v>
      </c>
      <c r="T53" s="4" t="s">
        <v>956</v>
      </c>
      <c r="U53" s="4">
        <v>3</v>
      </c>
      <c r="V53" s="4">
        <v>0.85</v>
      </c>
      <c r="W53" s="4" t="s">
        <v>970</v>
      </c>
      <c r="X53" s="4" t="s">
        <v>971</v>
      </c>
      <c r="Y53" s="4" t="s">
        <v>956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1001</v>
      </c>
      <c r="AK53" s="4">
        <v>1</v>
      </c>
      <c r="AL53" s="4" t="s">
        <v>1014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674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1085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1725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20.028571428571428</v>
      </c>
      <c r="I54" s="41">
        <f t="shared" si="3"/>
        <v>0.86142857142857143</v>
      </c>
      <c r="J54" s="39">
        <v>1.0900000000000001</v>
      </c>
      <c r="K54" s="39" t="s">
        <v>930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955</v>
      </c>
      <c r="S54" s="4" t="s">
        <v>958</v>
      </c>
      <c r="T54" s="4" t="s">
        <v>956</v>
      </c>
      <c r="U54" s="4">
        <v>3</v>
      </c>
      <c r="V54" s="4">
        <v>0.85</v>
      </c>
      <c r="W54" s="4" t="s">
        <v>970</v>
      </c>
      <c r="X54" s="4" t="s">
        <v>972</v>
      </c>
      <c r="Y54" s="4" t="s">
        <v>953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1001</v>
      </c>
      <c r="AK54" s="4">
        <v>1</v>
      </c>
      <c r="AL54" s="4" t="s">
        <v>1014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674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1085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135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20.028571428571428</v>
      </c>
      <c r="I55" s="41">
        <f t="shared" si="3"/>
        <v>0.86142857142857143</v>
      </c>
      <c r="J55" s="39">
        <v>1.0900000000000001</v>
      </c>
      <c r="K55" s="39" t="s">
        <v>930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955</v>
      </c>
      <c r="S55" s="4" t="s">
        <v>958</v>
      </c>
      <c r="T55" s="4" t="s">
        <v>956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1001</v>
      </c>
      <c r="AK55" s="4">
        <v>1</v>
      </c>
      <c r="AL55" s="4" t="s">
        <v>1014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674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1091</v>
      </c>
      <c r="BK55" s="39">
        <v>0</v>
      </c>
      <c r="BL55" s="39">
        <v>0</v>
      </c>
      <c r="BM55" s="39">
        <v>0</v>
      </c>
    </row>
    <row r="56" spans="1:65" x14ac:dyDescent="0.25">
      <c r="A56" t="s">
        <v>1723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930</v>
      </c>
      <c r="L56" s="39">
        <v>1</v>
      </c>
      <c r="M56" s="39">
        <v>0</v>
      </c>
      <c r="N56" s="4" t="s">
        <v>943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980</v>
      </c>
      <c r="AB56" s="4" t="s">
        <v>983</v>
      </c>
      <c r="AC56" s="4" t="s">
        <v>1069</v>
      </c>
      <c r="AD56" s="39">
        <v>1</v>
      </c>
      <c r="AE56" s="4">
        <v>0.65</v>
      </c>
      <c r="AF56" s="4" t="s">
        <v>1753</v>
      </c>
      <c r="AG56" s="4" t="s">
        <v>998</v>
      </c>
      <c r="AH56" s="4" t="s">
        <v>953</v>
      </c>
      <c r="AI56" s="4">
        <v>1.2</v>
      </c>
      <c r="AJ56" s="4" t="s">
        <v>1001</v>
      </c>
      <c r="AK56" s="4">
        <v>0</v>
      </c>
      <c r="AL56" s="4" t="s">
        <v>1012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1031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1085</v>
      </c>
      <c r="BK56" s="39">
        <v>0</v>
      </c>
      <c r="BL56" s="39">
        <v>0</v>
      </c>
      <c r="BM56" s="39">
        <v>0</v>
      </c>
    </row>
    <row r="57" spans="1:65" x14ac:dyDescent="0.25">
      <c r="A57" t="s">
        <v>661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944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979</v>
      </c>
      <c r="AB57" s="4" t="s">
        <v>986</v>
      </c>
      <c r="AC57" s="4" t="s">
        <v>1069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1004</v>
      </c>
      <c r="AK57" s="4">
        <v>0</v>
      </c>
      <c r="AL57" s="4" t="s">
        <v>661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674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1087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1722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22.39</v>
      </c>
      <c r="I58" s="41">
        <v>0.37</v>
      </c>
      <c r="J58" s="39">
        <v>1.0900000000000001</v>
      </c>
      <c r="K58" s="39" t="s">
        <v>930</v>
      </c>
      <c r="L58" s="39">
        <v>0</v>
      </c>
      <c r="M58" s="39">
        <v>0</v>
      </c>
      <c r="N58" s="4" t="s">
        <v>168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979</v>
      </c>
      <c r="AB58" s="4" t="s">
        <v>987</v>
      </c>
      <c r="AC58" s="4" t="s">
        <v>1070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1002</v>
      </c>
      <c r="AK58" s="4">
        <v>0</v>
      </c>
      <c r="AL58" s="4" t="s">
        <v>168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674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1092</v>
      </c>
      <c r="BK58" s="39">
        <v>0</v>
      </c>
      <c r="BL58" s="39">
        <v>0</v>
      </c>
      <c r="BM58" s="39">
        <v>0</v>
      </c>
    </row>
    <row r="59" spans="1:65" x14ac:dyDescent="0.25">
      <c r="A59" t="s">
        <v>168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22.39</v>
      </c>
      <c r="I59" s="41">
        <v>0.37</v>
      </c>
      <c r="J59" s="39">
        <v>1.0900000000000001</v>
      </c>
      <c r="K59" s="39" t="s">
        <v>930</v>
      </c>
      <c r="L59" s="39">
        <v>0</v>
      </c>
      <c r="M59" s="39">
        <v>0</v>
      </c>
      <c r="N59" s="4" t="s">
        <v>168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0.8</v>
      </c>
      <c r="AA59" s="4" t="s">
        <v>979</v>
      </c>
      <c r="AB59" s="4" t="s">
        <v>987</v>
      </c>
      <c r="AC59" s="4" t="s">
        <v>1069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1002</v>
      </c>
      <c r="AK59" s="4">
        <v>0</v>
      </c>
      <c r="AL59" s="4" t="s">
        <v>168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674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1092</v>
      </c>
      <c r="BK59" s="39">
        <v>0</v>
      </c>
      <c r="BL59" s="39">
        <v>0</v>
      </c>
      <c r="BM59" s="39">
        <v>0</v>
      </c>
    </row>
    <row r="60" spans="1:65" x14ac:dyDescent="0.25">
      <c r="A60" t="s">
        <v>114</v>
      </c>
      <c r="B60" s="39">
        <v>2</v>
      </c>
      <c r="C60" s="39">
        <v>2</v>
      </c>
      <c r="D60" s="39">
        <v>0</v>
      </c>
      <c r="E60" s="39">
        <v>5</v>
      </c>
      <c r="F60" s="39">
        <v>2</v>
      </c>
      <c r="G60" s="39">
        <v>0</v>
      </c>
      <c r="H60" s="40">
        <v>1000</v>
      </c>
      <c r="I60" s="41">
        <v>0.3</v>
      </c>
      <c r="J60" s="39">
        <v>1.3</v>
      </c>
      <c r="K60" s="39" t="s">
        <v>930</v>
      </c>
      <c r="L60" s="39">
        <v>1</v>
      </c>
      <c r="M60" s="39">
        <v>0</v>
      </c>
      <c r="N60" s="4" t="s">
        <v>45</v>
      </c>
      <c r="O60" s="4">
        <v>0</v>
      </c>
      <c r="P60" s="4">
        <v>1</v>
      </c>
      <c r="Q60" s="4">
        <v>0.9</v>
      </c>
      <c r="R60" s="4" t="s">
        <v>955</v>
      </c>
      <c r="S60" s="4" t="s">
        <v>957</v>
      </c>
      <c r="T60" s="4" t="s">
        <v>956</v>
      </c>
      <c r="U60" s="4">
        <v>2</v>
      </c>
      <c r="V60" s="4">
        <v>0.6</v>
      </c>
      <c r="W60" s="4" t="s">
        <v>970</v>
      </c>
      <c r="X60" s="4" t="s">
        <v>971</v>
      </c>
      <c r="Y60" s="4" t="s">
        <v>953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1.5</v>
      </c>
      <c r="AJ60" s="4" t="s">
        <v>1001</v>
      </c>
      <c r="AK60" s="4">
        <v>0</v>
      </c>
      <c r="AL60" s="4" t="s">
        <v>1017</v>
      </c>
      <c r="AM60" s="4">
        <v>0</v>
      </c>
      <c r="AN60" s="4">
        <v>0</v>
      </c>
      <c r="AO60" s="4">
        <v>1</v>
      </c>
      <c r="AP60" s="4" t="s">
        <v>45</v>
      </c>
      <c r="AQ60" s="4">
        <v>0</v>
      </c>
      <c r="AR60" s="4" t="s">
        <v>1029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1</v>
      </c>
      <c r="BD60" s="4">
        <v>0</v>
      </c>
      <c r="BE60" s="4">
        <v>0</v>
      </c>
      <c r="BF60" s="4">
        <v>0</v>
      </c>
      <c r="BG60" s="39">
        <v>0.7</v>
      </c>
      <c r="BH60" s="39">
        <v>0.15</v>
      </c>
      <c r="BI60" s="39">
        <v>0.05</v>
      </c>
      <c r="BJ60" s="39" t="s">
        <v>1091</v>
      </c>
      <c r="BK60" s="39">
        <v>0</v>
      </c>
      <c r="BL60" s="39">
        <v>1</v>
      </c>
      <c r="BM60" s="39">
        <v>0</v>
      </c>
    </row>
    <row r="61" spans="1:65" x14ac:dyDescent="0.25">
      <c r="A61" t="s">
        <v>171</v>
      </c>
      <c r="B61" s="39">
        <v>1</v>
      </c>
      <c r="C61" s="39">
        <v>1.3</v>
      </c>
      <c r="D61" s="39">
        <v>1</v>
      </c>
      <c r="E61" s="39">
        <v>1</v>
      </c>
      <c r="F61" s="39">
        <v>0</v>
      </c>
      <c r="G61" s="39">
        <v>0</v>
      </c>
      <c r="H61" s="40">
        <v>165.1</v>
      </c>
      <c r="I61" s="41">
        <f>H61/AVERAGE(985,530,315,500,256,230)</f>
        <v>0.35177556818181821</v>
      </c>
      <c r="J61" s="39">
        <f>AVERAGE(1.52,1.47,1)</f>
        <v>1.33</v>
      </c>
      <c r="K61" s="39">
        <v>0.32</v>
      </c>
      <c r="L61" s="39">
        <v>1</v>
      </c>
      <c r="M61" s="39">
        <v>0</v>
      </c>
      <c r="N61" s="4" t="s">
        <v>944</v>
      </c>
      <c r="O61" s="4">
        <v>1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1</v>
      </c>
      <c r="AA61" s="4" t="s">
        <v>978</v>
      </c>
      <c r="AB61" s="4" t="s">
        <v>982</v>
      </c>
      <c r="AC61" s="4" t="s">
        <v>1069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1002</v>
      </c>
      <c r="AK61" s="4">
        <v>0</v>
      </c>
      <c r="AL61" s="4" t="s">
        <v>1093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674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0</v>
      </c>
      <c r="BE61" s="4">
        <v>0</v>
      </c>
      <c r="BF61" s="4">
        <v>1</v>
      </c>
      <c r="BG61" s="39">
        <v>0.25</v>
      </c>
      <c r="BH61" s="39">
        <v>0</v>
      </c>
      <c r="BI61" s="39">
        <v>0</v>
      </c>
      <c r="BJ61" s="39" t="s">
        <v>1087</v>
      </c>
      <c r="BK61" s="39">
        <v>0</v>
      </c>
      <c r="BL61" s="39">
        <v>0</v>
      </c>
      <c r="BM61" s="39">
        <v>0</v>
      </c>
    </row>
    <row r="62" spans="1:65" x14ac:dyDescent="0.25">
      <c r="A62" t="s">
        <v>1720</v>
      </c>
      <c r="B62" s="39">
        <v>1</v>
      </c>
      <c r="C62" s="39">
        <v>1.1000000000000001</v>
      </c>
      <c r="D62" s="39">
        <v>0</v>
      </c>
      <c r="E62" s="39">
        <v>1</v>
      </c>
      <c r="F62" s="39">
        <v>1</v>
      </c>
      <c r="G62" s="39">
        <v>0</v>
      </c>
      <c r="H62" s="40">
        <f>AVERAGE(21.6,12,10,13.1,30.5,38,15)</f>
        <v>20.028571428571428</v>
      </c>
      <c r="I62" s="41">
        <f>AVERAGE(0.54,1.5,1.5,0.86,0.24,0.54,0.85)</f>
        <v>0.86142857142857143</v>
      </c>
      <c r="J62" s="39">
        <v>1.0900000000000001</v>
      </c>
      <c r="K62" s="42">
        <f>AVERAGE(0.13,0.106,0.134,0.129)</f>
        <v>0.12475</v>
      </c>
      <c r="L62" s="39">
        <v>0</v>
      </c>
      <c r="M62" s="39">
        <v>0</v>
      </c>
      <c r="N62" s="4" t="s">
        <v>941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0.85</v>
      </c>
      <c r="AA62" s="4" t="s">
        <v>980</v>
      </c>
      <c r="AB62" s="4" t="s">
        <v>984</v>
      </c>
      <c r="AC62" s="4" t="s">
        <v>1069</v>
      </c>
      <c r="AD62" s="39">
        <v>1</v>
      </c>
      <c r="AE62" s="4">
        <v>0.65</v>
      </c>
      <c r="AF62" s="4" t="s">
        <v>1753</v>
      </c>
      <c r="AG62" s="4" t="s">
        <v>998</v>
      </c>
      <c r="AH62" s="4" t="s">
        <v>953</v>
      </c>
      <c r="AI62" s="4">
        <v>1.2</v>
      </c>
      <c r="AJ62" s="4" t="s">
        <v>1001</v>
      </c>
      <c r="AK62" s="4">
        <v>0</v>
      </c>
      <c r="AL62" s="4" t="s">
        <v>1011</v>
      </c>
      <c r="AM62" s="4">
        <v>1</v>
      </c>
      <c r="AN62" s="4">
        <v>0.1</v>
      </c>
      <c r="AO62" s="4">
        <v>0.3</v>
      </c>
      <c r="AP62" s="4">
        <v>0.5</v>
      </c>
      <c r="AQ62" s="4">
        <v>0</v>
      </c>
      <c r="AR62" s="4" t="s">
        <v>1029</v>
      </c>
      <c r="AS62" s="4">
        <v>1</v>
      </c>
      <c r="AT62" s="4">
        <v>1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2</v>
      </c>
      <c r="BA62" s="4">
        <v>0</v>
      </c>
      <c r="BB62" s="4">
        <v>1</v>
      </c>
      <c r="BC62" s="4">
        <v>0</v>
      </c>
      <c r="BD62" s="4">
        <v>0</v>
      </c>
      <c r="BE62" s="4">
        <v>0</v>
      </c>
      <c r="BF62" s="4">
        <v>0</v>
      </c>
      <c r="BG62" s="39">
        <v>0.7</v>
      </c>
      <c r="BH62" s="39">
        <v>0.15</v>
      </c>
      <c r="BI62" s="39">
        <v>2.5000000000000001E-2</v>
      </c>
      <c r="BJ62" s="39" t="s">
        <v>1085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177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AVERAGE(21.6,12,10,13.1,30.5,38,15)</f>
        <v>20.028571428571428</v>
      </c>
      <c r="I63" s="41">
        <f>AVERAGE(0.54,1.5,1.5,0.86,0.24,0.54,0.85)</f>
        <v>0.86142857142857143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941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980</v>
      </c>
      <c r="AB63" s="4" t="s">
        <v>984</v>
      </c>
      <c r="AC63" s="4" t="s">
        <v>1069</v>
      </c>
      <c r="AD63" s="39">
        <v>1</v>
      </c>
      <c r="AE63" s="4">
        <v>0.65</v>
      </c>
      <c r="AF63" s="4" t="s">
        <v>1753</v>
      </c>
      <c r="AG63" s="4" t="s">
        <v>998</v>
      </c>
      <c r="AH63" s="4" t="s">
        <v>953</v>
      </c>
      <c r="AI63" s="4">
        <v>1.2</v>
      </c>
      <c r="AJ63" s="4" t="s">
        <v>1001</v>
      </c>
      <c r="AK63" s="4">
        <v>0</v>
      </c>
      <c r="AL63" s="4" t="s">
        <v>1012</v>
      </c>
      <c r="AM63" s="4">
        <v>1</v>
      </c>
      <c r="AN63" s="4">
        <v>0</v>
      </c>
      <c r="AO63" s="4">
        <v>0</v>
      </c>
      <c r="AP63" s="4">
        <v>0.5</v>
      </c>
      <c r="AQ63" s="4">
        <v>0</v>
      </c>
      <c r="AR63" s="4" t="s">
        <v>1029</v>
      </c>
      <c r="AS63" s="4">
        <v>0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1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</v>
      </c>
      <c r="BI63" s="39">
        <v>2.5000000000000001E-2</v>
      </c>
      <c r="BJ63" s="39" t="s">
        <v>1085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1776</v>
      </c>
      <c r="B64" s="39">
        <v>2</v>
      </c>
      <c r="C64" s="4" t="s">
        <v>1182</v>
      </c>
      <c r="D64" s="39">
        <v>0</v>
      </c>
      <c r="E64" s="39">
        <v>1</v>
      </c>
      <c r="F64" s="39">
        <v>2</v>
      </c>
      <c r="G64" s="39">
        <v>2</v>
      </c>
      <c r="H64" s="40">
        <v>1100</v>
      </c>
      <c r="I64" s="41">
        <v>0.9</v>
      </c>
      <c r="J64" s="39">
        <v>1.19</v>
      </c>
      <c r="K64" s="39" t="s">
        <v>930</v>
      </c>
      <c r="L64" s="39">
        <v>1</v>
      </c>
      <c r="M64" s="39">
        <v>0</v>
      </c>
      <c r="N64" s="4" t="s">
        <v>939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0.5</v>
      </c>
      <c r="AA64" s="4" t="s">
        <v>980</v>
      </c>
      <c r="AB64" s="4" t="s">
        <v>984</v>
      </c>
      <c r="AC64" s="4" t="s">
        <v>1069</v>
      </c>
      <c r="AD64" s="39">
        <v>1</v>
      </c>
      <c r="AE64" s="4">
        <v>0.45</v>
      </c>
      <c r="AF64" s="4" t="s">
        <v>1753</v>
      </c>
      <c r="AG64" s="4" t="s">
        <v>998</v>
      </c>
      <c r="AH64" s="4" t="s">
        <v>953</v>
      </c>
      <c r="AI64" s="4">
        <v>1.2</v>
      </c>
      <c r="AJ64" s="4" t="s">
        <v>1167</v>
      </c>
      <c r="AK64" s="4">
        <v>0</v>
      </c>
      <c r="AL64" s="4" t="s">
        <v>1190</v>
      </c>
      <c r="AM64" s="4">
        <v>0</v>
      </c>
      <c r="AN64" s="4">
        <v>1</v>
      </c>
      <c r="AO64" s="4">
        <v>1</v>
      </c>
      <c r="AP64" s="4" t="s">
        <v>45</v>
      </c>
      <c r="AQ64" s="4">
        <v>0</v>
      </c>
      <c r="AR64" s="4" t="s">
        <v>1029</v>
      </c>
      <c r="AS64" s="4">
        <v>1</v>
      </c>
      <c r="AT64" s="4">
        <v>1</v>
      </c>
      <c r="AU64" s="4">
        <v>0</v>
      </c>
      <c r="AV64" s="4" t="s">
        <v>45</v>
      </c>
      <c r="AW64" s="4">
        <v>1</v>
      </c>
      <c r="AX64" s="4">
        <v>1</v>
      </c>
      <c r="AY64" s="4">
        <v>1</v>
      </c>
      <c r="AZ64" s="4">
        <v>2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39">
        <v>2.5</v>
      </c>
      <c r="BH64" s="39">
        <v>0.5</v>
      </c>
      <c r="BI64" s="39">
        <v>0.25</v>
      </c>
      <c r="BJ64" s="39" t="s">
        <v>1085</v>
      </c>
      <c r="BK64" s="39">
        <v>1</v>
      </c>
      <c r="BL64" s="39">
        <v>0</v>
      </c>
      <c r="BM64" s="39">
        <v>1</v>
      </c>
    </row>
    <row r="65" spans="1:65" s="16" customFormat="1" x14ac:dyDescent="0.25">
      <c r="A65" s="16" t="s">
        <v>1775</v>
      </c>
      <c r="B65" s="39">
        <v>2</v>
      </c>
      <c r="C65" s="4" t="s">
        <v>1182</v>
      </c>
      <c r="D65" s="39">
        <v>0</v>
      </c>
      <c r="E65" s="39">
        <v>1</v>
      </c>
      <c r="F65" s="39">
        <v>2</v>
      </c>
      <c r="G65" s="39">
        <v>2</v>
      </c>
      <c r="H65" s="40">
        <v>1250</v>
      </c>
      <c r="I65" s="41">
        <v>0.9</v>
      </c>
      <c r="J65" s="39">
        <v>1.27</v>
      </c>
      <c r="K65" s="39" t="s">
        <v>930</v>
      </c>
      <c r="L65" s="39">
        <v>1</v>
      </c>
      <c r="M65" s="39">
        <v>0</v>
      </c>
      <c r="N65" s="4" t="s">
        <v>939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0.5</v>
      </c>
      <c r="AA65" s="4" t="s">
        <v>980</v>
      </c>
      <c r="AB65" s="4" t="s">
        <v>984</v>
      </c>
      <c r="AC65" s="4" t="s">
        <v>1069</v>
      </c>
      <c r="AD65" s="39">
        <v>1</v>
      </c>
      <c r="AE65" s="4">
        <v>0.45</v>
      </c>
      <c r="AF65" s="4" t="s">
        <v>1753</v>
      </c>
      <c r="AG65" s="4" t="s">
        <v>998</v>
      </c>
      <c r="AH65" s="4" t="s">
        <v>953</v>
      </c>
      <c r="AI65" s="4">
        <v>1.2</v>
      </c>
      <c r="AJ65" s="4" t="s">
        <v>1167</v>
      </c>
      <c r="AK65" s="4">
        <v>0</v>
      </c>
      <c r="AL65" s="4" t="s">
        <v>1190</v>
      </c>
      <c r="AM65" s="4">
        <v>0</v>
      </c>
      <c r="AN65" s="4">
        <v>1</v>
      </c>
      <c r="AO65" s="4">
        <v>1</v>
      </c>
      <c r="AP65" s="4" t="s">
        <v>45</v>
      </c>
      <c r="AQ65" s="4">
        <v>0</v>
      </c>
      <c r="AR65" s="4" t="s">
        <v>1029</v>
      </c>
      <c r="AS65" s="4">
        <v>1</v>
      </c>
      <c r="AT65" s="4">
        <v>1</v>
      </c>
      <c r="AU65" s="4">
        <v>0</v>
      </c>
      <c r="AV65" s="4" t="s">
        <v>45</v>
      </c>
      <c r="AW65" s="4">
        <v>1</v>
      </c>
      <c r="AX65" s="4">
        <v>1</v>
      </c>
      <c r="AY65" s="4">
        <v>1</v>
      </c>
      <c r="AZ65" s="4">
        <v>2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39">
        <v>2.5</v>
      </c>
      <c r="BH65" s="39">
        <v>0.5</v>
      </c>
      <c r="BI65" s="39">
        <v>0.25</v>
      </c>
      <c r="BJ65" s="39" t="s">
        <v>1085</v>
      </c>
      <c r="BK65" s="39">
        <v>1</v>
      </c>
      <c r="BL65" s="39">
        <v>0</v>
      </c>
      <c r="BM65" s="39">
        <v>1</v>
      </c>
    </row>
    <row r="66" spans="1:65" s="16" customFormat="1" x14ac:dyDescent="0.25">
      <c r="A66" s="16" t="s">
        <v>1777</v>
      </c>
      <c r="B66" s="39">
        <v>2</v>
      </c>
      <c r="C66" s="4" t="s">
        <v>1182</v>
      </c>
      <c r="D66" s="39">
        <v>0</v>
      </c>
      <c r="E66" s="39">
        <v>5</v>
      </c>
      <c r="F66" s="39">
        <v>2</v>
      </c>
      <c r="G66" s="39">
        <v>2</v>
      </c>
      <c r="H66" s="40">
        <v>1100</v>
      </c>
      <c r="I66" s="41">
        <v>0.9</v>
      </c>
      <c r="J66" s="39">
        <v>1.19</v>
      </c>
      <c r="K66" s="39" t="s">
        <v>930</v>
      </c>
      <c r="L66" s="39">
        <v>1</v>
      </c>
      <c r="M66" s="39">
        <v>0</v>
      </c>
      <c r="N66" s="4" t="s">
        <v>45</v>
      </c>
      <c r="O66" s="4">
        <v>0</v>
      </c>
      <c r="P66" s="4">
        <v>1</v>
      </c>
      <c r="Q66" s="4">
        <v>0.8</v>
      </c>
      <c r="R66" s="4" t="s">
        <v>955</v>
      </c>
      <c r="S66" s="4" t="s">
        <v>958</v>
      </c>
      <c r="T66" s="4" t="s">
        <v>956</v>
      </c>
      <c r="U66" s="4">
        <v>2</v>
      </c>
      <c r="V66" s="4">
        <v>0.7</v>
      </c>
      <c r="W66" s="4" t="s">
        <v>970</v>
      </c>
      <c r="X66" s="4" t="s">
        <v>971</v>
      </c>
      <c r="Y66" s="4" t="s">
        <v>953</v>
      </c>
      <c r="Z66" s="4" t="s">
        <v>45</v>
      </c>
      <c r="AA66" s="4" t="s">
        <v>45</v>
      </c>
      <c r="AB66" s="4" t="s">
        <v>45</v>
      </c>
      <c r="AC66" s="4" t="s">
        <v>45</v>
      </c>
      <c r="AD66" s="39">
        <v>0</v>
      </c>
      <c r="AE66" s="4" t="s">
        <v>45</v>
      </c>
      <c r="AF66" s="4" t="s">
        <v>45</v>
      </c>
      <c r="AG66" s="4" t="s">
        <v>45</v>
      </c>
      <c r="AH66" s="4" t="s">
        <v>45</v>
      </c>
      <c r="AI66" s="4">
        <v>1</v>
      </c>
      <c r="AJ66" s="4" t="s">
        <v>1167</v>
      </c>
      <c r="AK66" s="4">
        <v>0</v>
      </c>
      <c r="AL66" s="4" t="s">
        <v>1183</v>
      </c>
      <c r="AM66" s="4">
        <v>0</v>
      </c>
      <c r="AN66" s="4">
        <v>0.1</v>
      </c>
      <c r="AO66" s="4">
        <v>0.3</v>
      </c>
      <c r="AP66" s="4" t="s">
        <v>45</v>
      </c>
      <c r="AQ66" s="4">
        <v>0</v>
      </c>
      <c r="AR66" s="4" t="s">
        <v>1031</v>
      </c>
      <c r="AS66" s="4">
        <v>0</v>
      </c>
      <c r="AT66" s="4">
        <v>0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1</v>
      </c>
      <c r="BH66" s="39">
        <v>0.25</v>
      </c>
      <c r="BI66" s="39">
        <v>0.1</v>
      </c>
      <c r="BJ66" s="39" t="s">
        <v>1085</v>
      </c>
      <c r="BK66" s="39">
        <v>0</v>
      </c>
      <c r="BL66" s="39">
        <v>1</v>
      </c>
      <c r="BM66" s="39">
        <v>0</v>
      </c>
    </row>
    <row r="67" spans="1:65" s="16" customFormat="1" x14ac:dyDescent="0.25">
      <c r="A67" s="16" t="s">
        <v>1778</v>
      </c>
      <c r="B67" s="39">
        <v>2</v>
      </c>
      <c r="C67" s="4" t="s">
        <v>1182</v>
      </c>
      <c r="D67" s="39">
        <v>0</v>
      </c>
      <c r="E67" s="39">
        <v>1</v>
      </c>
      <c r="F67" s="39">
        <v>2</v>
      </c>
      <c r="G67" s="39">
        <v>2</v>
      </c>
      <c r="H67" s="40">
        <v>1530</v>
      </c>
      <c r="I67" s="41">
        <v>0.9</v>
      </c>
      <c r="J67" s="39">
        <v>1.42</v>
      </c>
      <c r="K67" s="39" t="s">
        <v>930</v>
      </c>
      <c r="L67" s="39">
        <v>1</v>
      </c>
      <c r="M67" s="39">
        <v>1</v>
      </c>
      <c r="N67" s="4" t="s">
        <v>939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0.6</v>
      </c>
      <c r="AA67" s="4" t="s">
        <v>980</v>
      </c>
      <c r="AB67" s="4" t="s">
        <v>983</v>
      </c>
      <c r="AC67" s="4" t="s">
        <v>1069</v>
      </c>
      <c r="AD67" s="39">
        <v>1</v>
      </c>
      <c r="AE67" s="4">
        <v>0.45</v>
      </c>
      <c r="AF67" s="4" t="s">
        <v>1753</v>
      </c>
      <c r="AG67" s="4" t="s">
        <v>998</v>
      </c>
      <c r="AH67" s="4" t="s">
        <v>953</v>
      </c>
      <c r="AI67" s="4">
        <v>1.2</v>
      </c>
      <c r="AJ67" s="4" t="s">
        <v>1167</v>
      </c>
      <c r="AK67" s="4">
        <v>0</v>
      </c>
      <c r="AL67" s="4" t="s">
        <v>1181</v>
      </c>
      <c r="AM67" s="4">
        <v>0</v>
      </c>
      <c r="AN67" s="4">
        <v>1</v>
      </c>
      <c r="AO67" s="4">
        <v>1</v>
      </c>
      <c r="AP67" s="4" t="s">
        <v>45</v>
      </c>
      <c r="AQ67" s="4">
        <v>0</v>
      </c>
      <c r="AR67" s="4" t="s">
        <v>1031</v>
      </c>
      <c r="AS67" s="4">
        <v>1</v>
      </c>
      <c r="AT67" s="4">
        <v>1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0.35</v>
      </c>
      <c r="BI67" s="39">
        <v>0.15</v>
      </c>
      <c r="BJ67" s="39" t="s">
        <v>1092</v>
      </c>
      <c r="BK67" s="39">
        <v>1</v>
      </c>
      <c r="BL67" s="39">
        <v>0</v>
      </c>
      <c r="BM67" s="39">
        <v>1</v>
      </c>
    </row>
    <row r="68" spans="1:65" s="16" customFormat="1" x14ac:dyDescent="0.25">
      <c r="A68" s="16" t="s">
        <v>1779</v>
      </c>
      <c r="B68" s="39">
        <v>2</v>
      </c>
      <c r="C68" s="4" t="s">
        <v>1182</v>
      </c>
      <c r="D68" s="39">
        <v>0</v>
      </c>
      <c r="E68" s="39">
        <v>5</v>
      </c>
      <c r="F68" s="39">
        <v>2</v>
      </c>
      <c r="G68" s="39">
        <v>2</v>
      </c>
      <c r="H68" s="40">
        <v>1530</v>
      </c>
      <c r="I68" s="41">
        <v>0.9</v>
      </c>
      <c r="J68" s="39">
        <v>1.42</v>
      </c>
      <c r="K68" s="39" t="s">
        <v>930</v>
      </c>
      <c r="L68" s="39">
        <v>1</v>
      </c>
      <c r="M68" s="39">
        <v>0</v>
      </c>
      <c r="N68" s="4" t="s">
        <v>939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1186</v>
      </c>
      <c r="AB68" s="4" t="s">
        <v>1185</v>
      </c>
      <c r="AC68" s="4" t="s">
        <v>953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1167</v>
      </c>
      <c r="AK68" s="4">
        <v>0</v>
      </c>
      <c r="AL68" s="4" t="s">
        <v>1177</v>
      </c>
      <c r="AM68" s="4">
        <v>0</v>
      </c>
      <c r="AN68" s="4">
        <v>2.5000000000000001E-2</v>
      </c>
      <c r="AO68" s="4">
        <v>0.1</v>
      </c>
      <c r="AP68" s="4" t="s">
        <v>45</v>
      </c>
      <c r="AQ68" s="4">
        <v>0</v>
      </c>
      <c r="AR68" s="4" t="s">
        <v>1031</v>
      </c>
      <c r="AS68" s="4">
        <v>0</v>
      </c>
      <c r="AT68" s="4">
        <v>0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0.25</v>
      </c>
      <c r="BI68" s="39">
        <v>0.1</v>
      </c>
      <c r="BJ68" s="39" t="s">
        <v>1087</v>
      </c>
      <c r="BK68" s="39">
        <v>0</v>
      </c>
      <c r="BL68" s="39">
        <v>1</v>
      </c>
      <c r="BM68" s="39">
        <v>0</v>
      </c>
    </row>
    <row r="69" spans="1:65" s="16" customFormat="1" x14ac:dyDescent="0.25">
      <c r="A69" s="16" t="s">
        <v>1184</v>
      </c>
      <c r="B69" s="39">
        <v>2</v>
      </c>
      <c r="C69" s="4" t="s">
        <v>1182</v>
      </c>
      <c r="D69" s="39">
        <v>0</v>
      </c>
      <c r="E69" s="39">
        <v>5</v>
      </c>
      <c r="F69" s="39">
        <v>2</v>
      </c>
      <c r="G69" s="39">
        <v>2</v>
      </c>
      <c r="H69" s="40">
        <v>950</v>
      </c>
      <c r="I69" s="41">
        <v>0.9</v>
      </c>
      <c r="J69" s="39">
        <v>1.1100000000000001</v>
      </c>
      <c r="K69" s="39" t="s">
        <v>930</v>
      </c>
      <c r="L69" s="39">
        <v>1</v>
      </c>
      <c r="M69" s="39">
        <v>0</v>
      </c>
      <c r="N69" s="4" t="s">
        <v>939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1186</v>
      </c>
      <c r="AB69" s="4" t="s">
        <v>1185</v>
      </c>
      <c r="AC69" s="4" t="s">
        <v>953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1167</v>
      </c>
      <c r="AK69" s="4">
        <v>0</v>
      </c>
      <c r="AL69" s="4" t="s">
        <v>1177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1031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1087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1291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939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979</v>
      </c>
      <c r="AB70" s="4" t="s">
        <v>981</v>
      </c>
      <c r="AC70" s="4" t="s">
        <v>1069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1004</v>
      </c>
      <c r="AK70" s="4">
        <v>0</v>
      </c>
      <c r="AL70" s="4" t="s">
        <v>1291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674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1087</v>
      </c>
      <c r="BK70" s="39">
        <v>0</v>
      </c>
      <c r="BL70" s="39">
        <v>0</v>
      </c>
      <c r="BM70" s="39">
        <v>0</v>
      </c>
    </row>
    <row r="71" spans="1:65" s="16" customFormat="1" x14ac:dyDescent="0.25">
      <c r="A71" s="16" t="s">
        <v>1785</v>
      </c>
      <c r="B71" s="39">
        <v>0</v>
      </c>
      <c r="C71" s="39">
        <v>1.5</v>
      </c>
      <c r="D71" s="39">
        <v>1</v>
      </c>
      <c r="E71" s="39">
        <v>1</v>
      </c>
      <c r="F71" s="39">
        <v>0</v>
      </c>
      <c r="G71" s="39">
        <v>0</v>
      </c>
      <c r="H71" s="40">
        <v>267</v>
      </c>
      <c r="I71" s="41">
        <f>H71/1000/54</f>
        <v>4.9444444444444449E-3</v>
      </c>
      <c r="J71" s="39">
        <v>2.7</v>
      </c>
      <c r="K71" s="39">
        <v>0.32</v>
      </c>
      <c r="L71" s="39">
        <v>1</v>
      </c>
      <c r="M71" s="39">
        <v>1</v>
      </c>
      <c r="N71" s="4" t="s">
        <v>45</v>
      </c>
      <c r="O71" s="4">
        <v>1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1</v>
      </c>
      <c r="AE71" s="4">
        <v>1.2</v>
      </c>
      <c r="AF71" s="4" t="s">
        <v>994</v>
      </c>
      <c r="AG71" s="4" t="s">
        <v>998</v>
      </c>
      <c r="AH71" s="4" t="s">
        <v>953</v>
      </c>
      <c r="AI71" s="4">
        <v>1</v>
      </c>
      <c r="AJ71" s="4" t="s">
        <v>1004</v>
      </c>
      <c r="AK71" s="4">
        <v>0</v>
      </c>
      <c r="AL71" s="4" t="s">
        <v>421</v>
      </c>
      <c r="AM71" s="4">
        <v>0</v>
      </c>
      <c r="AN71" s="4">
        <v>0</v>
      </c>
      <c r="AO71" s="4">
        <v>0</v>
      </c>
      <c r="AP71" s="4" t="s">
        <v>45</v>
      </c>
      <c r="AQ71" s="4">
        <v>0</v>
      </c>
      <c r="AR71" s="4" t="s">
        <v>674</v>
      </c>
      <c r="AS71" s="4">
        <v>0</v>
      </c>
      <c r="AT71" s="4">
        <v>0</v>
      </c>
      <c r="AU71" s="4">
        <v>1</v>
      </c>
      <c r="AV71" s="4" t="s">
        <v>45</v>
      </c>
      <c r="AW71" s="4">
        <v>0</v>
      </c>
      <c r="AX71" s="4">
        <v>0</v>
      </c>
      <c r="AY71" s="4">
        <v>0</v>
      </c>
      <c r="AZ71" s="4">
        <v>1</v>
      </c>
      <c r="BA71" s="4">
        <v>0</v>
      </c>
      <c r="BB71" s="4">
        <v>0</v>
      </c>
      <c r="BC71" s="4">
        <v>1</v>
      </c>
      <c r="BD71" s="4">
        <v>0</v>
      </c>
      <c r="BE71" s="4">
        <v>0</v>
      </c>
      <c r="BF71" s="4">
        <v>1</v>
      </c>
      <c r="BG71" s="39">
        <v>0.25</v>
      </c>
      <c r="BH71" s="39">
        <v>0</v>
      </c>
      <c r="BI71" s="39">
        <v>0</v>
      </c>
      <c r="BJ71" s="39" t="s">
        <v>1085</v>
      </c>
      <c r="BK71" s="39">
        <v>0</v>
      </c>
      <c r="BL71" s="39">
        <v>0</v>
      </c>
      <c r="BM71" s="39">
        <v>0</v>
      </c>
    </row>
    <row r="72" spans="1:65" s="16" customFormat="1" x14ac:dyDescent="0.25">
      <c r="A72" s="16" t="s">
        <v>1786</v>
      </c>
      <c r="B72" s="39">
        <v>1</v>
      </c>
      <c r="C72" s="39">
        <v>2</v>
      </c>
      <c r="D72" s="39">
        <v>0</v>
      </c>
      <c r="E72" s="39">
        <v>1</v>
      </c>
      <c r="F72" s="39">
        <v>0</v>
      </c>
      <c r="G72" s="39">
        <v>0</v>
      </c>
      <c r="H72" s="40">
        <f>AVERAGE(169.2,194.5)</f>
        <v>181.85</v>
      </c>
      <c r="I72" s="41">
        <f>AVERAGE(12.22%,12.21%)</f>
        <v>0.12215000000000001</v>
      </c>
      <c r="J72" s="39">
        <v>0.89</v>
      </c>
      <c r="K72" s="39">
        <v>0.32</v>
      </c>
      <c r="L72" s="39">
        <v>1</v>
      </c>
      <c r="M72" s="39">
        <v>1</v>
      </c>
      <c r="N72" s="4" t="s">
        <v>939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>
        <v>3</v>
      </c>
      <c r="V72" s="4">
        <v>1.3</v>
      </c>
      <c r="W72" s="4" t="s">
        <v>1324</v>
      </c>
      <c r="X72" s="4" t="s">
        <v>973</v>
      </c>
      <c r="Y72" s="4" t="s">
        <v>1324</v>
      </c>
      <c r="Z72" s="4">
        <v>1.2</v>
      </c>
      <c r="AA72" s="4" t="s">
        <v>979</v>
      </c>
      <c r="AB72" s="4" t="s">
        <v>981</v>
      </c>
      <c r="AC72" s="4" t="s">
        <v>1069</v>
      </c>
      <c r="AD72" s="39">
        <v>1</v>
      </c>
      <c r="AE72" s="4">
        <v>1.1000000000000001</v>
      </c>
      <c r="AF72" s="4" t="s">
        <v>1327</v>
      </c>
      <c r="AG72" s="4" t="s">
        <v>998</v>
      </c>
      <c r="AH72" s="4" t="s">
        <v>953</v>
      </c>
      <c r="AI72" s="4">
        <v>1</v>
      </c>
      <c r="AJ72" s="4" t="s">
        <v>1004</v>
      </c>
      <c r="AK72" s="4">
        <v>0</v>
      </c>
      <c r="AL72" s="4" t="s">
        <v>1322</v>
      </c>
      <c r="AM72" s="4">
        <v>0</v>
      </c>
      <c r="AN72" s="4">
        <v>0</v>
      </c>
      <c r="AO72" s="4">
        <v>0</v>
      </c>
      <c r="AP72" s="4" t="s">
        <v>45</v>
      </c>
      <c r="AQ72" s="4">
        <v>0</v>
      </c>
      <c r="AR72" s="4" t="s">
        <v>1031</v>
      </c>
      <c r="AS72" s="4">
        <v>1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0.5</v>
      </c>
      <c r="BH72" s="39">
        <v>0.15</v>
      </c>
      <c r="BI72" s="39">
        <v>2.5000000000000001E-2</v>
      </c>
      <c r="BJ72" s="39" t="s">
        <v>1088</v>
      </c>
      <c r="BK72" s="39">
        <v>1</v>
      </c>
      <c r="BL72" s="39">
        <v>1</v>
      </c>
      <c r="BM72" s="39">
        <v>1</v>
      </c>
    </row>
    <row r="73" spans="1:65" s="16" customFormat="1" x14ac:dyDescent="0.25">
      <c r="A73" s="16" t="s">
        <v>1716</v>
      </c>
      <c r="B73" s="39">
        <v>1</v>
      </c>
      <c r="C73" s="39">
        <v>1</v>
      </c>
      <c r="D73" s="39">
        <v>1</v>
      </c>
      <c r="E73" s="39">
        <v>1</v>
      </c>
      <c r="F73" s="39">
        <v>0</v>
      </c>
      <c r="G73" s="39">
        <v>0</v>
      </c>
      <c r="H73" s="40">
        <v>95</v>
      </c>
      <c r="I73" s="41">
        <f>H73/1000/AVERAGE(4.6)</f>
        <v>2.065217391304348E-2</v>
      </c>
      <c r="J73" s="39">
        <v>1.2</v>
      </c>
      <c r="K73" s="39">
        <v>0.32</v>
      </c>
      <c r="L73" s="39">
        <v>1</v>
      </c>
      <c r="M73" s="39">
        <v>0</v>
      </c>
      <c r="N73" s="4" t="s">
        <v>45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 t="s">
        <v>45</v>
      </c>
      <c r="AA73" s="4" t="s">
        <v>45</v>
      </c>
      <c r="AB73" s="4" t="s">
        <v>45</v>
      </c>
      <c r="AC73" s="4" t="s">
        <v>45</v>
      </c>
      <c r="AD73" s="39">
        <v>0</v>
      </c>
      <c r="AE73" s="4" t="s">
        <v>45</v>
      </c>
      <c r="AF73" s="4" t="s">
        <v>45</v>
      </c>
      <c r="AG73" s="4" t="s">
        <v>45</v>
      </c>
      <c r="AH73" s="4" t="s">
        <v>45</v>
      </c>
      <c r="AI73" s="4">
        <v>1</v>
      </c>
      <c r="AJ73" s="4" t="s">
        <v>1004</v>
      </c>
      <c r="AK73" s="4">
        <v>0</v>
      </c>
      <c r="AL73" s="4" t="s">
        <v>1022</v>
      </c>
      <c r="AM73" s="4">
        <v>0</v>
      </c>
      <c r="AN73" s="4">
        <v>0</v>
      </c>
      <c r="AO73" s="4">
        <v>0</v>
      </c>
      <c r="AP73" s="4" t="s">
        <v>45</v>
      </c>
      <c r="AQ73" s="4">
        <v>0</v>
      </c>
      <c r="AR73" s="4" t="s">
        <v>674</v>
      </c>
      <c r="AS73" s="4">
        <v>0</v>
      </c>
      <c r="AT73" s="4">
        <v>0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1</v>
      </c>
      <c r="BD73" s="4">
        <v>0</v>
      </c>
      <c r="BE73" s="4">
        <v>0</v>
      </c>
      <c r="BF73" s="4">
        <v>0</v>
      </c>
      <c r="BG73" s="39">
        <v>0.25</v>
      </c>
      <c r="BH73" s="39">
        <v>0.1</v>
      </c>
      <c r="BI73" s="39">
        <v>2.5000000000000001E-2</v>
      </c>
      <c r="BJ73" s="39" t="s">
        <v>1088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1763</v>
      </c>
      <c r="B74" s="39">
        <v>1</v>
      </c>
      <c r="C74" s="39">
        <v>1</v>
      </c>
      <c r="D74" s="39">
        <v>1</v>
      </c>
      <c r="E74" s="39">
        <v>1</v>
      </c>
      <c r="F74" s="39">
        <v>0</v>
      </c>
      <c r="G74" s="39">
        <v>0</v>
      </c>
      <c r="H74" s="40">
        <f>AVERAGE(169.2,194.5)</f>
        <v>181.85</v>
      </c>
      <c r="I74" s="41">
        <f>AVERAGE(12.22%,12.21%)</f>
        <v>0.12215000000000001</v>
      </c>
      <c r="J74" s="39">
        <v>0.89</v>
      </c>
      <c r="K74" s="39">
        <v>0.32</v>
      </c>
      <c r="L74" s="39">
        <v>0</v>
      </c>
      <c r="M74" s="39">
        <v>0</v>
      </c>
      <c r="N74" s="4" t="s">
        <v>939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1.2</v>
      </c>
      <c r="AA74" s="4" t="s">
        <v>979</v>
      </c>
      <c r="AB74" s="4" t="s">
        <v>981</v>
      </c>
      <c r="AC74" s="4" t="s">
        <v>1069</v>
      </c>
      <c r="AD74" s="39">
        <v>0</v>
      </c>
      <c r="AE74" s="4" t="s">
        <v>45</v>
      </c>
      <c r="AF74" s="4" t="s">
        <v>45</v>
      </c>
      <c r="AG74" s="4" t="s">
        <v>45</v>
      </c>
      <c r="AH74" s="4" t="s">
        <v>45</v>
      </c>
      <c r="AI74" s="4">
        <v>1</v>
      </c>
      <c r="AJ74" s="4" t="s">
        <v>1004</v>
      </c>
      <c r="AK74" s="4">
        <v>0</v>
      </c>
      <c r="AL74" s="4" t="s">
        <v>168</v>
      </c>
      <c r="AM74" s="4">
        <v>0</v>
      </c>
      <c r="AN74" s="4">
        <v>0</v>
      </c>
      <c r="AO74" s="4">
        <v>0</v>
      </c>
      <c r="AP74" s="4" t="s">
        <v>45</v>
      </c>
      <c r="AQ74" s="4">
        <v>0</v>
      </c>
      <c r="AR74" s="4" t="s">
        <v>674</v>
      </c>
      <c r="AS74" s="4">
        <v>0</v>
      </c>
      <c r="AT74" s="4">
        <v>0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1</v>
      </c>
      <c r="BD74" s="4">
        <v>0</v>
      </c>
      <c r="BE74" s="4">
        <v>0</v>
      </c>
      <c r="BF74" s="4">
        <v>0</v>
      </c>
      <c r="BG74" s="39">
        <v>0.25</v>
      </c>
      <c r="BH74" s="39">
        <v>0.1</v>
      </c>
      <c r="BI74" s="39">
        <v>2.5000000000000001E-2</v>
      </c>
      <c r="BJ74" s="39" t="s">
        <v>1092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1752</v>
      </c>
      <c r="B75" s="39">
        <v>1</v>
      </c>
      <c r="C75" s="39">
        <v>1.2</v>
      </c>
      <c r="D75" s="39">
        <v>0</v>
      </c>
      <c r="E75" s="39">
        <v>1</v>
      </c>
      <c r="F75" s="39">
        <v>0</v>
      </c>
      <c r="G75" s="39">
        <v>0</v>
      </c>
      <c r="H75" s="40">
        <v>95</v>
      </c>
      <c r="I75" s="41">
        <f>H75/1000/AVERAGE(4.6)</f>
        <v>2.065217391304348E-2</v>
      </c>
      <c r="J75" s="39">
        <v>1.2</v>
      </c>
      <c r="K75" s="39">
        <v>0.32</v>
      </c>
      <c r="L75" s="39">
        <v>1</v>
      </c>
      <c r="M75" s="39">
        <v>0</v>
      </c>
      <c r="N75" s="4" t="s">
        <v>939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1.2</v>
      </c>
      <c r="AA75" s="4" t="s">
        <v>979</v>
      </c>
      <c r="AB75" s="4" t="s">
        <v>1332</v>
      </c>
      <c r="AC75" s="4" t="s">
        <v>1070</v>
      </c>
      <c r="AD75" s="39">
        <v>0</v>
      </c>
      <c r="AE75" s="4" t="s">
        <v>45</v>
      </c>
      <c r="AF75" s="4" t="s">
        <v>45</v>
      </c>
      <c r="AG75" s="4" t="s">
        <v>45</v>
      </c>
      <c r="AH75" s="4" t="s">
        <v>45</v>
      </c>
      <c r="AI75" s="4">
        <v>1</v>
      </c>
      <c r="AJ75" s="4" t="s">
        <v>1004</v>
      </c>
      <c r="AK75" s="4">
        <v>0</v>
      </c>
      <c r="AL75" s="4" t="s">
        <v>1752</v>
      </c>
      <c r="AM75" s="4">
        <v>0</v>
      </c>
      <c r="AN75" s="4">
        <v>0.1</v>
      </c>
      <c r="AO75" s="4">
        <v>0.3</v>
      </c>
      <c r="AP75" s="4" t="s">
        <v>45</v>
      </c>
      <c r="AQ75" s="4">
        <v>0</v>
      </c>
      <c r="AR75" s="4" t="s">
        <v>1031</v>
      </c>
      <c r="AS75" s="4">
        <v>1</v>
      </c>
      <c r="AT75" s="4">
        <v>0</v>
      </c>
      <c r="AU75" s="4">
        <v>0</v>
      </c>
      <c r="AV75" s="4" t="s">
        <v>45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1</v>
      </c>
      <c r="BD75" s="4">
        <v>0</v>
      </c>
      <c r="BE75" s="4">
        <v>0</v>
      </c>
      <c r="BF75" s="4">
        <v>0</v>
      </c>
      <c r="BG75" s="39">
        <v>0.25</v>
      </c>
      <c r="BH75" s="39">
        <v>0.15</v>
      </c>
      <c r="BI75" s="39">
        <v>2.5000000000000001E-2</v>
      </c>
      <c r="BJ75" s="39" t="s">
        <v>1087</v>
      </c>
      <c r="BK75" s="39">
        <v>0</v>
      </c>
      <c r="BL75" s="39">
        <v>0</v>
      </c>
      <c r="BM75" s="39">
        <v>1</v>
      </c>
    </row>
    <row r="76" spans="1:65" s="16" customFormat="1" x14ac:dyDescent="0.25">
      <c r="A76" s="16" t="s">
        <v>1739</v>
      </c>
      <c r="B76" s="39">
        <v>1</v>
      </c>
      <c r="C76" s="39">
        <v>1.1000000000000001</v>
      </c>
      <c r="D76" s="39">
        <v>0</v>
      </c>
      <c r="E76" s="39">
        <v>1</v>
      </c>
      <c r="F76" s="39">
        <v>0</v>
      </c>
      <c r="G76" s="39">
        <v>2</v>
      </c>
      <c r="H76" s="40">
        <v>95</v>
      </c>
      <c r="I76" s="41">
        <f>H76/1000/AVERAGE(4.6)</f>
        <v>2.065217391304348E-2</v>
      </c>
      <c r="J76" s="39">
        <v>1.2</v>
      </c>
      <c r="K76" s="39">
        <v>0.32</v>
      </c>
      <c r="L76" s="39">
        <v>1</v>
      </c>
      <c r="M76" s="39">
        <v>1</v>
      </c>
      <c r="N76" s="4" t="s">
        <v>939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>
        <v>3</v>
      </c>
      <c r="V76" s="4">
        <v>1.3</v>
      </c>
      <c r="W76" s="4" t="s">
        <v>1324</v>
      </c>
      <c r="X76" s="4" t="s">
        <v>973</v>
      </c>
      <c r="Y76" s="4" t="s">
        <v>1324</v>
      </c>
      <c r="Z76" s="4">
        <v>1.2</v>
      </c>
      <c r="AA76" s="4" t="s">
        <v>979</v>
      </c>
      <c r="AB76" s="4" t="s">
        <v>1332</v>
      </c>
      <c r="AC76" s="4" t="s">
        <v>1069</v>
      </c>
      <c r="AD76" s="39">
        <v>1</v>
      </c>
      <c r="AE76" s="4">
        <v>1.1000000000000001</v>
      </c>
      <c r="AF76" s="4" t="s">
        <v>1327</v>
      </c>
      <c r="AG76" s="4" t="s">
        <v>1323</v>
      </c>
      <c r="AH76" s="4" t="s">
        <v>953</v>
      </c>
      <c r="AI76" s="4">
        <v>1</v>
      </c>
      <c r="AJ76" s="4" t="s">
        <v>1004</v>
      </c>
      <c r="AK76" s="4">
        <v>0</v>
      </c>
      <c r="AL76" s="4" t="s">
        <v>1322</v>
      </c>
      <c r="AM76" s="4">
        <v>0</v>
      </c>
      <c r="AN76" s="4">
        <v>1</v>
      </c>
      <c r="AO76" s="4">
        <v>1</v>
      </c>
      <c r="AP76" s="4" t="s">
        <v>45</v>
      </c>
      <c r="AQ76" s="4">
        <v>0</v>
      </c>
      <c r="AR76" s="4" t="s">
        <v>1031</v>
      </c>
      <c r="AS76" s="4">
        <v>1</v>
      </c>
      <c r="AT76" s="4">
        <v>0</v>
      </c>
      <c r="AU76" s="4">
        <v>0</v>
      </c>
      <c r="AV76" s="4" t="s">
        <v>45</v>
      </c>
      <c r="AW76" s="4">
        <v>0</v>
      </c>
      <c r="AX76" s="4">
        <v>0</v>
      </c>
      <c r="AY76" s="4">
        <v>0</v>
      </c>
      <c r="AZ76" s="4">
        <v>2</v>
      </c>
      <c r="BA76" s="4">
        <v>0</v>
      </c>
      <c r="BB76" s="4">
        <v>0</v>
      </c>
      <c r="BC76" s="4">
        <v>1</v>
      </c>
      <c r="BD76" s="4">
        <v>0</v>
      </c>
      <c r="BE76" s="4">
        <v>0</v>
      </c>
      <c r="BF76" s="4">
        <v>0</v>
      </c>
      <c r="BG76" s="39">
        <v>0.25</v>
      </c>
      <c r="BH76" s="39">
        <v>0.1</v>
      </c>
      <c r="BI76" s="39">
        <v>2.5000000000000001E-2</v>
      </c>
      <c r="BJ76" s="39" t="s">
        <v>1087</v>
      </c>
      <c r="BK76" s="39">
        <v>1</v>
      </c>
      <c r="BL76" s="39">
        <v>0</v>
      </c>
      <c r="BM76" s="39">
        <v>0</v>
      </c>
    </row>
    <row r="77" spans="1:65" s="16" customFormat="1" x14ac:dyDescent="0.25">
      <c r="A77" s="16" t="s">
        <v>1740</v>
      </c>
      <c r="B77" s="39">
        <v>1</v>
      </c>
      <c r="C77" s="39">
        <v>1.1000000000000001</v>
      </c>
      <c r="D77" s="39">
        <v>0</v>
      </c>
      <c r="E77" s="39">
        <v>1</v>
      </c>
      <c r="F77" s="39">
        <v>0</v>
      </c>
      <c r="G77" s="39">
        <v>2</v>
      </c>
      <c r="H77" s="40">
        <v>95</v>
      </c>
      <c r="I77" s="41">
        <f>H77/1000/AVERAGE(4.6)</f>
        <v>2.065217391304348E-2</v>
      </c>
      <c r="J77" s="39">
        <v>1.2</v>
      </c>
      <c r="K77" s="39">
        <v>0.32</v>
      </c>
      <c r="L77" s="39">
        <v>1</v>
      </c>
      <c r="M77" s="39">
        <v>1</v>
      </c>
      <c r="N77" s="4" t="s">
        <v>939</v>
      </c>
      <c r="O77" s="4">
        <v>0</v>
      </c>
      <c r="P77" s="4">
        <v>0</v>
      </c>
      <c r="Q77" s="4" t="s">
        <v>45</v>
      </c>
      <c r="R77" s="4" t="s">
        <v>45</v>
      </c>
      <c r="S77" s="4" t="s">
        <v>45</v>
      </c>
      <c r="T77" s="4" t="s">
        <v>45</v>
      </c>
      <c r="U77" s="4">
        <v>3</v>
      </c>
      <c r="V77" s="4">
        <v>1.3</v>
      </c>
      <c r="W77" s="4" t="s">
        <v>1324</v>
      </c>
      <c r="X77" s="4" t="s">
        <v>973</v>
      </c>
      <c r="Y77" s="4" t="s">
        <v>1330</v>
      </c>
      <c r="Z77" s="4">
        <v>1.2</v>
      </c>
      <c r="AA77" s="4" t="s">
        <v>979</v>
      </c>
      <c r="AB77" s="4" t="s">
        <v>1332</v>
      </c>
      <c r="AC77" s="4" t="s">
        <v>1069</v>
      </c>
      <c r="AD77" s="39">
        <v>1</v>
      </c>
      <c r="AE77" s="4">
        <v>1.1000000000000001</v>
      </c>
      <c r="AF77" s="4" t="s">
        <v>1327</v>
      </c>
      <c r="AG77" s="4" t="s">
        <v>1323</v>
      </c>
      <c r="AH77" s="4" t="s">
        <v>953</v>
      </c>
      <c r="AI77" s="4">
        <v>1</v>
      </c>
      <c r="AJ77" s="4" t="s">
        <v>1004</v>
      </c>
      <c r="AK77" s="4">
        <v>0</v>
      </c>
      <c r="AL77" s="4" t="s">
        <v>1322</v>
      </c>
      <c r="AM77" s="4">
        <v>0</v>
      </c>
      <c r="AN77" s="4">
        <v>1</v>
      </c>
      <c r="AO77" s="4">
        <v>1</v>
      </c>
      <c r="AP77" s="4" t="s">
        <v>45</v>
      </c>
      <c r="AQ77" s="4">
        <v>0</v>
      </c>
      <c r="AR77" s="4" t="s">
        <v>1031</v>
      </c>
      <c r="AS77" s="4">
        <v>1</v>
      </c>
      <c r="AT77" s="4">
        <v>0</v>
      </c>
      <c r="AU77" s="4">
        <v>0</v>
      </c>
      <c r="AV77" s="4" t="s">
        <v>45</v>
      </c>
      <c r="AW77" s="4">
        <v>0</v>
      </c>
      <c r="AX77" s="4">
        <v>0</v>
      </c>
      <c r="AY77" s="4">
        <v>0</v>
      </c>
      <c r="AZ77" s="4">
        <v>2</v>
      </c>
      <c r="BA77" s="4">
        <v>0</v>
      </c>
      <c r="BB77" s="4">
        <v>0</v>
      </c>
      <c r="BC77" s="4">
        <v>1</v>
      </c>
      <c r="BD77" s="4">
        <v>0</v>
      </c>
      <c r="BE77" s="4">
        <v>0</v>
      </c>
      <c r="BF77" s="4">
        <v>0</v>
      </c>
      <c r="BG77" s="39">
        <v>0.25</v>
      </c>
      <c r="BH77" s="39">
        <v>0.1</v>
      </c>
      <c r="BI77" s="39">
        <v>2.5000000000000001E-2</v>
      </c>
      <c r="BJ77" s="39" t="s">
        <v>1087</v>
      </c>
      <c r="BK77" s="39">
        <v>1</v>
      </c>
      <c r="BL77" s="39">
        <v>0</v>
      </c>
      <c r="BM77" s="39">
        <v>0</v>
      </c>
    </row>
    <row r="78" spans="1:65" s="16" customFormat="1" x14ac:dyDescent="0.25">
      <c r="A78" s="16" t="s">
        <v>1781</v>
      </c>
      <c r="B78" s="39">
        <v>1</v>
      </c>
      <c r="C78" s="39">
        <v>2</v>
      </c>
      <c r="D78" s="39">
        <v>0</v>
      </c>
      <c r="E78" s="39">
        <v>1</v>
      </c>
      <c r="F78" s="39">
        <v>0</v>
      </c>
      <c r="G78" s="39">
        <v>0</v>
      </c>
      <c r="H78" s="40">
        <f>AVERAGE(169.2,194.5)</f>
        <v>181.85</v>
      </c>
      <c r="I78" s="41">
        <f>AVERAGE(12.22%,12.21%)</f>
        <v>0.12215000000000001</v>
      </c>
      <c r="J78" s="39">
        <v>0.89</v>
      </c>
      <c r="K78" s="39">
        <v>0.32</v>
      </c>
      <c r="L78" s="39">
        <v>1</v>
      </c>
      <c r="M78" s="39">
        <v>1</v>
      </c>
      <c r="N78" s="4" t="s">
        <v>939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1.2</v>
      </c>
      <c r="AA78" s="4" t="s">
        <v>979</v>
      </c>
      <c r="AB78" s="4" t="s">
        <v>981</v>
      </c>
      <c r="AC78" s="4" t="s">
        <v>1069</v>
      </c>
      <c r="AD78" s="39">
        <v>1</v>
      </c>
      <c r="AE78" s="4">
        <v>1.1000000000000001</v>
      </c>
      <c r="AF78" s="4" t="s">
        <v>1753</v>
      </c>
      <c r="AG78" s="4" t="s">
        <v>1782</v>
      </c>
      <c r="AH78" s="4" t="s">
        <v>953</v>
      </c>
      <c r="AI78" s="4">
        <v>1</v>
      </c>
      <c r="AJ78" s="4" t="s">
        <v>1004</v>
      </c>
      <c r="AK78" s="4">
        <v>0</v>
      </c>
      <c r="AL78" s="4" t="s">
        <v>1828</v>
      </c>
      <c r="AM78" s="4">
        <v>0</v>
      </c>
      <c r="AN78" s="4">
        <v>0</v>
      </c>
      <c r="AO78" s="4">
        <v>0</v>
      </c>
      <c r="AP78" s="4" t="s">
        <v>45</v>
      </c>
      <c r="AQ78" s="4">
        <v>0</v>
      </c>
      <c r="AR78" s="4" t="s">
        <v>1031</v>
      </c>
      <c r="AS78" s="4">
        <v>1</v>
      </c>
      <c r="AT78" s="4">
        <v>0</v>
      </c>
      <c r="AU78" s="4">
        <v>0</v>
      </c>
      <c r="AV78" s="4" t="s">
        <v>45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39">
        <v>0.5</v>
      </c>
      <c r="BH78" s="39">
        <v>0.15</v>
      </c>
      <c r="BI78" s="39">
        <v>2.5000000000000001E-2</v>
      </c>
      <c r="BJ78" s="39" t="s">
        <v>1088</v>
      </c>
      <c r="BK78" s="39">
        <v>1</v>
      </c>
      <c r="BL78" s="39">
        <v>1</v>
      </c>
      <c r="BM78" s="39">
        <v>1</v>
      </c>
    </row>
    <row r="79" spans="1:65" s="16" customFormat="1" x14ac:dyDescent="0.25">
      <c r="A79" s="16" t="s">
        <v>1784</v>
      </c>
      <c r="B79" s="39">
        <v>1</v>
      </c>
      <c r="C79" s="39">
        <v>2</v>
      </c>
      <c r="D79" s="39">
        <v>0</v>
      </c>
      <c r="E79" s="39">
        <v>1</v>
      </c>
      <c r="F79" s="39">
        <v>0</v>
      </c>
      <c r="G79" s="39">
        <v>0</v>
      </c>
      <c r="H79" s="40">
        <f>AVERAGE(169.2,194.5)</f>
        <v>181.85</v>
      </c>
      <c r="I79" s="41">
        <f>AVERAGE(12.22%,12.21%)</f>
        <v>0.12215000000000001</v>
      </c>
      <c r="J79" s="39">
        <v>0.89</v>
      </c>
      <c r="K79" s="39">
        <v>0.32</v>
      </c>
      <c r="L79" s="39">
        <v>1</v>
      </c>
      <c r="M79" s="39">
        <v>1</v>
      </c>
      <c r="N79" s="4" t="s">
        <v>939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1.2</v>
      </c>
      <c r="AA79" s="4" t="s">
        <v>979</v>
      </c>
      <c r="AB79" s="4" t="s">
        <v>981</v>
      </c>
      <c r="AC79" s="4" t="s">
        <v>1069</v>
      </c>
      <c r="AD79" s="39">
        <v>1</v>
      </c>
      <c r="AE79" s="4">
        <v>1.1000000000000001</v>
      </c>
      <c r="AF79" s="4" t="s">
        <v>1753</v>
      </c>
      <c r="AG79" s="4" t="s">
        <v>1782</v>
      </c>
      <c r="AH79" s="4" t="s">
        <v>1783</v>
      </c>
      <c r="AI79" s="4">
        <v>1</v>
      </c>
      <c r="AJ79" s="4" t="s">
        <v>1004</v>
      </c>
      <c r="AK79" s="4">
        <v>0</v>
      </c>
      <c r="AL79" s="4" t="s">
        <v>1828</v>
      </c>
      <c r="AM79" s="4">
        <v>0</v>
      </c>
      <c r="AN79" s="4">
        <v>0</v>
      </c>
      <c r="AO79" s="4">
        <v>0</v>
      </c>
      <c r="AP79" s="4" t="s">
        <v>45</v>
      </c>
      <c r="AQ79" s="4">
        <v>0</v>
      </c>
      <c r="AR79" s="4" t="s">
        <v>1031</v>
      </c>
      <c r="AS79" s="4">
        <v>1</v>
      </c>
      <c r="AT79" s="4">
        <v>0</v>
      </c>
      <c r="AU79" s="4">
        <v>0</v>
      </c>
      <c r="AV79" s="4" t="s">
        <v>45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1</v>
      </c>
      <c r="BD79" s="4">
        <v>0</v>
      </c>
      <c r="BE79" s="4">
        <v>0</v>
      </c>
      <c r="BF79" s="4">
        <v>0</v>
      </c>
      <c r="BG79" s="39">
        <v>0.5</v>
      </c>
      <c r="BH79" s="39">
        <v>0.15</v>
      </c>
      <c r="BI79" s="39">
        <v>2.5000000000000001E-2</v>
      </c>
      <c r="BJ79" s="39" t="s">
        <v>1088</v>
      </c>
      <c r="BK79" s="39">
        <v>1</v>
      </c>
      <c r="BL79" s="39">
        <v>1</v>
      </c>
      <c r="BM79" s="39">
        <v>1</v>
      </c>
    </row>
    <row r="80" spans="1:65" s="16" customFormat="1" x14ac:dyDescent="0.25">
      <c r="A80" s="16" t="s">
        <v>1818</v>
      </c>
      <c r="B80" s="39">
        <v>1</v>
      </c>
      <c r="C80" s="39">
        <v>1.1000000000000001</v>
      </c>
      <c r="D80" s="39">
        <v>0</v>
      </c>
      <c r="E80" s="39">
        <v>1</v>
      </c>
      <c r="F80" s="39">
        <v>0</v>
      </c>
      <c r="G80" s="39">
        <v>2</v>
      </c>
      <c r="H80" s="40">
        <f>AVERAGE(169.2,194.5)</f>
        <v>181.85</v>
      </c>
      <c r="I80" s="41">
        <f>AVERAGE(12.22%,12.21%)</f>
        <v>0.12215000000000001</v>
      </c>
      <c r="J80" s="39">
        <v>0.89</v>
      </c>
      <c r="K80" s="39">
        <v>0.32</v>
      </c>
      <c r="L80" s="39">
        <v>1</v>
      </c>
      <c r="M80" s="39">
        <v>1</v>
      </c>
      <c r="N80" s="4" t="s">
        <v>939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1.2</v>
      </c>
      <c r="AA80" s="4" t="s">
        <v>979</v>
      </c>
      <c r="AB80" s="4" t="s">
        <v>981</v>
      </c>
      <c r="AC80" s="4" t="s">
        <v>1069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1004</v>
      </c>
      <c r="AK80" s="4">
        <v>0</v>
      </c>
      <c r="AL80" s="4" t="s">
        <v>1022</v>
      </c>
      <c r="AM80" s="4">
        <v>0</v>
      </c>
      <c r="AN80" s="4">
        <v>1</v>
      </c>
      <c r="AO80" s="4">
        <v>1</v>
      </c>
      <c r="AP80" s="4" t="s">
        <v>45</v>
      </c>
      <c r="AQ80" s="4">
        <v>0</v>
      </c>
      <c r="AR80" s="4" t="s">
        <v>1029</v>
      </c>
      <c r="AS80" s="4">
        <v>1</v>
      </c>
      <c r="AT80" s="4">
        <v>0</v>
      </c>
      <c r="AU80" s="4">
        <v>0</v>
      </c>
      <c r="AV80" s="4" t="s">
        <v>45</v>
      </c>
      <c r="AW80" s="4">
        <v>0</v>
      </c>
      <c r="AX80" s="4">
        <v>0</v>
      </c>
      <c r="AY80" s="4">
        <v>0</v>
      </c>
      <c r="AZ80" s="4">
        <v>2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39">
        <v>0.25</v>
      </c>
      <c r="BH80" s="39">
        <v>0.1</v>
      </c>
      <c r="BI80" s="39">
        <v>2.5000000000000001E-2</v>
      </c>
      <c r="BJ80" s="39" t="s">
        <v>1087</v>
      </c>
      <c r="BK80" s="39">
        <v>0</v>
      </c>
      <c r="BL80" s="39">
        <v>0</v>
      </c>
      <c r="BM80" s="39">
        <v>0</v>
      </c>
    </row>
    <row r="81" spans="1:65" s="16" customFormat="1" x14ac:dyDescent="0.25">
      <c r="A81" s="16" t="s">
        <v>1811</v>
      </c>
      <c r="B81" s="39">
        <v>1</v>
      </c>
      <c r="C81" s="39">
        <v>1.1000000000000001</v>
      </c>
      <c r="D81" s="39">
        <v>1</v>
      </c>
      <c r="E81" s="39">
        <v>1</v>
      </c>
      <c r="F81" s="39">
        <v>0</v>
      </c>
      <c r="G81" s="39">
        <v>2</v>
      </c>
      <c r="H81" s="40">
        <v>95</v>
      </c>
      <c r="I81" s="41">
        <f>H81/1000/AVERAGE(4.6)</f>
        <v>2.065217391304348E-2</v>
      </c>
      <c r="J81" s="39">
        <v>1.2</v>
      </c>
      <c r="K81" s="39">
        <v>0.32</v>
      </c>
      <c r="L81" s="39">
        <v>1</v>
      </c>
      <c r="M81" s="39">
        <v>1</v>
      </c>
      <c r="N81" s="4" t="s">
        <v>939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979</v>
      </c>
      <c r="AB81" s="4" t="s">
        <v>981</v>
      </c>
      <c r="AC81" s="4" t="s">
        <v>1069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1004</v>
      </c>
      <c r="AK81" s="4">
        <v>0</v>
      </c>
      <c r="AL81" s="4" t="s">
        <v>1022</v>
      </c>
      <c r="AM81" s="4">
        <v>0</v>
      </c>
      <c r="AN81" s="4">
        <v>1</v>
      </c>
      <c r="AO81" s="4">
        <v>1</v>
      </c>
      <c r="AP81" s="4" t="s">
        <v>45</v>
      </c>
      <c r="AQ81" s="4">
        <v>0</v>
      </c>
      <c r="AR81" s="4" t="s">
        <v>674</v>
      </c>
      <c r="AS81" s="4">
        <v>1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1087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1819</v>
      </c>
      <c r="B82" s="39">
        <v>1</v>
      </c>
      <c r="C82" s="39">
        <v>1.1000000000000001</v>
      </c>
      <c r="D82" s="39">
        <v>1</v>
      </c>
      <c r="E82" s="39">
        <v>1</v>
      </c>
      <c r="F82" s="39">
        <v>0</v>
      </c>
      <c r="G82" s="39">
        <v>2</v>
      </c>
      <c r="H82" s="40">
        <f>AVERAGE(169.2,194.5)</f>
        <v>181.85</v>
      </c>
      <c r="I82" s="41">
        <f>AVERAGE(12.22%,12.21%)</f>
        <v>0.12215000000000001</v>
      </c>
      <c r="J82" s="39">
        <v>0.89</v>
      </c>
      <c r="K82" s="39">
        <v>0.32</v>
      </c>
      <c r="L82" s="39">
        <v>1</v>
      </c>
      <c r="M82" s="39">
        <v>1</v>
      </c>
      <c r="N82" s="4" t="s">
        <v>939</v>
      </c>
      <c r="O82" s="4">
        <v>0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>
        <v>1.2</v>
      </c>
      <c r="AA82" s="4" t="s">
        <v>979</v>
      </c>
      <c r="AB82" s="4" t="s">
        <v>981</v>
      </c>
      <c r="AC82" s="4" t="s">
        <v>1069</v>
      </c>
      <c r="AD82" s="39">
        <v>0</v>
      </c>
      <c r="AE82" s="4" t="s">
        <v>45</v>
      </c>
      <c r="AF82" s="4" t="s">
        <v>45</v>
      </c>
      <c r="AG82" s="4" t="s">
        <v>45</v>
      </c>
      <c r="AH82" s="4" t="s">
        <v>45</v>
      </c>
      <c r="AI82" s="4">
        <v>1</v>
      </c>
      <c r="AJ82" s="4" t="s">
        <v>1004</v>
      </c>
      <c r="AK82" s="4">
        <v>0</v>
      </c>
      <c r="AL82" s="4" t="s">
        <v>1022</v>
      </c>
      <c r="AM82" s="4">
        <v>0</v>
      </c>
      <c r="AN82" s="4">
        <v>1</v>
      </c>
      <c r="AO82" s="4">
        <v>1</v>
      </c>
      <c r="AP82" s="4" t="s">
        <v>45</v>
      </c>
      <c r="AQ82" s="4">
        <v>0</v>
      </c>
      <c r="AR82" s="4" t="s">
        <v>674</v>
      </c>
      <c r="AS82" s="4">
        <v>1</v>
      </c>
      <c r="AT82" s="4">
        <v>0</v>
      </c>
      <c r="AU82" s="4">
        <v>0</v>
      </c>
      <c r="AV82" s="4" t="s">
        <v>45</v>
      </c>
      <c r="AW82" s="4">
        <v>0</v>
      </c>
      <c r="AX82" s="4">
        <v>0</v>
      </c>
      <c r="AY82" s="4">
        <v>0</v>
      </c>
      <c r="AZ82" s="4">
        <v>2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0</v>
      </c>
      <c r="BG82" s="39">
        <v>0.25</v>
      </c>
      <c r="BH82" s="39">
        <v>0.1</v>
      </c>
      <c r="BI82" s="39">
        <v>2.5000000000000001E-2</v>
      </c>
      <c r="BJ82" s="39" t="s">
        <v>1087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1756</v>
      </c>
      <c r="B83" s="39">
        <v>1</v>
      </c>
      <c r="C83" s="39">
        <v>1.1000000000000001</v>
      </c>
      <c r="D83" s="39">
        <v>0</v>
      </c>
      <c r="E83" s="39">
        <v>1</v>
      </c>
      <c r="F83" s="39">
        <v>0</v>
      </c>
      <c r="G83" s="39">
        <v>2</v>
      </c>
      <c r="H83" s="40">
        <v>95</v>
      </c>
      <c r="I83" s="41">
        <f>H83/1000/AVERAGE(4.6)</f>
        <v>2.065217391304348E-2</v>
      </c>
      <c r="J83" s="39">
        <v>1.2</v>
      </c>
      <c r="K83" s="39">
        <v>0.32</v>
      </c>
      <c r="L83" s="39">
        <v>1</v>
      </c>
      <c r="M83" s="39">
        <v>1</v>
      </c>
      <c r="N83" s="4" t="s">
        <v>939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 t="s">
        <v>45</v>
      </c>
      <c r="V83" s="4" t="s">
        <v>45</v>
      </c>
      <c r="W83" s="4" t="s">
        <v>45</v>
      </c>
      <c r="X83" s="4" t="s">
        <v>45</v>
      </c>
      <c r="Y83" s="4" t="s">
        <v>45</v>
      </c>
      <c r="Z83" s="4">
        <v>1.2</v>
      </c>
      <c r="AA83" s="4" t="s">
        <v>979</v>
      </c>
      <c r="AB83" s="4" t="s">
        <v>981</v>
      </c>
      <c r="AC83" s="4" t="s">
        <v>1757</v>
      </c>
      <c r="AD83" s="39">
        <v>0</v>
      </c>
      <c r="AE83" s="4" t="s">
        <v>45</v>
      </c>
      <c r="AF83" s="4" t="s">
        <v>45</v>
      </c>
      <c r="AG83" s="4" t="s">
        <v>45</v>
      </c>
      <c r="AH83" s="4" t="s">
        <v>45</v>
      </c>
      <c r="AI83" s="4">
        <v>1</v>
      </c>
      <c r="AJ83" s="4" t="s">
        <v>1004</v>
      </c>
      <c r="AK83" s="4">
        <v>0</v>
      </c>
      <c r="AL83" s="4" t="s">
        <v>1022</v>
      </c>
      <c r="AM83" s="4">
        <v>0</v>
      </c>
      <c r="AN83" s="4">
        <v>1</v>
      </c>
      <c r="AO83" s="4">
        <v>1</v>
      </c>
      <c r="AP83" s="4" t="s">
        <v>45</v>
      </c>
      <c r="AQ83" s="4">
        <v>0</v>
      </c>
      <c r="AR83" s="4" t="s">
        <v>674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2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0.25</v>
      </c>
      <c r="BH83" s="39">
        <v>0.1</v>
      </c>
      <c r="BI83" s="39">
        <v>2.5000000000000001E-2</v>
      </c>
      <c r="BJ83" s="39" t="s">
        <v>1087</v>
      </c>
      <c r="BK83" s="39">
        <v>0</v>
      </c>
      <c r="BL83" s="39">
        <v>0</v>
      </c>
      <c r="BM83" s="39">
        <v>0</v>
      </c>
    </row>
    <row r="84" spans="1:65" s="16" customFormat="1" x14ac:dyDescent="0.25">
      <c r="A84" s="16" t="s">
        <v>1817</v>
      </c>
      <c r="B84" s="39">
        <v>1</v>
      </c>
      <c r="C84" s="39">
        <v>1.1000000000000001</v>
      </c>
      <c r="D84" s="39">
        <v>0</v>
      </c>
      <c r="E84" s="39">
        <v>1</v>
      </c>
      <c r="F84" s="39">
        <v>0</v>
      </c>
      <c r="G84" s="39">
        <v>2</v>
      </c>
      <c r="H84" s="40">
        <f>AVERAGE(169.2,194.5)</f>
        <v>181.85</v>
      </c>
      <c r="I84" s="41">
        <f>AVERAGE(12.22%,12.21%)</f>
        <v>0.12215000000000001</v>
      </c>
      <c r="J84" s="39">
        <v>0.89</v>
      </c>
      <c r="K84" s="39">
        <v>0.32</v>
      </c>
      <c r="L84" s="39">
        <v>1</v>
      </c>
      <c r="M84" s="39">
        <v>1</v>
      </c>
      <c r="N84" s="4" t="s">
        <v>939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>
        <v>1.2</v>
      </c>
      <c r="AA84" s="4" t="s">
        <v>979</v>
      </c>
      <c r="AB84" s="4" t="s">
        <v>981</v>
      </c>
      <c r="AC84" s="4" t="s">
        <v>1069</v>
      </c>
      <c r="AD84" s="39">
        <v>1</v>
      </c>
      <c r="AE84" s="4">
        <v>1.1000000000000001</v>
      </c>
      <c r="AF84" s="4" t="s">
        <v>995</v>
      </c>
      <c r="AG84" s="4" t="s">
        <v>997</v>
      </c>
      <c r="AH84" s="4" t="s">
        <v>953</v>
      </c>
      <c r="AI84" s="4">
        <v>1</v>
      </c>
      <c r="AJ84" s="4" t="s">
        <v>1004</v>
      </c>
      <c r="AK84" s="4">
        <v>0</v>
      </c>
      <c r="AL84" s="4" t="s">
        <v>1094</v>
      </c>
      <c r="AM84" s="4">
        <v>0</v>
      </c>
      <c r="AN84" s="4">
        <v>1</v>
      </c>
      <c r="AO84" s="4">
        <v>1</v>
      </c>
      <c r="AP84" s="4" t="s">
        <v>45</v>
      </c>
      <c r="AQ84" s="4">
        <v>0</v>
      </c>
      <c r="AR84" s="4" t="s">
        <v>1029</v>
      </c>
      <c r="AS84" s="4">
        <v>1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2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1087</v>
      </c>
      <c r="BK84" s="39">
        <v>1</v>
      </c>
      <c r="BL84" s="39">
        <v>0</v>
      </c>
      <c r="BM84" s="39">
        <v>0</v>
      </c>
    </row>
    <row r="85" spans="1:65" s="16" customFormat="1" x14ac:dyDescent="0.25">
      <c r="A85" s="16" t="s">
        <v>1717</v>
      </c>
      <c r="B85" s="39">
        <v>1</v>
      </c>
      <c r="C85" s="39">
        <v>1</v>
      </c>
      <c r="D85" s="39">
        <v>1</v>
      </c>
      <c r="E85" s="39">
        <v>11</v>
      </c>
      <c r="F85" s="39">
        <v>0</v>
      </c>
      <c r="G85" s="39">
        <v>0</v>
      </c>
      <c r="H85" s="40">
        <f>AVERAGE(21.6,12,10,13.1,30.5,38,15)</f>
        <v>20.028571428571428</v>
      </c>
      <c r="I85" s="41">
        <f>AVERAGE(0.54,1.5,1.5,0.86,0.24,0.54,0.85)</f>
        <v>0.86142857142857143</v>
      </c>
      <c r="J85" s="39">
        <v>1.0900000000000001</v>
      </c>
      <c r="K85" s="39" t="s">
        <v>930</v>
      </c>
      <c r="L85" s="39">
        <v>1</v>
      </c>
      <c r="M85" s="39">
        <v>0</v>
      </c>
      <c r="N85" s="4" t="s">
        <v>944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</v>
      </c>
      <c r="AA85" s="4" t="s">
        <v>979</v>
      </c>
      <c r="AB85" s="4" t="s">
        <v>986</v>
      </c>
      <c r="AC85" s="4" t="s">
        <v>1069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1004</v>
      </c>
      <c r="AK85" s="4">
        <v>0</v>
      </c>
      <c r="AL85" s="4" t="s">
        <v>1717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674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</v>
      </c>
      <c r="BI85" s="39">
        <v>0</v>
      </c>
      <c r="BJ85" s="39" t="s">
        <v>1087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1884</v>
      </c>
      <c r="B86" s="39">
        <v>1</v>
      </c>
      <c r="C86" s="39">
        <v>1</v>
      </c>
      <c r="D86" s="39">
        <v>0</v>
      </c>
      <c r="E86" s="39">
        <v>11</v>
      </c>
      <c r="F86" s="39">
        <v>0</v>
      </c>
      <c r="G86" s="39">
        <v>0</v>
      </c>
      <c r="H86" s="40">
        <f>AVERAGE(21.6,12,10,13.1,30.5,38,15)</f>
        <v>20.028571428571428</v>
      </c>
      <c r="I86" s="41">
        <f>AVERAGE(0.54,1.5,1.5,0.86,0.24,0.54,0.85)</f>
        <v>0.86142857142857143</v>
      </c>
      <c r="J86" s="39">
        <v>1.0900000000000001</v>
      </c>
      <c r="K86" s="39" t="s">
        <v>930</v>
      </c>
      <c r="L86" s="39">
        <v>1</v>
      </c>
      <c r="M86" s="39">
        <v>0</v>
      </c>
      <c r="N86" s="4" t="s">
        <v>944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</v>
      </c>
      <c r="AA86" s="4" t="s">
        <v>979</v>
      </c>
      <c r="AB86" s="4" t="s">
        <v>986</v>
      </c>
      <c r="AC86" s="4" t="s">
        <v>1069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1004</v>
      </c>
      <c r="AK86" s="4">
        <v>0</v>
      </c>
      <c r="AL86" s="4" t="s">
        <v>1717</v>
      </c>
      <c r="AM86" s="4">
        <v>0</v>
      </c>
      <c r="AN86" s="4">
        <v>0</v>
      </c>
      <c r="AO86" s="4">
        <v>0</v>
      </c>
      <c r="AP86" s="4" t="s">
        <v>45</v>
      </c>
      <c r="AQ86" s="4">
        <v>0</v>
      </c>
      <c r="AR86" s="4" t="s">
        <v>1031</v>
      </c>
      <c r="AS86" s="4">
        <v>0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0.25</v>
      </c>
      <c r="BH86" s="39">
        <v>0</v>
      </c>
      <c r="BI86" s="39">
        <v>0</v>
      </c>
      <c r="BJ86" s="39" t="s">
        <v>1087</v>
      </c>
      <c r="BK86" s="39">
        <v>0</v>
      </c>
      <c r="BL86" s="39">
        <v>0</v>
      </c>
      <c r="BM86" s="39">
        <v>0</v>
      </c>
    </row>
    <row r="87" spans="1:65" s="16" customFormat="1" ht="15.75" customHeight="1" x14ac:dyDescent="0.25">
      <c r="A87" s="16" t="s">
        <v>1794</v>
      </c>
      <c r="B87" s="39">
        <v>1</v>
      </c>
      <c r="C87" s="39">
        <v>1</v>
      </c>
      <c r="D87" s="39">
        <v>0</v>
      </c>
      <c r="E87" s="39">
        <v>1</v>
      </c>
      <c r="F87" s="39">
        <v>0</v>
      </c>
      <c r="G87" s="39">
        <v>0</v>
      </c>
      <c r="H87" s="40">
        <v>1</v>
      </c>
      <c r="I87" s="41">
        <v>1</v>
      </c>
      <c r="J87" s="39">
        <v>1</v>
      </c>
      <c r="K87" s="39" t="s">
        <v>930</v>
      </c>
      <c r="L87" s="39">
        <v>0</v>
      </c>
      <c r="M87" s="39">
        <v>0</v>
      </c>
      <c r="N87" s="4" t="s">
        <v>939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980</v>
      </c>
      <c r="AB87" s="4" t="s">
        <v>983</v>
      </c>
      <c r="AC87" s="4" t="s">
        <v>1069</v>
      </c>
      <c r="AD87" s="39">
        <v>1</v>
      </c>
      <c r="AE87" s="4">
        <v>0.75</v>
      </c>
      <c r="AF87" s="4" t="s">
        <v>1704</v>
      </c>
      <c r="AG87" s="4" t="s">
        <v>1706</v>
      </c>
      <c r="AH87" s="4" t="s">
        <v>953</v>
      </c>
      <c r="AI87" s="4">
        <v>1</v>
      </c>
      <c r="AJ87" s="4" t="s">
        <v>1004</v>
      </c>
      <c r="AK87" s="4">
        <v>0</v>
      </c>
      <c r="AL87" s="4" t="s">
        <v>1896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1031</v>
      </c>
      <c r="AS87" s="4">
        <v>1</v>
      </c>
      <c r="AT87" s="4">
        <v>0</v>
      </c>
      <c r="AU87" s="4">
        <v>0</v>
      </c>
      <c r="AV87" s="4" t="s">
        <v>45</v>
      </c>
      <c r="AW87" s="4">
        <v>1</v>
      </c>
      <c r="AX87" s="4">
        <v>1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0.25</v>
      </c>
      <c r="BH87" s="39">
        <v>0.1</v>
      </c>
      <c r="BI87" s="39">
        <v>2.5000000000000001E-2</v>
      </c>
      <c r="BJ87" s="39" t="s">
        <v>1087</v>
      </c>
      <c r="BK87" s="39">
        <v>0</v>
      </c>
      <c r="BL87" s="39">
        <v>0</v>
      </c>
      <c r="BM87" s="39">
        <v>0</v>
      </c>
    </row>
    <row r="88" spans="1:65" ht="15.75" customHeight="1" x14ac:dyDescent="0.25">
      <c r="A88" t="s">
        <v>1829</v>
      </c>
      <c r="B88" s="39">
        <v>1</v>
      </c>
      <c r="C88" s="39">
        <v>1</v>
      </c>
      <c r="D88" s="39">
        <v>1</v>
      </c>
      <c r="E88" s="39">
        <v>1</v>
      </c>
      <c r="F88" s="39">
        <v>0</v>
      </c>
      <c r="G88" s="39">
        <v>0</v>
      </c>
      <c r="H88" s="40">
        <v>1</v>
      </c>
      <c r="I88" s="41">
        <v>1</v>
      </c>
      <c r="J88" s="39">
        <v>1</v>
      </c>
      <c r="K88" s="39" t="s">
        <v>930</v>
      </c>
      <c r="L88" s="39">
        <v>0</v>
      </c>
      <c r="M88" s="39">
        <v>0</v>
      </c>
      <c r="N88" s="4" t="s">
        <v>45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 t="s">
        <v>45</v>
      </c>
      <c r="AA88" s="4" t="s">
        <v>45</v>
      </c>
      <c r="AB88" s="4" t="s">
        <v>45</v>
      </c>
      <c r="AC88" s="4" t="s">
        <v>45</v>
      </c>
      <c r="AD88" s="39">
        <v>1</v>
      </c>
      <c r="AE88" s="4">
        <v>0.75</v>
      </c>
      <c r="AF88" s="4" t="s">
        <v>1704</v>
      </c>
      <c r="AG88" s="4" t="s">
        <v>1866</v>
      </c>
      <c r="AH88" s="4" t="s">
        <v>956</v>
      </c>
      <c r="AI88" s="4">
        <v>1</v>
      </c>
      <c r="AJ88" s="4" t="s">
        <v>1004</v>
      </c>
      <c r="AK88" s="4">
        <v>0</v>
      </c>
      <c r="AL88" s="4" t="s">
        <v>1897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674</v>
      </c>
      <c r="AS88" s="4">
        <v>0</v>
      </c>
      <c r="AT88" s="4">
        <v>0</v>
      </c>
      <c r="AU88" s="4">
        <v>0</v>
      </c>
      <c r="AV88" s="4" t="s">
        <v>45</v>
      </c>
      <c r="AW88" s="4">
        <v>1</v>
      </c>
      <c r="AX88" s="4">
        <v>1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0.25</v>
      </c>
      <c r="BH88" s="39">
        <v>0.1</v>
      </c>
      <c r="BI88" s="39">
        <v>2.5000000000000001E-2</v>
      </c>
      <c r="BJ88" s="39" t="s">
        <v>1087</v>
      </c>
      <c r="BK88" s="39">
        <v>0</v>
      </c>
      <c r="BL88" s="39">
        <v>0</v>
      </c>
      <c r="BM88" s="39">
        <v>0</v>
      </c>
    </row>
    <row r="89" spans="1:65" s="16" customFormat="1" ht="15.75" customHeight="1" x14ac:dyDescent="0.25">
      <c r="A89" s="16" t="s">
        <v>1867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f>AVERAGE(21.6,12,10,13.1,30.5,38,15)</f>
        <v>20.028571428571428</v>
      </c>
      <c r="I89" s="41">
        <f>AVERAGE(0.54,1.5,1.5,0.86,0.24,0.54,0.85)</f>
        <v>0.86142857142857143</v>
      </c>
      <c r="J89" s="39">
        <v>1.0900000000000001</v>
      </c>
      <c r="K89" s="39" t="s">
        <v>930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1</v>
      </c>
      <c r="AE89" s="4">
        <v>0.75</v>
      </c>
      <c r="AF89" s="4" t="s">
        <v>1704</v>
      </c>
      <c r="AG89" s="4" t="s">
        <v>1706</v>
      </c>
      <c r="AH89" s="4" t="s">
        <v>956</v>
      </c>
      <c r="AI89" s="4">
        <v>1</v>
      </c>
      <c r="AJ89" s="4" t="s">
        <v>1004</v>
      </c>
      <c r="AK89" s="4">
        <v>0</v>
      </c>
      <c r="AL89" s="4" t="s">
        <v>1705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674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1088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1889</v>
      </c>
      <c r="B90" s="39">
        <v>1</v>
      </c>
      <c r="C90" s="39">
        <v>1</v>
      </c>
      <c r="D90" s="39">
        <v>1</v>
      </c>
      <c r="E90" s="39">
        <v>1</v>
      </c>
      <c r="F90" s="39">
        <v>0</v>
      </c>
      <c r="G90" s="39">
        <v>0</v>
      </c>
      <c r="H90" s="40">
        <f>AVERAGE(21.6,12,10,13.1,30.5,38,15)</f>
        <v>20.028571428571428</v>
      </c>
      <c r="I90" s="41">
        <f>AVERAGE(0.54,1.5,1.5,0.86,0.24,0.54,0.85)</f>
        <v>0.86142857142857143</v>
      </c>
      <c r="J90" s="39">
        <v>1.0900000000000001</v>
      </c>
      <c r="K90" s="39" t="s">
        <v>930</v>
      </c>
      <c r="L90" s="39">
        <v>0</v>
      </c>
      <c r="M90" s="39">
        <v>0</v>
      </c>
      <c r="N90" s="4" t="s">
        <v>45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 t="s">
        <v>45</v>
      </c>
      <c r="AA90" s="4" t="s">
        <v>45</v>
      </c>
      <c r="AB90" s="4" t="s">
        <v>45</v>
      </c>
      <c r="AC90" s="4" t="s">
        <v>45</v>
      </c>
      <c r="AD90" s="39">
        <v>1</v>
      </c>
      <c r="AE90" s="4">
        <v>0.75</v>
      </c>
      <c r="AF90" s="4" t="s">
        <v>1704</v>
      </c>
      <c r="AG90" s="4" t="s">
        <v>1706</v>
      </c>
      <c r="AH90" s="4" t="s">
        <v>956</v>
      </c>
      <c r="AI90" s="4">
        <v>1</v>
      </c>
      <c r="AJ90" s="4" t="s">
        <v>1004</v>
      </c>
      <c r="AK90" s="4">
        <v>0</v>
      </c>
      <c r="AL90" s="4" t="s">
        <v>1705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674</v>
      </c>
      <c r="AS90" s="4">
        <v>0</v>
      </c>
      <c r="AT90" s="4">
        <v>0</v>
      </c>
      <c r="AU90" s="4">
        <v>0</v>
      </c>
      <c r="AV90" s="4" t="s">
        <v>45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1088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1888</v>
      </c>
      <c r="B91" s="39">
        <v>1</v>
      </c>
      <c r="C91" s="39">
        <v>1</v>
      </c>
      <c r="D91" s="39">
        <v>1</v>
      </c>
      <c r="E91" s="39">
        <v>1</v>
      </c>
      <c r="F91" s="39">
        <v>0</v>
      </c>
      <c r="G91" s="39">
        <v>0</v>
      </c>
      <c r="H91" s="40">
        <f>AVERAGE(21.6,12,10,13.1,30.5,38,15)</f>
        <v>20.028571428571428</v>
      </c>
      <c r="I91" s="41">
        <f>AVERAGE(0.54,1.5,1.5,0.86,0.24,0.54,0.85)</f>
        <v>0.86142857142857143</v>
      </c>
      <c r="J91" s="39">
        <v>1.0900000000000001</v>
      </c>
      <c r="K91" s="39" t="s">
        <v>930</v>
      </c>
      <c r="L91" s="39">
        <v>0</v>
      </c>
      <c r="M91" s="39">
        <v>0</v>
      </c>
      <c r="N91" s="4" t="s">
        <v>944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 t="s">
        <v>45</v>
      </c>
      <c r="V91" s="4" t="s">
        <v>45</v>
      </c>
      <c r="W91" s="4" t="s">
        <v>45</v>
      </c>
      <c r="X91" s="4" t="s">
        <v>45</v>
      </c>
      <c r="Y91" s="4" t="s">
        <v>45</v>
      </c>
      <c r="Z91" s="4">
        <v>1</v>
      </c>
      <c r="AA91" s="4" t="s">
        <v>977</v>
      </c>
      <c r="AB91" s="4" t="s">
        <v>982</v>
      </c>
      <c r="AC91" s="4" t="s">
        <v>1069</v>
      </c>
      <c r="AD91" s="39">
        <v>1</v>
      </c>
      <c r="AE91" s="4">
        <v>0.75</v>
      </c>
      <c r="AF91" s="4" t="s">
        <v>1704</v>
      </c>
      <c r="AG91" s="4" t="s">
        <v>1706</v>
      </c>
      <c r="AH91" s="4" t="s">
        <v>956</v>
      </c>
      <c r="AI91" s="4">
        <v>1</v>
      </c>
      <c r="AJ91" s="4" t="s">
        <v>1004</v>
      </c>
      <c r="AK91" s="4">
        <v>0</v>
      </c>
      <c r="AL91" s="4" t="s">
        <v>1898</v>
      </c>
      <c r="AM91" s="4">
        <v>0</v>
      </c>
      <c r="AN91" s="4">
        <v>0</v>
      </c>
      <c r="AO91" s="4">
        <v>0</v>
      </c>
      <c r="AP91" s="4" t="s">
        <v>45</v>
      </c>
      <c r="AQ91" s="4">
        <v>0</v>
      </c>
      <c r="AR91" s="4" t="s">
        <v>674</v>
      </c>
      <c r="AS91" s="4">
        <v>0</v>
      </c>
      <c r="AT91" s="4">
        <v>0</v>
      </c>
      <c r="AU91" s="4">
        <v>0</v>
      </c>
      <c r="AV91" s="4" t="s">
        <v>45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1088</v>
      </c>
      <c r="BK91" s="39">
        <v>0</v>
      </c>
      <c r="BL91" s="39">
        <v>0</v>
      </c>
      <c r="BM91" s="39">
        <v>0</v>
      </c>
    </row>
    <row r="92" spans="1:65" s="16" customFormat="1" ht="15.75" customHeight="1" x14ac:dyDescent="0.25">
      <c r="A92" s="16" t="s">
        <v>1827</v>
      </c>
      <c r="B92" s="39">
        <v>2</v>
      </c>
      <c r="C92" s="39">
        <v>1</v>
      </c>
      <c r="D92" s="39">
        <v>0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930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>
        <v>3</v>
      </c>
      <c r="V92" s="4">
        <v>1.3</v>
      </c>
      <c r="W92" s="4" t="s">
        <v>970</v>
      </c>
      <c r="X92" s="4" t="s">
        <v>1799</v>
      </c>
      <c r="Y92" s="4" t="s">
        <v>1324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0</v>
      </c>
      <c r="AE92" s="4" t="s">
        <v>45</v>
      </c>
      <c r="AF92" s="4" t="s">
        <v>45</v>
      </c>
      <c r="AG92" s="4" t="s">
        <v>45</v>
      </c>
      <c r="AH92" s="4" t="s">
        <v>45</v>
      </c>
      <c r="AI92" s="4">
        <v>1</v>
      </c>
      <c r="AJ92" s="4" t="s">
        <v>1004</v>
      </c>
      <c r="AK92" s="4">
        <v>0</v>
      </c>
      <c r="AL92" s="4" t="s">
        <v>1902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1031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1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1088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1894</v>
      </c>
      <c r="B93" s="39">
        <v>2</v>
      </c>
      <c r="C93" s="39">
        <v>2</v>
      </c>
      <c r="D93" s="39">
        <v>0</v>
      </c>
      <c r="E93" s="39">
        <v>1</v>
      </c>
      <c r="F93" s="39">
        <v>0</v>
      </c>
      <c r="G93" s="39">
        <v>0</v>
      </c>
      <c r="H93" s="40">
        <f>AVERAGE(204.4,4.35)</f>
        <v>104.375</v>
      </c>
      <c r="I93" s="41">
        <f>AVERAGE(5.3%,380%)</f>
        <v>1.9264999999999999</v>
      </c>
      <c r="J93" s="39">
        <v>1</v>
      </c>
      <c r="K93" s="39">
        <v>0.7</v>
      </c>
      <c r="L93" s="39">
        <v>0</v>
      </c>
      <c r="M93" s="39">
        <v>0</v>
      </c>
      <c r="N93" s="4" t="s">
        <v>939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0.9</v>
      </c>
      <c r="AA93" s="4" t="s">
        <v>1815</v>
      </c>
      <c r="AB93" s="4" t="s">
        <v>1816</v>
      </c>
      <c r="AC93" s="4" t="s">
        <v>1069</v>
      </c>
      <c r="AD93" s="4">
        <v>1</v>
      </c>
      <c r="AE93" s="4">
        <v>0.8</v>
      </c>
      <c r="AF93" s="4" t="s">
        <v>970</v>
      </c>
      <c r="AG93" s="4" t="s">
        <v>1814</v>
      </c>
      <c r="AH93" s="4" t="s">
        <v>953</v>
      </c>
      <c r="AI93" s="4">
        <v>1</v>
      </c>
      <c r="AJ93" s="4" t="s">
        <v>1004</v>
      </c>
      <c r="AK93" s="4">
        <v>0</v>
      </c>
      <c r="AL93" s="4" t="s">
        <v>1893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1031</v>
      </c>
      <c r="AS93" s="4">
        <v>1</v>
      </c>
      <c r="AT93" s="4">
        <v>0</v>
      </c>
      <c r="AU93" s="4">
        <v>0</v>
      </c>
      <c r="AV93" s="4" t="s">
        <v>45</v>
      </c>
      <c r="AW93" s="4">
        <v>1</v>
      </c>
      <c r="AX93" s="4">
        <v>1</v>
      </c>
      <c r="AY93" s="4">
        <v>1</v>
      </c>
      <c r="AZ93" s="4">
        <v>0</v>
      </c>
      <c r="BA93" s="4">
        <v>1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1088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1900</v>
      </c>
      <c r="B94" s="39">
        <v>2</v>
      </c>
      <c r="C94" s="39">
        <v>2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>
        <v>0.7</v>
      </c>
      <c r="L94" s="39">
        <v>0</v>
      </c>
      <c r="M94" s="39">
        <v>0</v>
      </c>
      <c r="N94" s="4" t="s">
        <v>939</v>
      </c>
      <c r="O94" s="4">
        <v>0</v>
      </c>
      <c r="P94" s="4">
        <v>0</v>
      </c>
      <c r="Q94" s="4" t="s">
        <v>45</v>
      </c>
      <c r="R94" s="4" t="s">
        <v>45</v>
      </c>
      <c r="S94" s="4" t="s">
        <v>45</v>
      </c>
      <c r="T94" s="4" t="s">
        <v>45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1815</v>
      </c>
      <c r="AB94" s="4" t="s">
        <v>1816</v>
      </c>
      <c r="AC94" s="4" t="s">
        <v>1069</v>
      </c>
      <c r="AD94" s="4">
        <v>1</v>
      </c>
      <c r="AE94" s="4">
        <v>0.8</v>
      </c>
      <c r="AF94" s="4" t="s">
        <v>970</v>
      </c>
      <c r="AG94" s="4" t="s">
        <v>1814</v>
      </c>
      <c r="AH94" s="4" t="s">
        <v>1813</v>
      </c>
      <c r="AI94" s="4">
        <v>1</v>
      </c>
      <c r="AJ94" s="4" t="s">
        <v>1004</v>
      </c>
      <c r="AK94" s="4">
        <v>0</v>
      </c>
      <c r="AL94" s="4" t="s">
        <v>1893</v>
      </c>
      <c r="AM94" s="4">
        <v>0</v>
      </c>
      <c r="AN94" s="4">
        <v>0</v>
      </c>
      <c r="AO94" s="4">
        <v>0</v>
      </c>
      <c r="AP94" s="4" t="s">
        <v>45</v>
      </c>
      <c r="AQ94" s="4">
        <v>0</v>
      </c>
      <c r="AR94" s="4" t="s">
        <v>1031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1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1088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1718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941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980</v>
      </c>
      <c r="AB95" s="4" t="s">
        <v>983</v>
      </c>
      <c r="AC95" s="4" t="s">
        <v>1070</v>
      </c>
      <c r="AD95" s="39">
        <v>1</v>
      </c>
      <c r="AE95" s="4">
        <v>0.7</v>
      </c>
      <c r="AF95" s="4" t="s">
        <v>1753</v>
      </c>
      <c r="AG95" s="4" t="s">
        <v>998</v>
      </c>
      <c r="AH95" s="4" t="s">
        <v>953</v>
      </c>
      <c r="AI95" s="4">
        <v>1</v>
      </c>
      <c r="AJ95" s="4" t="s">
        <v>1005</v>
      </c>
      <c r="AK95" s="4">
        <v>0</v>
      </c>
      <c r="AL95" s="4" t="s">
        <v>1011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1031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1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1085</v>
      </c>
      <c r="BK95" s="39">
        <v>0</v>
      </c>
      <c r="BL95" s="39">
        <v>1</v>
      </c>
      <c r="BM95" s="39">
        <v>1</v>
      </c>
    </row>
    <row r="96" spans="1:65" s="16" customFormat="1" ht="15.75" customHeight="1" x14ac:dyDescent="0.25">
      <c r="A96" s="16" t="s">
        <v>1764</v>
      </c>
      <c r="B96" s="39">
        <v>2</v>
      </c>
      <c r="C96" s="39">
        <v>2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930</v>
      </c>
      <c r="L96" s="39">
        <v>1</v>
      </c>
      <c r="M96" s="39">
        <v>0</v>
      </c>
      <c r="N96" s="4" t="s">
        <v>944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980</v>
      </c>
      <c r="AB96" s="4" t="s">
        <v>983</v>
      </c>
      <c r="AC96" s="4" t="s">
        <v>1069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1002</v>
      </c>
      <c r="AK96" s="4">
        <v>0</v>
      </c>
      <c r="AL96" s="4" t="s">
        <v>1901</v>
      </c>
      <c r="AM96" s="4">
        <v>0</v>
      </c>
      <c r="AN96" s="4">
        <v>0</v>
      </c>
      <c r="AO96" s="4">
        <v>0.3</v>
      </c>
      <c r="AP96" s="4" t="s">
        <v>45</v>
      </c>
      <c r="AQ96" s="4">
        <v>0</v>
      </c>
      <c r="AR96" s="4" t="s">
        <v>1031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1085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1808</v>
      </c>
      <c r="B97" s="39">
        <v>2</v>
      </c>
      <c r="C97" s="39">
        <v>2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930</v>
      </c>
      <c r="L97" s="39">
        <v>1</v>
      </c>
      <c r="M97" s="39">
        <v>0</v>
      </c>
      <c r="N97" s="4" t="s">
        <v>943</v>
      </c>
      <c r="O97" s="4">
        <v>0</v>
      </c>
      <c r="P97" s="4">
        <v>1</v>
      </c>
      <c r="Q97" s="4">
        <v>0.9</v>
      </c>
      <c r="R97" s="4" t="s">
        <v>955</v>
      </c>
      <c r="S97" s="4" t="s">
        <v>957</v>
      </c>
      <c r="T97" s="4" t="s">
        <v>956</v>
      </c>
      <c r="U97" s="4">
        <v>2</v>
      </c>
      <c r="V97" s="4">
        <v>0.6</v>
      </c>
      <c r="W97" s="4" t="s">
        <v>970</v>
      </c>
      <c r="X97" s="4" t="s">
        <v>971</v>
      </c>
      <c r="Y97" s="4" t="s">
        <v>953</v>
      </c>
      <c r="Z97" s="4">
        <v>0.85</v>
      </c>
      <c r="AA97" s="4" t="s">
        <v>980</v>
      </c>
      <c r="AB97" s="4" t="s">
        <v>983</v>
      </c>
      <c r="AC97" s="4" t="s">
        <v>1069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1001</v>
      </c>
      <c r="AK97" s="4">
        <v>0</v>
      </c>
      <c r="AL97" s="4" t="s">
        <v>1830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1029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0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1085</v>
      </c>
      <c r="BK97" s="39">
        <v>0</v>
      </c>
      <c r="BL97" s="39">
        <v>1</v>
      </c>
      <c r="BM97" s="39">
        <v>0</v>
      </c>
    </row>
    <row r="98" spans="1:65" s="16" customFormat="1" ht="15.75" customHeight="1" x14ac:dyDescent="0.25">
      <c r="A98" s="16" t="s">
        <v>1810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930</v>
      </c>
      <c r="L98" s="39">
        <v>1</v>
      </c>
      <c r="M98" s="39">
        <v>0</v>
      </c>
      <c r="N98" s="4" t="s">
        <v>943</v>
      </c>
      <c r="O98" s="4">
        <v>0</v>
      </c>
      <c r="P98" s="4">
        <v>1</v>
      </c>
      <c r="Q98" s="4">
        <v>0.9</v>
      </c>
      <c r="R98" s="4" t="s">
        <v>955</v>
      </c>
      <c r="S98" s="4" t="s">
        <v>957</v>
      </c>
      <c r="T98" s="4" t="s">
        <v>956</v>
      </c>
      <c r="U98" s="4">
        <v>2</v>
      </c>
      <c r="V98" s="4">
        <v>0.6</v>
      </c>
      <c r="W98" s="4" t="s">
        <v>970</v>
      </c>
      <c r="X98" s="4" t="s">
        <v>971</v>
      </c>
      <c r="Y98" s="4" t="s">
        <v>953</v>
      </c>
      <c r="Z98" s="4">
        <v>0.85</v>
      </c>
      <c r="AA98" s="4" t="s">
        <v>980</v>
      </c>
      <c r="AB98" s="4" t="s">
        <v>983</v>
      </c>
      <c r="AC98" s="4" t="s">
        <v>1069</v>
      </c>
      <c r="AD98" s="39">
        <v>1</v>
      </c>
      <c r="AE98" s="4">
        <v>0.65</v>
      </c>
      <c r="AF98" s="4" t="s">
        <v>1753</v>
      </c>
      <c r="AG98" s="4" t="s">
        <v>998</v>
      </c>
      <c r="AH98" s="4" t="s">
        <v>953</v>
      </c>
      <c r="AI98" s="4">
        <v>1.2</v>
      </c>
      <c r="AJ98" s="4" t="s">
        <v>1001</v>
      </c>
      <c r="AK98" s="4">
        <v>0</v>
      </c>
      <c r="AL98" s="4" t="s">
        <v>1809</v>
      </c>
      <c r="AM98" s="4">
        <v>0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1029</v>
      </c>
      <c r="AS98" s="4">
        <v>0</v>
      </c>
      <c r="AT98" s="4">
        <v>0</v>
      </c>
      <c r="AU98" s="4">
        <v>0</v>
      </c>
      <c r="AV98" s="4" t="s">
        <v>45</v>
      </c>
      <c r="AW98" s="4">
        <v>1</v>
      </c>
      <c r="AX98" s="4">
        <v>0</v>
      </c>
      <c r="AY98" s="4">
        <v>1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1091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1758</v>
      </c>
      <c r="B99" s="39">
        <v>2</v>
      </c>
      <c r="C99" s="39">
        <v>2</v>
      </c>
      <c r="D99" s="39">
        <v>0</v>
      </c>
      <c r="E99" s="39">
        <v>1</v>
      </c>
      <c r="F99" s="39">
        <v>0</v>
      </c>
      <c r="G99" s="39">
        <v>0</v>
      </c>
      <c r="H99" s="40">
        <v>1000</v>
      </c>
      <c r="I99" s="41">
        <v>0.3</v>
      </c>
      <c r="J99" s="39">
        <v>1.3</v>
      </c>
      <c r="K99" s="39" t="s">
        <v>930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980</v>
      </c>
      <c r="AB99" s="4" t="s">
        <v>983</v>
      </c>
      <c r="AC99" s="4" t="s">
        <v>1069</v>
      </c>
      <c r="AD99" s="39">
        <v>1</v>
      </c>
      <c r="AE99" s="4">
        <v>0.65</v>
      </c>
      <c r="AF99" s="4" t="s">
        <v>994</v>
      </c>
      <c r="AG99" s="4" t="s">
        <v>1759</v>
      </c>
      <c r="AH99" s="4" t="s">
        <v>953</v>
      </c>
      <c r="AI99" s="4">
        <v>1.2</v>
      </c>
      <c r="AJ99" s="4" t="s">
        <v>1002</v>
      </c>
      <c r="AK99" s="4">
        <v>0</v>
      </c>
      <c r="AL99" s="4" t="s">
        <v>1020</v>
      </c>
      <c r="AM99" s="4">
        <v>0</v>
      </c>
      <c r="AN99" s="4">
        <v>0.1</v>
      </c>
      <c r="AO99" s="4">
        <v>0.3</v>
      </c>
      <c r="AP99" s="4">
        <v>0.5</v>
      </c>
      <c r="AQ99" s="4">
        <v>0</v>
      </c>
      <c r="AR99" s="4" t="s">
        <v>1029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1085</v>
      </c>
      <c r="BK99" s="39">
        <v>1</v>
      </c>
      <c r="BL99" s="39">
        <v>0</v>
      </c>
      <c r="BM99" s="39">
        <v>1</v>
      </c>
    </row>
    <row r="100" spans="1:65" s="16" customFormat="1" ht="15.75" customHeight="1" x14ac:dyDescent="0.25">
      <c r="A100" s="16" t="s">
        <v>1825</v>
      </c>
      <c r="B100" s="39">
        <v>2</v>
      </c>
      <c r="C100" s="39">
        <v>2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930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980</v>
      </c>
      <c r="AB100" s="4" t="s">
        <v>983</v>
      </c>
      <c r="AC100" s="4" t="s">
        <v>1069</v>
      </c>
      <c r="AD100" s="39">
        <v>1</v>
      </c>
      <c r="AE100" s="4">
        <v>0.65</v>
      </c>
      <c r="AF100" s="4" t="s">
        <v>994</v>
      </c>
      <c r="AG100" s="4" t="s">
        <v>1759</v>
      </c>
      <c r="AH100" s="4" t="s">
        <v>953</v>
      </c>
      <c r="AI100" s="4">
        <v>1.2</v>
      </c>
      <c r="AJ100" s="4" t="s">
        <v>1002</v>
      </c>
      <c r="AK100" s="4">
        <v>0</v>
      </c>
      <c r="AL100" s="4" t="s">
        <v>1020</v>
      </c>
      <c r="AM100" s="4">
        <v>0</v>
      </c>
      <c r="AN100" s="4">
        <v>0.1</v>
      </c>
      <c r="AO100" s="4">
        <v>0.3</v>
      </c>
      <c r="AP100" s="4">
        <v>0.5</v>
      </c>
      <c r="AQ100" s="4">
        <v>0</v>
      </c>
      <c r="AR100" s="4" t="s">
        <v>1029</v>
      </c>
      <c r="AS100" s="4">
        <v>1</v>
      </c>
      <c r="AT100" s="4">
        <v>0</v>
      </c>
      <c r="AU100" s="4">
        <v>0</v>
      </c>
      <c r="AV100" s="4" t="s">
        <v>45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1085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1899</v>
      </c>
      <c r="B101" s="39">
        <v>2</v>
      </c>
      <c r="C101" s="39">
        <v>2</v>
      </c>
      <c r="D101" s="39">
        <v>0</v>
      </c>
      <c r="E101" s="39">
        <v>1</v>
      </c>
      <c r="F101" s="39">
        <v>1</v>
      </c>
      <c r="G101" s="39">
        <v>1</v>
      </c>
      <c r="H101" s="40">
        <v>1</v>
      </c>
      <c r="I101" s="41">
        <v>1</v>
      </c>
      <c r="J101" s="39">
        <v>1</v>
      </c>
      <c r="K101" s="39" t="s">
        <v>930</v>
      </c>
      <c r="L101" s="39">
        <v>0</v>
      </c>
      <c r="M101" s="39">
        <v>0</v>
      </c>
      <c r="N101" s="4" t="s">
        <v>458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970</v>
      </c>
      <c r="X101" s="4" t="s">
        <v>1706</v>
      </c>
      <c r="Y101" s="4" t="s">
        <v>1792</v>
      </c>
      <c r="Z101" s="4">
        <v>0.7</v>
      </c>
      <c r="AA101" s="4" t="s">
        <v>980</v>
      </c>
      <c r="AB101" s="4" t="s">
        <v>983</v>
      </c>
      <c r="AC101" s="4" t="s">
        <v>1069</v>
      </c>
      <c r="AD101" s="39">
        <v>1</v>
      </c>
      <c r="AE101" s="4">
        <v>0.65</v>
      </c>
      <c r="AF101" s="4" t="s">
        <v>1753</v>
      </c>
      <c r="AG101" s="4" t="s">
        <v>998</v>
      </c>
      <c r="AH101" s="4" t="s">
        <v>953</v>
      </c>
      <c r="AI101" s="4">
        <v>1.2</v>
      </c>
      <c r="AJ101" s="4" t="s">
        <v>1005</v>
      </c>
      <c r="AK101" s="4">
        <v>0</v>
      </c>
      <c r="AL101" s="4" t="s">
        <v>1012</v>
      </c>
      <c r="AM101" s="4">
        <v>1</v>
      </c>
      <c r="AN101" s="4">
        <v>1</v>
      </c>
      <c r="AO101" s="4">
        <v>1</v>
      </c>
      <c r="AP101" s="4">
        <v>1</v>
      </c>
      <c r="AQ101" s="4">
        <v>0</v>
      </c>
      <c r="AR101" s="4" t="s">
        <v>1031</v>
      </c>
      <c r="AS101" s="4">
        <v>1</v>
      </c>
      <c r="AT101" s="4">
        <v>0</v>
      </c>
      <c r="AU101" s="4">
        <v>0</v>
      </c>
      <c r="AV101" s="4" t="s">
        <v>45</v>
      </c>
      <c r="AW101" s="4">
        <v>1</v>
      </c>
      <c r="AX101" s="4">
        <v>1</v>
      </c>
      <c r="AY101" s="4">
        <v>1</v>
      </c>
      <c r="AZ101" s="4">
        <v>2</v>
      </c>
      <c r="BA101" s="4">
        <v>0</v>
      </c>
      <c r="BB101" s="4">
        <v>0</v>
      </c>
      <c r="BC101" s="4">
        <v>1</v>
      </c>
      <c r="BD101" s="4">
        <v>0</v>
      </c>
      <c r="BE101" s="4">
        <v>0</v>
      </c>
      <c r="BF101" s="4">
        <v>0</v>
      </c>
      <c r="BG101" s="39">
        <v>0.25</v>
      </c>
      <c r="BH101" s="39">
        <v>0.25</v>
      </c>
      <c r="BI101" s="39">
        <v>2.5000000000000001E-2</v>
      </c>
      <c r="BJ101" s="39" t="s">
        <v>1085</v>
      </c>
      <c r="BK101" s="39">
        <v>1</v>
      </c>
      <c r="BL101" s="39">
        <v>0</v>
      </c>
      <c r="BM101" s="39">
        <v>1</v>
      </c>
    </row>
    <row r="102" spans="1:65" s="16" customFormat="1" x14ac:dyDescent="0.25">
      <c r="A102" s="16" t="s">
        <v>1844</v>
      </c>
      <c r="B102" s="39">
        <v>2</v>
      </c>
      <c r="C102" s="39">
        <v>1.25</v>
      </c>
      <c r="D102" s="39">
        <v>0</v>
      </c>
      <c r="E102" s="39">
        <v>1</v>
      </c>
      <c r="F102" s="39">
        <v>1</v>
      </c>
      <c r="G102" s="39">
        <v>1</v>
      </c>
      <c r="H102" s="40">
        <f>AVERAGE(21.6,12,10,13.1,30.5,38,15)</f>
        <v>20.028571428571428</v>
      </c>
      <c r="I102" s="41">
        <f>AVERAGE(0.54,1.5,1.5,0.86,0.24,0.54,0.85)</f>
        <v>0.86142857142857143</v>
      </c>
      <c r="J102" s="39">
        <v>1.0900000000000001</v>
      </c>
      <c r="K102" s="42">
        <f>AVERAGE(0.13,0.106,0.134,0.129)</f>
        <v>0.12475</v>
      </c>
      <c r="L102" s="39">
        <v>0</v>
      </c>
      <c r="M102" s="39">
        <v>0</v>
      </c>
      <c r="N102" s="4" t="s">
        <v>74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0.7</v>
      </c>
      <c r="AA102" s="4" t="s">
        <v>980</v>
      </c>
      <c r="AB102" s="4" t="s">
        <v>984</v>
      </c>
      <c r="AC102" s="4" t="s">
        <v>1321</v>
      </c>
      <c r="AD102" s="39">
        <v>1</v>
      </c>
      <c r="AE102" s="4">
        <v>0.65</v>
      </c>
      <c r="AF102" s="4" t="s">
        <v>1753</v>
      </c>
      <c r="AG102" s="4" t="s">
        <v>998</v>
      </c>
      <c r="AH102" s="4" t="s">
        <v>1320</v>
      </c>
      <c r="AI102" s="4">
        <v>1.2</v>
      </c>
      <c r="AJ102" s="4" t="s">
        <v>1001</v>
      </c>
      <c r="AK102" s="4">
        <v>0</v>
      </c>
      <c r="AL102" s="4" t="s">
        <v>1012</v>
      </c>
      <c r="AM102" s="4">
        <v>1</v>
      </c>
      <c r="AN102" s="4">
        <v>0.1</v>
      </c>
      <c r="AO102" s="4">
        <v>0.3</v>
      </c>
      <c r="AP102" s="4">
        <v>1</v>
      </c>
      <c r="AQ102" s="4">
        <v>0</v>
      </c>
      <c r="AR102" s="4" t="s">
        <v>1031</v>
      </c>
      <c r="AS102" s="4">
        <v>1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0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1.25</v>
      </c>
      <c r="BH102" s="39">
        <v>0.25</v>
      </c>
      <c r="BI102" s="39">
        <v>2.5000000000000001E-2</v>
      </c>
      <c r="BJ102" s="39" t="s">
        <v>1085</v>
      </c>
      <c r="BK102" s="39">
        <v>0</v>
      </c>
      <c r="BL102" s="39">
        <v>0</v>
      </c>
      <c r="BM102" s="39">
        <v>0</v>
      </c>
    </row>
    <row r="103" spans="1:65" s="16" customFormat="1" ht="15.75" customHeight="1" x14ac:dyDescent="0.25">
      <c r="A103" s="16" t="s">
        <v>1843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1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>AVERAGE(0.13,0.106,0.134,0.129)</f>
        <v>0.12475</v>
      </c>
      <c r="L103" s="39">
        <v>0</v>
      </c>
      <c r="M103" s="39">
        <v>0</v>
      </c>
      <c r="N103" s="4" t="s">
        <v>74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>
        <v>3</v>
      </c>
      <c r="V103" s="4">
        <v>0.6</v>
      </c>
      <c r="W103" s="4" t="s">
        <v>970</v>
      </c>
      <c r="X103" s="4" t="s">
        <v>1791</v>
      </c>
      <c r="Y103" s="4" t="s">
        <v>1792</v>
      </c>
      <c r="Z103" s="4">
        <v>0.7</v>
      </c>
      <c r="AA103" s="4" t="s">
        <v>980</v>
      </c>
      <c r="AB103" s="4" t="s">
        <v>983</v>
      </c>
      <c r="AC103" s="4" t="s">
        <v>1069</v>
      </c>
      <c r="AD103" s="39">
        <v>1</v>
      </c>
      <c r="AE103" s="4">
        <v>0.65</v>
      </c>
      <c r="AF103" s="4" t="s">
        <v>1753</v>
      </c>
      <c r="AG103" s="4" t="s">
        <v>998</v>
      </c>
      <c r="AH103" s="4" t="s">
        <v>953</v>
      </c>
      <c r="AI103" s="4">
        <v>1.2</v>
      </c>
      <c r="AJ103" s="4" t="s">
        <v>1001</v>
      </c>
      <c r="AK103" s="4">
        <v>0</v>
      </c>
      <c r="AL103" s="4" t="s">
        <v>1012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1031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1.25</v>
      </c>
      <c r="BH103" s="39">
        <v>0.25</v>
      </c>
      <c r="BI103" s="39">
        <v>2.5000000000000001E-2</v>
      </c>
      <c r="BJ103" s="39" t="s">
        <v>1085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1793</v>
      </c>
      <c r="B104" s="39">
        <v>0</v>
      </c>
      <c r="C104" s="39">
        <v>1.25</v>
      </c>
      <c r="D104" s="39">
        <v>0</v>
      </c>
      <c r="E104" s="39">
        <v>1</v>
      </c>
      <c r="F104" s="39">
        <v>0</v>
      </c>
      <c r="G104" s="39">
        <v>0</v>
      </c>
      <c r="H104" s="40">
        <f t="shared" ref="H104" si="4">AVERAGE(21.6,12,10,13.1,30.5,38,15)</f>
        <v>20.028571428571428</v>
      </c>
      <c r="I104" s="41">
        <f t="shared" ref="I104" si="5">AVERAGE(0.54,1.5,1.5,0.86,0.24,0.54,0.85)</f>
        <v>0.86142857142857143</v>
      </c>
      <c r="J104" s="39">
        <v>1.0900000000000001</v>
      </c>
      <c r="K104" s="39" t="s">
        <v>930</v>
      </c>
      <c r="L104" s="39">
        <v>0</v>
      </c>
      <c r="M104" s="39">
        <v>0</v>
      </c>
      <c r="N104" s="4" t="s">
        <v>940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0.9</v>
      </c>
      <c r="AA104" s="4" t="s">
        <v>980</v>
      </c>
      <c r="AB104" s="4" t="s">
        <v>985</v>
      </c>
      <c r="AC104" s="4" t="s">
        <v>1069</v>
      </c>
      <c r="AD104" s="39">
        <v>0</v>
      </c>
      <c r="AE104" s="4" t="s">
        <v>45</v>
      </c>
      <c r="AF104" s="4" t="s">
        <v>45</v>
      </c>
      <c r="AG104" s="4" t="s">
        <v>45</v>
      </c>
      <c r="AH104" s="4" t="s">
        <v>45</v>
      </c>
      <c r="AI104" s="4">
        <v>1</v>
      </c>
      <c r="AJ104" s="4" t="s">
        <v>1001</v>
      </c>
      <c r="AK104" s="4">
        <v>0</v>
      </c>
      <c r="AL104" s="4" t="s">
        <v>1012</v>
      </c>
      <c r="AM104" s="4">
        <v>0</v>
      </c>
      <c r="AN104" s="4">
        <v>0</v>
      </c>
      <c r="AO104" s="4">
        <v>0</v>
      </c>
      <c r="AP104" s="4">
        <v>0.5</v>
      </c>
      <c r="AQ104" s="4">
        <v>1</v>
      </c>
      <c r="AR104" s="4" t="s">
        <v>1031</v>
      </c>
      <c r="AS104" s="4">
        <v>0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2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0.7</v>
      </c>
      <c r="BH104" s="39">
        <v>0.1</v>
      </c>
      <c r="BI104" s="39">
        <v>2.5000000000000001E-2</v>
      </c>
      <c r="BJ104" s="39" t="s">
        <v>1087</v>
      </c>
      <c r="BK104" s="39">
        <v>0</v>
      </c>
      <c r="BL104" s="39">
        <v>0</v>
      </c>
      <c r="BM104" s="39">
        <v>0</v>
      </c>
    </row>
    <row r="105" spans="1:65" s="16" customFormat="1" ht="15.75" customHeight="1" x14ac:dyDescent="0.25">
      <c r="A105" s="16" t="s">
        <v>1841</v>
      </c>
      <c r="B105" s="39">
        <v>1</v>
      </c>
      <c r="C105" s="39">
        <v>1.25</v>
      </c>
      <c r="D105" s="39">
        <v>0</v>
      </c>
      <c r="E105" s="39">
        <v>1</v>
      </c>
      <c r="F105" s="39">
        <v>1</v>
      </c>
      <c r="G105" s="39">
        <v>0</v>
      </c>
      <c r="H105" s="40">
        <f>AVERAGE(21.6,12,10,13.1,30.5,38,15)</f>
        <v>20.028571428571428</v>
      </c>
      <c r="I105" s="41">
        <f>AVERAGE(0.54,1.5,1.5,0.86,0.24,0.54,0.85)</f>
        <v>0.86142857142857143</v>
      </c>
      <c r="J105" s="39">
        <v>1.0900000000000001</v>
      </c>
      <c r="K105" s="42">
        <f>AVERAGE(0.13,0.106,0.134,0.129)</f>
        <v>0.12475</v>
      </c>
      <c r="L105" s="39">
        <v>0</v>
      </c>
      <c r="M105" s="39">
        <v>0</v>
      </c>
      <c r="N105" s="4" t="s">
        <v>55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980</v>
      </c>
      <c r="AB105" s="4" t="s">
        <v>984</v>
      </c>
      <c r="AC105" s="4" t="s">
        <v>1069</v>
      </c>
      <c r="AD105" s="39">
        <v>0</v>
      </c>
      <c r="AE105" s="4" t="s">
        <v>45</v>
      </c>
      <c r="AF105" s="4" t="s">
        <v>45</v>
      </c>
      <c r="AG105" s="4" t="s">
        <v>45</v>
      </c>
      <c r="AH105" s="4" t="s">
        <v>45</v>
      </c>
      <c r="AI105" s="4">
        <v>1.2</v>
      </c>
      <c r="AJ105" s="4" t="s">
        <v>1001</v>
      </c>
      <c r="AK105" s="4">
        <v>0</v>
      </c>
      <c r="AL105" s="4" t="s">
        <v>1012</v>
      </c>
      <c r="AM105" s="4">
        <v>1</v>
      </c>
      <c r="AN105" s="4">
        <v>0.1</v>
      </c>
      <c r="AO105" s="4">
        <v>0.3</v>
      </c>
      <c r="AP105" s="4">
        <v>1</v>
      </c>
      <c r="AQ105" s="4">
        <v>0</v>
      </c>
      <c r="AR105" s="4" t="s">
        <v>1029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</v>
      </c>
      <c r="BH105" s="39">
        <v>0.2</v>
      </c>
      <c r="BI105" s="39">
        <v>2.5000000000000001E-2</v>
      </c>
      <c r="BJ105" s="39" t="s">
        <v>1085</v>
      </c>
      <c r="BK105" s="39">
        <v>0</v>
      </c>
      <c r="BL105" s="39">
        <v>0</v>
      </c>
      <c r="BM105" s="39">
        <v>0</v>
      </c>
    </row>
    <row r="106" spans="1:65" s="16" customFormat="1" ht="15.75" customHeight="1" x14ac:dyDescent="0.25">
      <c r="A106" s="16" t="s">
        <v>1842</v>
      </c>
      <c r="B106" s="39">
        <v>1</v>
      </c>
      <c r="C106" s="39">
        <v>1.25</v>
      </c>
      <c r="D106" s="39">
        <v>0</v>
      </c>
      <c r="E106" s="39">
        <v>1</v>
      </c>
      <c r="F106" s="39">
        <v>1</v>
      </c>
      <c r="G106" s="39">
        <v>0</v>
      </c>
      <c r="H106" s="40">
        <f>AVERAGE(21.6,12,10,13.1,30.5,38,15)</f>
        <v>20.028571428571428</v>
      </c>
      <c r="I106" s="41">
        <f>AVERAGE(0.54,1.5,1.5,0.86,0.24,0.54,0.85)</f>
        <v>0.86142857142857143</v>
      </c>
      <c r="J106" s="39">
        <v>1.0900000000000001</v>
      </c>
      <c r="K106" s="42">
        <f>AVERAGE(0.13,0.106,0.134,0.129)</f>
        <v>0.12475</v>
      </c>
      <c r="L106" s="39">
        <v>0</v>
      </c>
      <c r="M106" s="39">
        <v>0</v>
      </c>
      <c r="N106" s="4" t="s">
        <v>55</v>
      </c>
      <c r="O106" s="4">
      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="s">
        <v>45</v>
      </c>
      <c r="U106" s="4" t="s">
        <v>45</v>
      </c>
      <c r="V106" s="4" t="s">
        <v>45</v>
      </c>
      <c r="W106" s="4" t="s">
        <v>45</v>
      </c>
      <c r="X106" s="4" t="s">
        <v>45</v>
      </c>
      <c r="Y106" s="4" t="s">
        <v>45</v>
      </c>
      <c r="Z106" s="4">
        <v>0.8</v>
      </c>
      <c r="AA106" s="4" t="s">
        <v>980</v>
      </c>
      <c r="AB106" s="4" t="s">
        <v>984</v>
      </c>
      <c r="AC106" s="4" t="s">
        <v>1822</v>
      </c>
      <c r="AD106" s="39">
        <v>0</v>
      </c>
      <c r="AE106" s="4" t="s">
        <v>45</v>
      </c>
      <c r="AF106" s="4" t="s">
        <v>45</v>
      </c>
      <c r="AG106" s="4" t="s">
        <v>45</v>
      </c>
      <c r="AH106" s="4" t="s">
        <v>45</v>
      </c>
      <c r="AI106" s="4">
        <v>1.2</v>
      </c>
      <c r="AJ106" s="4" t="s">
        <v>1001</v>
      </c>
      <c r="AK106" s="4">
        <v>0</v>
      </c>
      <c r="AL106" s="4" t="s">
        <v>1012</v>
      </c>
      <c r="AM106" s="4">
        <v>1</v>
      </c>
      <c r="AN106" s="4">
        <v>0.1</v>
      </c>
      <c r="AO106" s="4">
        <v>0.3</v>
      </c>
      <c r="AP106" s="4">
        <v>1</v>
      </c>
      <c r="AQ106" s="4">
        <v>0</v>
      </c>
      <c r="AR106" s="4" t="s">
        <v>1029</v>
      </c>
      <c r="AS106" s="4">
        <v>1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2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0</v>
      </c>
      <c r="BG106" s="39">
        <v>1</v>
      </c>
      <c r="BH106" s="39">
        <v>0.2</v>
      </c>
      <c r="BI106" s="39">
        <v>2.5000000000000001E-2</v>
      </c>
      <c r="BJ106" s="39" t="s">
        <v>1085</v>
      </c>
      <c r="BK106" s="39">
        <v>0</v>
      </c>
      <c r="BL106" s="39">
        <v>0</v>
      </c>
      <c r="BM106" s="39">
        <v>0</v>
      </c>
    </row>
    <row r="107" spans="1:65" s="16" customFormat="1" ht="15.75" customHeight="1" x14ac:dyDescent="0.25">
      <c r="A107" s="16" t="s">
        <v>1823</v>
      </c>
      <c r="B107" s="39">
        <v>1</v>
      </c>
      <c r="C107" s="39">
        <v>1.5</v>
      </c>
      <c r="D107" s="39">
        <v>0</v>
      </c>
      <c r="E107" s="39">
        <v>1</v>
      </c>
      <c r="F107" s="39">
        <v>1</v>
      </c>
      <c r="G107" s="39">
        <v>0</v>
      </c>
      <c r="H107" s="40">
        <f t="shared" ref="H107:H112" si="6">AVERAGE(21.6,12,10,13.1,30.5,38,15)</f>
        <v>20.028571428571428</v>
      </c>
      <c r="I107" s="41">
        <f t="shared" ref="I107:I112" si="7">AVERAGE(0.54,1.5,1.5,0.86,0.24,0.54,0.85)</f>
        <v>0.86142857142857143</v>
      </c>
      <c r="J107" s="39">
        <v>1.0900000000000001</v>
      </c>
      <c r="K107" s="42">
        <f>AVERAGE(0.13,0.106,0.134,0.129)</f>
        <v>0.12475</v>
      </c>
      <c r="L107" s="39">
        <v>0</v>
      </c>
      <c r="M107" s="39">
        <v>0</v>
      </c>
      <c r="N107" s="4" t="s">
        <v>941</v>
      </c>
      <c r="O107" s="4">
        <v>0</v>
      </c>
      <c r="P107" s="4">
        <v>0</v>
      </c>
      <c r="Q107" s="4" t="s">
        <v>45</v>
      </c>
      <c r="R107" s="4" t="s">
        <v>45</v>
      </c>
      <c r="S107" s="4" t="s">
        <v>45</v>
      </c>
      <c r="T107" s="4" t="s">
        <v>45</v>
      </c>
      <c r="U107" s="4" t="s">
        <v>45</v>
      </c>
      <c r="V107" s="4" t="s">
        <v>45</v>
      </c>
      <c r="W107" s="4" t="s">
        <v>45</v>
      </c>
      <c r="X107" s="4" t="s">
        <v>45</v>
      </c>
      <c r="Y107" s="4" t="s">
        <v>45</v>
      </c>
      <c r="Z107" s="4">
        <v>0.8</v>
      </c>
      <c r="AA107" s="4" t="s">
        <v>980</v>
      </c>
      <c r="AB107" s="4" t="s">
        <v>984</v>
      </c>
      <c r="AC107" s="4" t="s">
        <v>1069</v>
      </c>
      <c r="AD107" s="39">
        <v>1</v>
      </c>
      <c r="AE107" s="4">
        <v>0.65</v>
      </c>
      <c r="AF107" s="4" t="s">
        <v>1753</v>
      </c>
      <c r="AG107" s="4" t="s">
        <v>998</v>
      </c>
      <c r="AH107" s="4" t="s">
        <v>953</v>
      </c>
      <c r="AI107" s="4">
        <v>1.2</v>
      </c>
      <c r="AJ107" s="4" t="s">
        <v>1001</v>
      </c>
      <c r="AK107" s="4">
        <v>0</v>
      </c>
      <c r="AL107" s="4" t="s">
        <v>1012</v>
      </c>
      <c r="AM107" s="4">
        <v>1</v>
      </c>
      <c r="AN107" s="4">
        <v>0.1</v>
      </c>
      <c r="AO107" s="4">
        <v>0.3</v>
      </c>
      <c r="AP107" s="4">
        <v>0.5</v>
      </c>
      <c r="AQ107" s="4">
        <v>0</v>
      </c>
      <c r="AR107" s="4" t="s">
        <v>1031</v>
      </c>
      <c r="AS107" s="4">
        <v>1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1</v>
      </c>
      <c r="BC107" s="4">
        <v>0</v>
      </c>
      <c r="BD107" s="4">
        <v>0</v>
      </c>
      <c r="BE107" s="4">
        <v>0</v>
      </c>
      <c r="BF107" s="4">
        <v>0</v>
      </c>
      <c r="BG107" s="39">
        <v>1.1000000000000001</v>
      </c>
      <c r="BH107" s="39">
        <v>0.2</v>
      </c>
      <c r="BI107" s="39">
        <v>2.5000000000000001E-2</v>
      </c>
      <c r="BJ107" s="39" t="s">
        <v>1087</v>
      </c>
      <c r="BK107" s="39">
        <v>0</v>
      </c>
      <c r="BL107" s="39">
        <v>0</v>
      </c>
      <c r="BM107" s="39">
        <v>0</v>
      </c>
    </row>
    <row r="108" spans="1:65" s="16" customFormat="1" x14ac:dyDescent="0.25">
      <c r="A108" s="16" t="s">
        <v>1891</v>
      </c>
      <c r="B108" s="39">
        <v>0</v>
      </c>
      <c r="C108" s="39">
        <v>1.25</v>
      </c>
      <c r="D108" s="39">
        <v>0</v>
      </c>
      <c r="E108" s="39">
        <v>1</v>
      </c>
      <c r="F108" s="39">
        <v>1</v>
      </c>
      <c r="G108" s="39">
        <v>0</v>
      </c>
      <c r="H108" s="40">
        <f>AVERAGE(21.6,12,10,13.1,30.5,38,15)</f>
        <v>20.028571428571428</v>
      </c>
      <c r="I108" s="41">
        <f>AVERAGE(0.54,1.5,1.5,0.86,0.24,0.54,0.85)</f>
        <v>0.86142857142857143</v>
      </c>
      <c r="J108" s="39">
        <v>1.0900000000000001</v>
      </c>
      <c r="K108" s="42">
        <f>AVERAGE(0.13,0.106,0.134,0.129)</f>
        <v>0.12475</v>
      </c>
      <c r="L108" s="39">
        <v>0</v>
      </c>
      <c r="M108" s="39">
        <v>0</v>
      </c>
      <c r="N108" s="4" t="s">
        <v>55</v>
      </c>
      <c r="O108" s="4">
        <v>0</v>
      </c>
      <c r="P108" s="4">
        <v>0</v>
      </c>
      <c r="Q108" s="4" t="s">
        <v>45</v>
      </c>
      <c r="R108" s="4" t="s">
        <v>45</v>
      </c>
      <c r="S108" s="4" t="s">
        <v>45</v>
      </c>
      <c r="T108" s="4" t="s">
        <v>45</v>
      </c>
      <c r="U108" s="4">
        <v>3</v>
      </c>
      <c r="V108" s="4">
        <v>0.85</v>
      </c>
      <c r="W108" s="4" t="s">
        <v>970</v>
      </c>
      <c r="X108" s="4" t="s">
        <v>1892</v>
      </c>
      <c r="Y108" s="4" t="s">
        <v>953</v>
      </c>
      <c r="Z108" s="4">
        <v>0.8</v>
      </c>
      <c r="AA108" s="4" t="s">
        <v>980</v>
      </c>
      <c r="AB108" s="4" t="s">
        <v>984</v>
      </c>
      <c r="AC108" s="4" t="s">
        <v>1069</v>
      </c>
      <c r="AD108" s="39">
        <v>1</v>
      </c>
      <c r="AE108" s="4">
        <v>0.7</v>
      </c>
      <c r="AF108" s="4" t="s">
        <v>1753</v>
      </c>
      <c r="AG108" s="4" t="s">
        <v>998</v>
      </c>
      <c r="AH108" s="4" t="s">
        <v>1864</v>
      </c>
      <c r="AI108" s="4">
        <v>1.2</v>
      </c>
      <c r="AJ108" s="4" t="s">
        <v>1001</v>
      </c>
      <c r="AK108" s="4">
        <v>0</v>
      </c>
      <c r="AL108" s="4" t="s">
        <v>1012</v>
      </c>
      <c r="AM108" s="4">
        <v>1</v>
      </c>
      <c r="AN108" s="4">
        <v>0.1</v>
      </c>
      <c r="AO108" s="4">
        <v>0.3</v>
      </c>
      <c r="AP108" s="4">
        <v>1</v>
      </c>
      <c r="AQ108" s="4">
        <v>0</v>
      </c>
      <c r="AR108" s="4" t="s">
        <v>1029</v>
      </c>
      <c r="AS108" s="4">
        <v>1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2</v>
      </c>
      <c r="BA108" s="4">
        <v>0</v>
      </c>
      <c r="BB108" s="4">
        <v>1</v>
      </c>
      <c r="BC108" s="4">
        <v>0</v>
      </c>
      <c r="BD108" s="4">
        <v>0</v>
      </c>
      <c r="BE108" s="4">
        <v>0</v>
      </c>
      <c r="BF108" s="4">
        <v>0</v>
      </c>
      <c r="BG108" s="39">
        <v>1</v>
      </c>
      <c r="BH108" s="39">
        <v>0.2</v>
      </c>
      <c r="BI108" s="39">
        <v>2.5000000000000001E-2</v>
      </c>
      <c r="BJ108" s="39" t="s">
        <v>1085</v>
      </c>
      <c r="BK108" s="39">
        <v>0</v>
      </c>
      <c r="BL108" s="39">
        <v>1</v>
      </c>
      <c r="BM108" s="39">
        <v>0</v>
      </c>
    </row>
    <row r="109" spans="1:65" s="16" customFormat="1" x14ac:dyDescent="0.25">
      <c r="A109" s="16" t="s">
        <v>1865</v>
      </c>
      <c r="B109" s="39">
        <v>0</v>
      </c>
      <c r="C109" s="39">
        <v>1.25</v>
      </c>
      <c r="D109" s="39">
        <v>0</v>
      </c>
      <c r="E109" s="39">
        <v>1</v>
      </c>
      <c r="F109" s="39">
        <v>1</v>
      </c>
      <c r="G109" s="39">
        <v>0</v>
      </c>
      <c r="H109" s="40">
        <f>AVERAGE(21.6,12,10,13.1,30.5,38,15)</f>
        <v>20.028571428571428</v>
      </c>
      <c r="I109" s="41">
        <f>AVERAGE(0.54,1.5,1.5,0.86,0.24,0.54,0.85)</f>
        <v>0.86142857142857143</v>
      </c>
      <c r="J109" s="39">
        <v>1.0900000000000001</v>
      </c>
      <c r="K109" s="42">
        <f>AVERAGE(0.13,0.106,0.134,0.129)</f>
        <v>0.12475</v>
      </c>
      <c r="L109" s="39">
        <v>0</v>
      </c>
      <c r="M109" s="39">
        <v>0</v>
      </c>
      <c r="N109" s="4" t="s">
        <v>55</v>
      </c>
      <c r="O109" s="4">
        <v>0</v>
      </c>
      <c r="P109" s="4">
        <v>0</v>
      </c>
      <c r="Q109" s="4" t="s">
        <v>45</v>
      </c>
      <c r="R109" s="4" t="s">
        <v>45</v>
      </c>
      <c r="S109" s="4" t="s">
        <v>45</v>
      </c>
      <c r="T109" s="4" t="s">
        <v>45</v>
      </c>
      <c r="U109" s="4" t="s">
        <v>45</v>
      </c>
      <c r="V109" s="4" t="s">
        <v>45</v>
      </c>
      <c r="W109" s="4" t="s">
        <v>45</v>
      </c>
      <c r="X109" s="4" t="s">
        <v>45</v>
      </c>
      <c r="Y109" s="4" t="s">
        <v>45</v>
      </c>
      <c r="Z109" s="4">
        <v>0.8</v>
      </c>
      <c r="AA109" s="4" t="s">
        <v>980</v>
      </c>
      <c r="AB109" s="4" t="s">
        <v>984</v>
      </c>
      <c r="AC109" s="4" t="s">
        <v>1069</v>
      </c>
      <c r="AD109" s="39">
        <v>1</v>
      </c>
      <c r="AE109" s="4">
        <v>0.7</v>
      </c>
      <c r="AF109" s="4" t="s">
        <v>1753</v>
      </c>
      <c r="AG109" s="4" t="s">
        <v>998</v>
      </c>
      <c r="AH109" s="4" t="s">
        <v>1864</v>
      </c>
      <c r="AI109" s="4">
        <v>1.2</v>
      </c>
      <c r="AJ109" s="4" t="s">
        <v>1001</v>
      </c>
      <c r="AK109" s="4">
        <v>0</v>
      </c>
      <c r="AL109" s="4" t="s">
        <v>1012</v>
      </c>
      <c r="AM109" s="4">
        <v>1</v>
      </c>
      <c r="AN109" s="4">
        <v>0.1</v>
      </c>
      <c r="AO109" s="4">
        <v>0.3</v>
      </c>
      <c r="AP109" s="4">
        <v>1</v>
      </c>
      <c r="AQ109" s="4">
        <v>0</v>
      </c>
      <c r="AR109" s="4" t="s">
        <v>1029</v>
      </c>
      <c r="AS109" s="4">
        <v>1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2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0</v>
      </c>
      <c r="BG109" s="39">
        <v>1</v>
      </c>
      <c r="BH109" s="39">
        <v>0.2</v>
      </c>
      <c r="BI109" s="39">
        <v>2.5000000000000001E-2</v>
      </c>
      <c r="BJ109" s="39" t="s">
        <v>1085</v>
      </c>
      <c r="BK109" s="39">
        <v>0</v>
      </c>
      <c r="BL109" s="39">
        <v>0</v>
      </c>
      <c r="BM109" s="39">
        <v>0</v>
      </c>
    </row>
    <row r="110" spans="1:65" s="16" customFormat="1" ht="15.75" customHeight="1" x14ac:dyDescent="0.25">
      <c r="A110" s="16" t="s">
        <v>1826</v>
      </c>
      <c r="B110" s="39">
        <v>0</v>
      </c>
      <c r="C110" s="39">
        <v>0.85</v>
      </c>
      <c r="D110" s="39">
        <v>1</v>
      </c>
      <c r="E110" s="39">
        <v>5</v>
      </c>
      <c r="F110" s="39">
        <v>1</v>
      </c>
      <c r="G110" s="39">
        <v>0</v>
      </c>
      <c r="H110" s="40">
        <f t="shared" si="6"/>
        <v>20.028571428571428</v>
      </c>
      <c r="I110" s="41">
        <f t="shared" si="7"/>
        <v>0.86142857142857143</v>
      </c>
      <c r="J110" s="39">
        <v>1.0900000000000001</v>
      </c>
      <c r="K110" s="39" t="s">
        <v>930</v>
      </c>
      <c r="L110" s="39">
        <v>0</v>
      </c>
      <c r="M110" s="39">
        <v>0</v>
      </c>
      <c r="N110" s="4" t="s">
        <v>45</v>
      </c>
      <c r="O110" s="4">
        <v>0</v>
      </c>
      <c r="P110" s="4">
        <v>1</v>
      </c>
      <c r="Q110" s="4">
        <v>1</v>
      </c>
      <c r="R110" s="4" t="s">
        <v>955</v>
      </c>
      <c r="S110" s="4" t="s">
        <v>958</v>
      </c>
      <c r="T110" s="4" t="s">
        <v>956</v>
      </c>
      <c r="U110" s="4">
        <v>3</v>
      </c>
      <c r="V110" s="4">
        <v>0.85</v>
      </c>
      <c r="W110" s="4" t="s">
        <v>970</v>
      </c>
      <c r="X110" s="4" t="s">
        <v>971</v>
      </c>
      <c r="Y110" s="4" t="s">
        <v>953</v>
      </c>
      <c r="Z110" s="4" t="s">
        <v>45</v>
      </c>
      <c r="AA110" s="4" t="s">
        <v>45</v>
      </c>
      <c r="AB110" s="4" t="s">
        <v>45</v>
      </c>
      <c r="AC110" s="4" t="s">
        <v>45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</v>
      </c>
      <c r="AJ110" s="4" t="s">
        <v>1001</v>
      </c>
      <c r="AK110" s="4">
        <v>0</v>
      </c>
      <c r="AL110" s="4" t="s">
        <v>1014</v>
      </c>
      <c r="AM110" s="4">
        <v>0</v>
      </c>
      <c r="AN110" s="4">
        <v>2.5000000000000001E-2</v>
      </c>
      <c r="AO110" s="4">
        <v>0.1</v>
      </c>
      <c r="AP110" s="4" t="s">
        <v>45</v>
      </c>
      <c r="AQ110" s="4">
        <v>0</v>
      </c>
      <c r="AR110" s="4" t="s">
        <v>674</v>
      </c>
      <c r="AS110" s="4">
        <v>0</v>
      </c>
      <c r="AT110" s="4">
        <v>0</v>
      </c>
      <c r="AU110" s="4">
        <v>0</v>
      </c>
      <c r="AV110" s="4" t="s">
        <v>45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1</v>
      </c>
      <c r="BC110" s="4">
        <v>0</v>
      </c>
      <c r="BD110" s="4">
        <v>0</v>
      </c>
      <c r="BE110" s="4">
        <v>0</v>
      </c>
      <c r="BF110" s="4">
        <v>1</v>
      </c>
      <c r="BG110" s="39">
        <v>0.5</v>
      </c>
      <c r="BH110" s="39">
        <v>0</v>
      </c>
      <c r="BI110" s="39">
        <v>0</v>
      </c>
      <c r="BJ110" s="39" t="s">
        <v>1085</v>
      </c>
      <c r="BK110" s="39">
        <v>0</v>
      </c>
      <c r="BL110" s="39">
        <v>0</v>
      </c>
      <c r="BM110" s="39">
        <v>0</v>
      </c>
    </row>
    <row r="111" spans="1:65" s="16" customFormat="1" ht="15.75" customHeight="1" x14ac:dyDescent="0.25">
      <c r="A111" s="16" t="s">
        <v>1824</v>
      </c>
      <c r="B111" s="39">
        <v>0</v>
      </c>
      <c r="C111" s="39">
        <v>0.85</v>
      </c>
      <c r="D111" s="39">
        <v>1</v>
      </c>
      <c r="E111" s="39">
        <v>5</v>
      </c>
      <c r="F111" s="39">
        <v>1</v>
      </c>
      <c r="G111" s="39">
        <v>0</v>
      </c>
      <c r="H111" s="40">
        <f t="shared" si="6"/>
        <v>20.028571428571428</v>
      </c>
      <c r="I111" s="41">
        <f t="shared" si="7"/>
        <v>0.86142857142857143</v>
      </c>
      <c r="J111" s="39">
        <v>1.0900000000000001</v>
      </c>
      <c r="K111" s="39" t="s">
        <v>930</v>
      </c>
      <c r="L111" s="39">
        <v>0</v>
      </c>
      <c r="M111" s="39">
        <v>0</v>
      </c>
      <c r="N111" s="4" t="s">
        <v>45</v>
      </c>
      <c r="O111" s="4">
        <v>0</v>
      </c>
      <c r="P111" s="4">
        <v>1</v>
      </c>
      <c r="Q111" s="4">
        <v>1</v>
      </c>
      <c r="R111" s="4" t="s">
        <v>955</v>
      </c>
      <c r="S111" s="4" t="s">
        <v>958</v>
      </c>
      <c r="T111" s="4" t="s">
        <v>956</v>
      </c>
      <c r="U111" s="4">
        <v>3</v>
      </c>
      <c r="V111" s="4">
        <v>0.85</v>
      </c>
      <c r="W111" s="4" t="s">
        <v>970</v>
      </c>
      <c r="X111" s="4" t="s">
        <v>971</v>
      </c>
      <c r="Y111" s="4" t="s">
        <v>956</v>
      </c>
      <c r="Z111" s="4" t="s">
        <v>45</v>
      </c>
      <c r="AA111" s="4" t="s">
        <v>45</v>
      </c>
      <c r="AB111" s="4" t="s">
        <v>45</v>
      </c>
      <c r="AC111" s="4" t="s">
        <v>45</v>
      </c>
      <c r="AD111" s="39">
        <v>0</v>
      </c>
      <c r="AE111" s="4" t="s">
        <v>45</v>
      </c>
      <c r="AF111" s="4" t="s">
        <v>45</v>
      </c>
      <c r="AG111" s="4" t="s">
        <v>45</v>
      </c>
      <c r="AH111" s="4" t="s">
        <v>45</v>
      </c>
      <c r="AI111" s="4">
        <v>1</v>
      </c>
      <c r="AJ111" s="4" t="s">
        <v>1001</v>
      </c>
      <c r="AK111" s="4">
        <v>1</v>
      </c>
      <c r="AL111" s="4" t="s">
        <v>1014</v>
      </c>
      <c r="AM111" s="4">
        <v>0</v>
      </c>
      <c r="AN111" s="4">
        <v>0</v>
      </c>
      <c r="AO111" s="4">
        <v>0</v>
      </c>
      <c r="AP111" s="4" t="s">
        <v>45</v>
      </c>
      <c r="AQ111" s="4">
        <v>0</v>
      </c>
      <c r="AR111" s="4" t="s">
        <v>674</v>
      </c>
      <c r="AS111" s="4">
        <v>0</v>
      </c>
      <c r="AT111" s="4">
        <v>0</v>
      </c>
      <c r="AU111" s="4">
        <v>0</v>
      </c>
      <c r="AV111" s="4" t="s">
        <v>45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1</v>
      </c>
      <c r="BC111" s="4">
        <v>0</v>
      </c>
      <c r="BD111" s="4">
        <v>1</v>
      </c>
      <c r="BE111" s="4">
        <v>0</v>
      </c>
      <c r="BF111" s="4">
        <v>1</v>
      </c>
      <c r="BG111" s="39">
        <v>0.5</v>
      </c>
      <c r="BH111" s="39">
        <v>0</v>
      </c>
      <c r="BI111" s="39">
        <v>0</v>
      </c>
      <c r="BJ111" s="39" t="s">
        <v>1085</v>
      </c>
      <c r="BK111" s="39">
        <v>0</v>
      </c>
      <c r="BL111" s="39">
        <v>0</v>
      </c>
      <c r="BM111" s="39">
        <v>0</v>
      </c>
    </row>
    <row r="112" spans="1:65" s="16" customFormat="1" ht="15.75" customHeight="1" x14ac:dyDescent="0.25">
      <c r="A112" s="16" t="s">
        <v>1831</v>
      </c>
      <c r="B112" s="39">
        <v>0</v>
      </c>
      <c r="C112" s="39">
        <v>0.85</v>
      </c>
      <c r="D112" s="39">
        <v>1</v>
      </c>
      <c r="E112" s="39">
        <v>5</v>
      </c>
      <c r="F112" s="39">
        <v>1</v>
      </c>
      <c r="G112" s="39">
        <v>0</v>
      </c>
      <c r="H112" s="40">
        <f t="shared" si="6"/>
        <v>20.028571428571428</v>
      </c>
      <c r="I112" s="41">
        <f t="shared" si="7"/>
        <v>0.86142857142857143</v>
      </c>
      <c r="J112" s="39">
        <v>1.0900000000000001</v>
      </c>
      <c r="K112" s="39" t="s">
        <v>930</v>
      </c>
      <c r="L112" s="39">
        <v>0</v>
      </c>
      <c r="M112" s="39">
        <v>0</v>
      </c>
      <c r="N112" s="4" t="s">
        <v>45</v>
      </c>
      <c r="O112" s="4">
        <v>0</v>
      </c>
      <c r="P112" s="4">
        <v>1</v>
      </c>
      <c r="Q112" s="4">
        <v>1</v>
      </c>
      <c r="R112" s="4" t="s">
        <v>955</v>
      </c>
      <c r="S112" s="4" t="s">
        <v>958</v>
      </c>
      <c r="T112" s="4" t="s">
        <v>956</v>
      </c>
      <c r="U112" s="4">
        <v>3</v>
      </c>
      <c r="V112" s="4">
        <v>0.85</v>
      </c>
      <c r="W112" s="4" t="s">
        <v>970</v>
      </c>
      <c r="X112" s="4" t="s">
        <v>971</v>
      </c>
      <c r="Y112" s="4" t="s">
        <v>956</v>
      </c>
      <c r="Z112" s="4" t="s">
        <v>45</v>
      </c>
      <c r="AA112" s="4" t="s">
        <v>45</v>
      </c>
      <c r="AB112" s="4" t="s">
        <v>45</v>
      </c>
      <c r="AC112" s="4" t="s">
        <v>45</v>
      </c>
      <c r="AD112" s="39">
        <v>0</v>
      </c>
      <c r="AE112" s="4" t="s">
        <v>45</v>
      </c>
      <c r="AF112" s="4" t="s">
        <v>45</v>
      </c>
      <c r="AG112" s="4" t="s">
        <v>45</v>
      </c>
      <c r="AH112" s="4" t="s">
        <v>45</v>
      </c>
      <c r="AI112" s="4">
        <v>1</v>
      </c>
      <c r="AJ112" s="4" t="s">
        <v>1001</v>
      </c>
      <c r="AK112" s="4">
        <v>1</v>
      </c>
      <c r="AL112" s="4" t="s">
        <v>1014</v>
      </c>
      <c r="AM112" s="4">
        <v>0</v>
      </c>
      <c r="AN112" s="4">
        <v>0</v>
      </c>
      <c r="AO112" s="4">
        <v>0</v>
      </c>
      <c r="AP112" s="4" t="s">
        <v>45</v>
      </c>
      <c r="AQ112" s="4">
        <v>0</v>
      </c>
      <c r="AR112" s="4" t="s">
        <v>674</v>
      </c>
      <c r="AS112" s="4">
        <v>0</v>
      </c>
      <c r="AT112" s="4">
        <v>0</v>
      </c>
      <c r="AU112" s="4">
        <v>0</v>
      </c>
      <c r="AV112" s="4" t="s">
        <v>45</v>
      </c>
      <c r="AW112" s="4">
        <v>0</v>
      </c>
      <c r="AX112" s="4">
        <v>0</v>
      </c>
      <c r="AY112" s="4">
        <v>0</v>
      </c>
      <c r="AZ112" s="4">
        <v>0</v>
      </c>
      <c r="BA112" s="4">
        <v>0</v>
      </c>
      <c r="BB112" s="4">
        <v>1</v>
      </c>
      <c r="BC112" s="4">
        <v>0</v>
      </c>
      <c r="BD112" s="4">
        <v>1</v>
      </c>
      <c r="BE112" s="4">
        <v>0</v>
      </c>
      <c r="BF112" s="4">
        <v>1</v>
      </c>
      <c r="BG112" s="39">
        <v>0.5</v>
      </c>
      <c r="BH112" s="39">
        <v>0</v>
      </c>
      <c r="BI112" s="39">
        <v>0</v>
      </c>
      <c r="BJ112" s="39" t="s">
        <v>1085</v>
      </c>
      <c r="BK112" s="39">
        <v>0</v>
      </c>
      <c r="BL112" s="39">
        <v>0</v>
      </c>
      <c r="BM112" s="39">
        <v>0</v>
      </c>
    </row>
    <row r="113" spans="1:65" s="16" customFormat="1" x14ac:dyDescent="0.25">
      <c r="A113" s="16" t="s">
        <v>1727</v>
      </c>
      <c r="B113" s="39">
        <v>0</v>
      </c>
      <c r="C113" s="39">
        <v>0.85</v>
      </c>
      <c r="D113" s="39">
        <v>1</v>
      </c>
      <c r="E113" s="39">
        <v>5</v>
      </c>
      <c r="F113" s="39">
        <v>1</v>
      </c>
      <c r="G113" s="39">
        <v>0</v>
      </c>
      <c r="H113" s="40">
        <f t="shared" si="2"/>
        <v>20.028571428571428</v>
      </c>
      <c r="I113" s="41">
        <f t="shared" si="3"/>
        <v>0.86142857142857143</v>
      </c>
      <c r="J113" s="39">
        <v>1.0900000000000001</v>
      </c>
      <c r="K113" s="39" t="s">
        <v>930</v>
      </c>
      <c r="L113" s="39">
        <v>0</v>
      </c>
      <c r="M113" s="39">
        <v>0</v>
      </c>
      <c r="N113" s="4" t="s">
        <v>45</v>
      </c>
      <c r="O113" s="4">
        <v>0</v>
      </c>
      <c r="P113" s="4">
        <v>1</v>
      </c>
      <c r="Q113" s="4">
        <v>1</v>
      </c>
      <c r="R113" s="4" t="s">
        <v>955</v>
      </c>
      <c r="S113" s="4" t="s">
        <v>958</v>
      </c>
      <c r="T113" s="4" t="s">
        <v>956</v>
      </c>
      <c r="U113" s="4">
        <v>3</v>
      </c>
      <c r="V113" s="4">
        <v>0.85</v>
      </c>
      <c r="W113" s="4" t="s">
        <v>970</v>
      </c>
      <c r="X113" s="4" t="s">
        <v>971</v>
      </c>
      <c r="Y113" s="4" t="s">
        <v>953</v>
      </c>
      <c r="Z113" s="4" t="s">
        <v>45</v>
      </c>
      <c r="AA113" s="4" t="s">
        <v>45</v>
      </c>
      <c r="AB113" s="4" t="s">
        <v>45</v>
      </c>
      <c r="AC113" s="4" t="s">
        <v>45</v>
      </c>
      <c r="AD113" s="39">
        <v>0</v>
      </c>
      <c r="AE113" s="4" t="s">
        <v>45</v>
      </c>
      <c r="AF113" s="4" t="s">
        <v>45</v>
      </c>
      <c r="AG113" s="4" t="s">
        <v>45</v>
      </c>
      <c r="AH113" s="4" t="s">
        <v>45</v>
      </c>
      <c r="AI113" s="4">
        <v>1</v>
      </c>
      <c r="AJ113" s="4" t="s">
        <v>1001</v>
      </c>
      <c r="AK113" s="4">
        <v>0</v>
      </c>
      <c r="AL113" s="4" t="s">
        <v>1014</v>
      </c>
      <c r="AM113" s="4">
        <v>0</v>
      </c>
      <c r="AN113" s="4">
        <v>2.5000000000000001E-2</v>
      </c>
      <c r="AO113" s="4">
        <v>0.1</v>
      </c>
      <c r="AP113" s="4" t="s">
        <v>45</v>
      </c>
      <c r="AQ113" s="4">
        <v>0</v>
      </c>
      <c r="AR113" s="4" t="s">
        <v>674</v>
      </c>
      <c r="AS113" s="4">
        <v>0</v>
      </c>
      <c r="AT113" s="4">
        <v>0</v>
      </c>
      <c r="AU113" s="4">
        <v>0</v>
      </c>
      <c r="AV113" s="4" t="s">
        <v>45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1</v>
      </c>
      <c r="BC113" s="4">
        <v>0</v>
      </c>
      <c r="BD113" s="4">
        <v>0</v>
      </c>
      <c r="BE113" s="4">
        <v>0</v>
      </c>
      <c r="BF113" s="4">
        <v>1</v>
      </c>
      <c r="BG113" s="39">
        <v>0.5</v>
      </c>
      <c r="BH113" s="39">
        <v>0</v>
      </c>
      <c r="BI113" s="39">
        <v>0</v>
      </c>
      <c r="BJ113" s="39" t="s">
        <v>1085</v>
      </c>
      <c r="BK113" s="39">
        <v>0</v>
      </c>
      <c r="BL113" s="39">
        <v>0</v>
      </c>
      <c r="BM113" s="39">
        <v>0</v>
      </c>
    </row>
    <row r="114" spans="1:65" s="16" customFormat="1" x14ac:dyDescent="0.25">
      <c r="A114" s="16" t="s">
        <v>1724</v>
      </c>
      <c r="B114" s="39">
        <v>0</v>
      </c>
      <c r="C114" s="39">
        <v>0.85</v>
      </c>
      <c r="D114" s="39">
        <v>1</v>
      </c>
      <c r="E114" s="39">
        <v>5</v>
      </c>
      <c r="F114" s="39">
        <v>1</v>
      </c>
      <c r="G114" s="39">
        <v>0</v>
      </c>
      <c r="H114" s="40">
        <f t="shared" si="2"/>
        <v>20.028571428571428</v>
      </c>
      <c r="I114" s="41">
        <f t="shared" si="3"/>
        <v>0.86142857142857143</v>
      </c>
      <c r="J114" s="39">
        <v>1.0900000000000001</v>
      </c>
      <c r="K114" s="39" t="s">
        <v>930</v>
      </c>
      <c r="L114" s="39">
        <v>0</v>
      </c>
      <c r="M114" s="39">
        <v>0</v>
      </c>
      <c r="N114" s="4" t="s">
        <v>45</v>
      </c>
      <c r="O114" s="4">
        <v>0</v>
      </c>
      <c r="P114" s="4">
        <v>1</v>
      </c>
      <c r="Q114" s="4">
        <v>1</v>
      </c>
      <c r="R114" s="4" t="s">
        <v>955</v>
      </c>
      <c r="S114" s="4" t="s">
        <v>958</v>
      </c>
      <c r="T114" s="4" t="s">
        <v>956</v>
      </c>
      <c r="U114" s="4">
        <v>3</v>
      </c>
      <c r="V114" s="4">
        <v>0.85</v>
      </c>
      <c r="W114" s="4" t="s">
        <v>970</v>
      </c>
      <c r="X114" s="4" t="s">
        <v>972</v>
      </c>
      <c r="Y114" s="4" t="s">
        <v>953</v>
      </c>
      <c r="Z114" s="4" t="s">
        <v>45</v>
      </c>
      <c r="AA114" s="4" t="s">
        <v>45</v>
      </c>
      <c r="AB114" s="4" t="s">
        <v>45</v>
      </c>
      <c r="AC114" s="4" t="s">
        <v>45</v>
      </c>
      <c r="AD114" s="39">
        <v>0</v>
      </c>
      <c r="AE114" s="4" t="s">
        <v>45</v>
      </c>
      <c r="AF114" s="4" t="s">
        <v>45</v>
      </c>
      <c r="AG114" s="4" t="s">
        <v>45</v>
      </c>
      <c r="AH114" s="4" t="s">
        <v>45</v>
      </c>
      <c r="AI114" s="4">
        <v>1</v>
      </c>
      <c r="AJ114" s="4" t="s">
        <v>1001</v>
      </c>
      <c r="AK114" s="4">
        <v>1</v>
      </c>
      <c r="AL114" s="4" t="s">
        <v>1326</v>
      </c>
      <c r="AM114" s="4">
        <v>0</v>
      </c>
      <c r="AN114" s="4">
        <v>0</v>
      </c>
      <c r="AO114" s="4">
        <v>0</v>
      </c>
      <c r="AP114" s="4" t="s">
        <v>45</v>
      </c>
      <c r="AQ114" s="4">
        <v>0</v>
      </c>
      <c r="AR114" s="4" t="s">
        <v>674</v>
      </c>
      <c r="AS114" s="4">
        <v>0</v>
      </c>
      <c r="AT114" s="4">
        <v>0</v>
      </c>
      <c r="AU114" s="4">
        <v>0</v>
      </c>
      <c r="AV114" s="4" t="s">
        <v>45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1</v>
      </c>
      <c r="BC114" s="4">
        <v>0</v>
      </c>
      <c r="BD114" s="4">
        <v>0</v>
      </c>
      <c r="BE114" s="4">
        <v>0</v>
      </c>
      <c r="BF114" s="4">
        <v>1</v>
      </c>
      <c r="BG114" s="39">
        <v>0.5</v>
      </c>
      <c r="BH114" s="39">
        <v>0</v>
      </c>
      <c r="BI114" s="39">
        <v>0</v>
      </c>
      <c r="BJ114" s="39" t="s">
        <v>1085</v>
      </c>
      <c r="BK114" s="39">
        <v>0</v>
      </c>
      <c r="BL114" s="39">
        <v>0</v>
      </c>
      <c r="BM114" s="39">
        <v>0</v>
      </c>
    </row>
    <row r="115" spans="1:65" s="16" customFormat="1" x14ac:dyDescent="0.25">
      <c r="A115" s="16" t="s">
        <v>1721</v>
      </c>
      <c r="B115" s="39">
        <v>2</v>
      </c>
      <c r="C115" s="39">
        <v>1.5</v>
      </c>
      <c r="D115" s="39">
        <v>0</v>
      </c>
      <c r="E115" s="39">
        <v>1</v>
      </c>
      <c r="F115" s="39">
        <v>0</v>
      </c>
      <c r="G115" s="39">
        <v>0</v>
      </c>
      <c r="H115" s="40">
        <v>22.39</v>
      </c>
      <c r="I115" s="41">
        <v>0.37</v>
      </c>
      <c r="J115" s="39">
        <v>1.0900000000000001</v>
      </c>
      <c r="K115" s="39" t="s">
        <v>930</v>
      </c>
      <c r="L115" s="39">
        <v>0</v>
      </c>
      <c r="M115" s="39">
        <v>0</v>
      </c>
      <c r="N115" s="4" t="s">
        <v>168</v>
      </c>
      <c r="O115" s="4">
        <v>0</v>
      </c>
      <c r="P115" s="4">
        <v>0</v>
      </c>
      <c r="Q115" s="4" t="s">
        <v>45</v>
      </c>
      <c r="R115" s="4" t="s">
        <v>45</v>
      </c>
      <c r="S115" s="4" t="s">
        <v>45</v>
      </c>
      <c r="T115" s="4" t="s">
        <v>45</v>
      </c>
      <c r="U115" s="4" t="s">
        <v>45</v>
      </c>
      <c r="V115" s="4" t="s">
        <v>45</v>
      </c>
      <c r="W115" s="4" t="s">
        <v>45</v>
      </c>
      <c r="X115" s="4" t="s">
        <v>45</v>
      </c>
      <c r="Y115" s="4" t="s">
        <v>45</v>
      </c>
      <c r="Z115" s="4">
        <v>0.3</v>
      </c>
      <c r="AA115" s="4" t="s">
        <v>979</v>
      </c>
      <c r="AB115" s="4" t="s">
        <v>987</v>
      </c>
      <c r="AC115" s="4" t="s">
        <v>1070</v>
      </c>
      <c r="AD115" s="39">
        <v>0</v>
      </c>
      <c r="AE115" s="4" t="s">
        <v>45</v>
      </c>
      <c r="AF115" s="4" t="s">
        <v>45</v>
      </c>
      <c r="AG115" s="4" t="s">
        <v>45</v>
      </c>
      <c r="AH115" s="4" t="s">
        <v>45</v>
      </c>
      <c r="AI115" s="4">
        <v>1</v>
      </c>
      <c r="AJ115" s="4" t="s">
        <v>1002</v>
      </c>
      <c r="AK115" s="4">
        <v>0</v>
      </c>
      <c r="AL115" s="4" t="s">
        <v>1325</v>
      </c>
      <c r="AM115" s="4">
        <v>0</v>
      </c>
      <c r="AN115" s="4">
        <v>0.1</v>
      </c>
      <c r="AO115" s="4">
        <v>0.3</v>
      </c>
      <c r="AP115" s="4" t="s">
        <v>45</v>
      </c>
      <c r="AQ115" s="4">
        <v>0</v>
      </c>
      <c r="AR115" s="4" t="s">
        <v>674</v>
      </c>
      <c r="AS115" s="4">
        <v>1</v>
      </c>
      <c r="AT115" s="4">
        <v>0</v>
      </c>
      <c r="AU115" s="4">
        <v>0</v>
      </c>
      <c r="AV115" s="4" t="s">
        <v>45</v>
      </c>
      <c r="AW115" s="4">
        <v>0</v>
      </c>
      <c r="AX115" s="4">
        <v>0</v>
      </c>
      <c r="AY115" s="4">
        <v>0</v>
      </c>
      <c r="AZ115" s="4">
        <v>0</v>
      </c>
      <c r="BA115" s="4">
        <v>1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39">
        <v>0.5</v>
      </c>
      <c r="BH115" s="39">
        <v>0.1</v>
      </c>
      <c r="BI115" s="39">
        <v>2.5000000000000001E-2</v>
      </c>
      <c r="BJ115" s="39" t="s">
        <v>1092</v>
      </c>
      <c r="BK115" s="39">
        <v>0</v>
      </c>
      <c r="BL115" s="39">
        <v>0</v>
      </c>
      <c r="BM115" s="39">
        <v>0</v>
      </c>
    </row>
    <row r="116" spans="1:65" s="16" customFormat="1" x14ac:dyDescent="0.25">
      <c r="A116" s="16" t="s">
        <v>1885</v>
      </c>
      <c r="B116" s="39">
        <v>2</v>
      </c>
      <c r="C116" s="39">
        <v>1.5</v>
      </c>
      <c r="D116" s="39">
        <v>0</v>
      </c>
      <c r="E116" s="39">
        <v>1</v>
      </c>
      <c r="F116" s="39">
        <v>0</v>
      </c>
      <c r="G116" s="39">
        <v>0</v>
      </c>
      <c r="H116" s="40">
        <v>22.39</v>
      </c>
      <c r="I116" s="41">
        <v>0.37</v>
      </c>
      <c r="J116" s="39">
        <v>1.0900000000000001</v>
      </c>
      <c r="K116" s="39" t="s">
        <v>930</v>
      </c>
      <c r="L116" s="39">
        <v>0</v>
      </c>
      <c r="M116" s="39">
        <v>0</v>
      </c>
      <c r="N116" s="4" t="s">
        <v>168</v>
      </c>
      <c r="O116" s="4">
        <v>0</v>
      </c>
      <c r="P116" s="4">
        <v>0</v>
      </c>
      <c r="Q116" s="4" t="s">
        <v>45</v>
      </c>
      <c r="R116" s="4" t="s">
        <v>45</v>
      </c>
      <c r="S116" s="4" t="s">
        <v>45</v>
      </c>
      <c r="T116" s="4" t="s">
        <v>45</v>
      </c>
      <c r="U116" s="4" t="s">
        <v>45</v>
      </c>
      <c r="V116" s="4" t="s">
        <v>45</v>
      </c>
      <c r="W116" s="4" t="s">
        <v>45</v>
      </c>
      <c r="X116" s="4" t="s">
        <v>45</v>
      </c>
      <c r="Y116" s="4" t="s">
        <v>45</v>
      </c>
      <c r="Z116" s="4">
        <v>0.8</v>
      </c>
      <c r="AA116" s="4" t="s">
        <v>979</v>
      </c>
      <c r="AB116" s="4" t="s">
        <v>983</v>
      </c>
      <c r="AC116" s="4" t="s">
        <v>1883</v>
      </c>
      <c r="AD116" s="39">
        <v>0</v>
      </c>
      <c r="AE116" s="4" t="s">
        <v>45</v>
      </c>
      <c r="AF116" s="4" t="s">
        <v>45</v>
      </c>
      <c r="AG116" s="4" t="s">
        <v>45</v>
      </c>
      <c r="AH116" s="4" t="s">
        <v>45</v>
      </c>
      <c r="AI116" s="4">
        <v>1</v>
      </c>
      <c r="AJ116" s="4" t="s">
        <v>1002</v>
      </c>
      <c r="AK116" s="4">
        <v>0</v>
      </c>
      <c r="AL116" s="4" t="s">
        <v>168</v>
      </c>
      <c r="AM116" s="4">
        <v>0</v>
      </c>
      <c r="AN116" s="4">
        <v>0.1</v>
      </c>
      <c r="AO116" s="4">
        <v>0.3</v>
      </c>
      <c r="AP116" s="4" t="s">
        <v>45</v>
      </c>
      <c r="AQ116" s="4">
        <v>0</v>
      </c>
      <c r="AR116" s="4" t="s">
        <v>1031</v>
      </c>
      <c r="AS116" s="4">
        <v>1</v>
      </c>
      <c r="AT116" s="4">
        <v>0</v>
      </c>
      <c r="AU116" s="4">
        <v>0</v>
      </c>
      <c r="AV116" s="4" t="s">
        <v>45</v>
      </c>
      <c r="AW116" s="4">
        <v>0</v>
      </c>
      <c r="AX116" s="4">
        <v>0</v>
      </c>
      <c r="AY116" s="4">
        <v>0</v>
      </c>
      <c r="AZ116" s="4">
        <v>0</v>
      </c>
      <c r="BA116" s="4">
        <v>1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39">
        <v>0.5</v>
      </c>
      <c r="BH116" s="39">
        <v>0.1</v>
      </c>
      <c r="BI116" s="39">
        <v>2.5000000000000001E-2</v>
      </c>
      <c r="BJ116" s="39" t="s">
        <v>1092</v>
      </c>
      <c r="BK116" s="39">
        <v>0</v>
      </c>
      <c r="BL116" s="39">
        <v>0</v>
      </c>
      <c r="BM116" s="39">
        <v>0</v>
      </c>
    </row>
    <row r="117" spans="1:65" s="16" customFormat="1" ht="15.75" customHeight="1" x14ac:dyDescent="0.25">
      <c r="A117" s="16" t="s">
        <v>1863</v>
      </c>
      <c r="B117" s="39">
        <v>1</v>
      </c>
      <c r="C117" s="39">
        <v>1.25</v>
      </c>
      <c r="D117" s="39">
        <v>0</v>
      </c>
      <c r="E117" s="39">
        <v>11</v>
      </c>
      <c r="F117" s="39">
        <v>0</v>
      </c>
      <c r="G117" s="39">
        <v>0</v>
      </c>
      <c r="H117" s="40">
        <v>1</v>
      </c>
      <c r="I117" s="41">
        <v>1</v>
      </c>
      <c r="J117" s="39">
        <v>1.0900000000000001</v>
      </c>
      <c r="K117" s="39" t="s">
        <v>930</v>
      </c>
      <c r="L117" s="39">
        <v>0</v>
      </c>
      <c r="M117" s="39">
        <v>0</v>
      </c>
      <c r="N117" s="4" t="s">
        <v>41</v>
      </c>
      <c r="O117" s="4">
        <v>1</v>
      </c>
      <c r="P117" s="4">
        <v>1</v>
      </c>
      <c r="Q117" s="4">
        <v>1</v>
      </c>
      <c r="R117" s="4" t="s">
        <v>954</v>
      </c>
      <c r="S117" s="4" t="s">
        <v>952</v>
      </c>
      <c r="T117" s="4" t="s">
        <v>953</v>
      </c>
      <c r="U117" s="4" t="s">
        <v>45</v>
      </c>
      <c r="V117" s="4" t="s">
        <v>45</v>
      </c>
      <c r="W117" s="4" t="s">
        <v>45</v>
      </c>
      <c r="X117" s="4" t="s">
        <v>45</v>
      </c>
      <c r="Y117" s="4" t="s">
        <v>45</v>
      </c>
      <c r="Z117" s="4">
        <v>0.8</v>
      </c>
      <c r="AA117" s="4" t="s">
        <v>977</v>
      </c>
      <c r="AB117" s="4" t="s">
        <v>982</v>
      </c>
      <c r="AC117" s="4" t="s">
        <v>956</v>
      </c>
      <c r="AD117" s="39">
        <v>0</v>
      </c>
      <c r="AE117" s="4" t="s">
        <v>45</v>
      </c>
      <c r="AF117" s="4" t="s">
        <v>45</v>
      </c>
      <c r="AG117" s="4" t="s">
        <v>45</v>
      </c>
      <c r="AH117" s="4" t="s">
        <v>45</v>
      </c>
      <c r="AI117" s="4">
        <v>1</v>
      </c>
      <c r="AJ117" s="4" t="s">
        <v>41</v>
      </c>
      <c r="AK117" s="4">
        <v>0</v>
      </c>
      <c r="AL117" s="4" t="s">
        <v>41</v>
      </c>
      <c r="AM117" s="4">
        <v>0</v>
      </c>
      <c r="AN117" s="4">
        <v>0</v>
      </c>
      <c r="AO117" s="4">
        <v>0</v>
      </c>
      <c r="AP117" s="4" t="s">
        <v>45</v>
      </c>
      <c r="AQ117" s="4">
        <v>0</v>
      </c>
      <c r="AR117" s="4" t="s">
        <v>1029</v>
      </c>
      <c r="AS117" s="4">
        <v>0</v>
      </c>
      <c r="AT117" s="4">
        <v>0</v>
      </c>
      <c r="AU117" s="4">
        <v>0</v>
      </c>
      <c r="AV117" s="4" t="s">
        <v>45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1</v>
      </c>
      <c r="BC117" s="4">
        <v>0</v>
      </c>
      <c r="BD117" s="4">
        <v>0</v>
      </c>
      <c r="BE117" s="4">
        <v>1</v>
      </c>
      <c r="BF117" s="4">
        <v>1</v>
      </c>
      <c r="BG117" s="39">
        <v>1</v>
      </c>
      <c r="BH117" s="39">
        <v>0.1</v>
      </c>
      <c r="BI117" s="39">
        <v>2.5000000000000001E-2</v>
      </c>
      <c r="BJ117" s="39" t="s">
        <v>1088</v>
      </c>
      <c r="BK117" s="39">
        <v>0</v>
      </c>
      <c r="BL117" s="39">
        <v>0</v>
      </c>
      <c r="BM117" s="39">
        <v>0</v>
      </c>
    </row>
    <row r="118" spans="1:65" s="16" customFormat="1" ht="15.75" customHeight="1" x14ac:dyDescent="0.25">
      <c r="A118" s="16" t="s">
        <v>1804</v>
      </c>
      <c r="B118" s="39">
        <v>0</v>
      </c>
      <c r="C118" s="39">
        <v>1.25</v>
      </c>
      <c r="D118" s="39">
        <v>0</v>
      </c>
      <c r="E118" s="39">
        <v>1</v>
      </c>
      <c r="F118" s="39">
        <v>0</v>
      </c>
      <c r="G118" s="39">
        <v>0</v>
      </c>
      <c r="H118" s="40">
        <f t="shared" ref="H118" si="8">AVERAGE(21.6,12,10,13.1,30.5,38,15)</f>
        <v>20.028571428571428</v>
      </c>
      <c r="I118" s="41">
        <f t="shared" ref="I118" si="9">AVERAGE(0.54,1.5,1.5,0.86,0.24,0.54,0.85)</f>
        <v>0.86142857142857143</v>
      </c>
      <c r="J118" s="39">
        <v>1.0900000000000001</v>
      </c>
      <c r="K118" s="39" t="s">
        <v>930</v>
      </c>
      <c r="L118" s="39">
        <v>0</v>
      </c>
      <c r="M118" s="39">
        <v>0</v>
      </c>
      <c r="N118" s="4" t="s">
        <v>940</v>
      </c>
      <c r="O118" s="4">
        <v>0</v>
      </c>
      <c r="P118" s="4">
        <v>0</v>
      </c>
      <c r="Q118" s="4" t="s">
        <v>45</v>
      </c>
      <c r="R118" s="4" t="s">
        <v>45</v>
      </c>
      <c r="S118" s="4" t="s">
        <v>45</v>
      </c>
      <c r="T118" s="4" t="s">
        <v>45</v>
      </c>
      <c r="U118" s="4" t="s">
        <v>45</v>
      </c>
      <c r="V118" s="4" t="s">
        <v>45</v>
      </c>
      <c r="W118" s="4" t="s">
        <v>45</v>
      </c>
      <c r="X118" s="4" t="s">
        <v>45</v>
      </c>
      <c r="Y118" s="4" t="s">
        <v>45</v>
      </c>
      <c r="Z118" s="4">
        <v>0.95</v>
      </c>
      <c r="AA118" s="4" t="s">
        <v>980</v>
      </c>
      <c r="AB118" s="4" t="s">
        <v>985</v>
      </c>
      <c r="AC118" s="4" t="s">
        <v>1069</v>
      </c>
      <c r="AD118" s="39">
        <v>1</v>
      </c>
      <c r="AE118" s="4">
        <v>0.7</v>
      </c>
      <c r="AF118" s="4" t="s">
        <v>1753</v>
      </c>
      <c r="AG118" s="4" t="s">
        <v>998</v>
      </c>
      <c r="AH118" s="4" t="s">
        <v>953</v>
      </c>
      <c r="AI118" s="4">
        <v>1</v>
      </c>
      <c r="AJ118" s="4" t="s">
        <v>1001</v>
      </c>
      <c r="AK118" s="4">
        <v>0</v>
      </c>
      <c r="AL118" s="4" t="s">
        <v>1012</v>
      </c>
      <c r="AM118" s="4">
        <v>0</v>
      </c>
      <c r="AN118" s="4">
        <v>0</v>
      </c>
      <c r="AO118" s="4">
        <v>0</v>
      </c>
      <c r="AP118" s="4">
        <v>0.5</v>
      </c>
      <c r="AQ118" s="4">
        <v>1</v>
      </c>
      <c r="AR118" s="4" t="s">
        <v>1029</v>
      </c>
      <c r="AS118" s="4">
        <v>0</v>
      </c>
      <c r="AT118" s="4">
        <v>0</v>
      </c>
      <c r="AU118" s="4">
        <v>0</v>
      </c>
      <c r="AV118" s="4" t="s">
        <v>45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1</v>
      </c>
      <c r="BC118" s="4">
        <v>0</v>
      </c>
      <c r="BD118" s="4">
        <v>0</v>
      </c>
      <c r="BE118" s="4">
        <v>0</v>
      </c>
      <c r="BF118" s="4">
        <v>0</v>
      </c>
      <c r="BG118" s="39">
        <v>0.7</v>
      </c>
      <c r="BH118" s="39">
        <v>0</v>
      </c>
      <c r="BI118" s="39">
        <v>0</v>
      </c>
      <c r="BJ118" s="39" t="s">
        <v>1087</v>
      </c>
      <c r="BK118" s="39">
        <v>0</v>
      </c>
      <c r="BL118" s="39">
        <v>0</v>
      </c>
      <c r="BM118" s="39">
        <v>0</v>
      </c>
    </row>
    <row r="119" spans="1:65" s="16" customFormat="1" ht="15.75" customHeight="1" x14ac:dyDescent="0.25">
      <c r="A119" s="16" t="s">
        <v>1806</v>
      </c>
      <c r="B119" s="39">
        <v>2</v>
      </c>
      <c r="C119" s="39">
        <v>1.1000000000000001</v>
      </c>
      <c r="D119" s="39">
        <v>0</v>
      </c>
      <c r="E119" s="39">
        <v>1</v>
      </c>
      <c r="F119" s="39">
        <v>0</v>
      </c>
      <c r="G119" s="39">
        <v>0</v>
      </c>
      <c r="H119" s="40">
        <f>AVERAGE(65.2,57.2,43.4)</f>
        <v>55.266666666666673</v>
      </c>
      <c r="I119" s="41">
        <f>AVERAGE(31.29%,20.98%,15.21%)</f>
        <v>0.22493333333333335</v>
      </c>
      <c r="J119" s="39">
        <v>1.86</v>
      </c>
      <c r="K119" s="39">
        <v>0.2</v>
      </c>
      <c r="L119" s="39">
        <v>1</v>
      </c>
      <c r="M119" s="39">
        <v>0</v>
      </c>
      <c r="N119" s="4" t="s">
        <v>458</v>
      </c>
      <c r="O119" s="4">
        <v>0</v>
      </c>
      <c r="P119" s="4">
        <v>0</v>
      </c>
      <c r="Q119" s="4" t="s">
        <v>45</v>
      </c>
      <c r="R119" s="4" t="s">
        <v>45</v>
      </c>
      <c r="S119" s="4" t="s">
        <v>45</v>
      </c>
      <c r="T119" s="4" t="s">
        <v>45</v>
      </c>
      <c r="U119" s="4" t="s">
        <v>45</v>
      </c>
      <c r="V119" s="4" t="s">
        <v>45</v>
      </c>
      <c r="W119" s="4" t="s">
        <v>45</v>
      </c>
      <c r="X119" s="4" t="s">
        <v>45</v>
      </c>
      <c r="Y119" s="4" t="s">
        <v>45</v>
      </c>
      <c r="Z119" s="4">
        <v>0.95</v>
      </c>
      <c r="AA119" s="4" t="s">
        <v>980</v>
      </c>
      <c r="AB119" s="4" t="s">
        <v>983</v>
      </c>
      <c r="AC119" s="4" t="s">
        <v>1807</v>
      </c>
      <c r="AD119" s="39">
        <v>0</v>
      </c>
      <c r="AE119" s="4" t="s">
        <v>45</v>
      </c>
      <c r="AF119" s="4" t="s">
        <v>45</v>
      </c>
      <c r="AG119" s="4" t="s">
        <v>45</v>
      </c>
      <c r="AH119" s="4" t="s">
        <v>45</v>
      </c>
      <c r="AI119" s="4">
        <v>1.2</v>
      </c>
      <c r="AJ119" s="4" t="s">
        <v>1002</v>
      </c>
      <c r="AK119" s="4">
        <v>0</v>
      </c>
      <c r="AL119" s="4" t="s">
        <v>1020</v>
      </c>
      <c r="AM119" s="4">
        <v>0</v>
      </c>
      <c r="AN119" s="4">
        <v>0.1</v>
      </c>
      <c r="AO119" s="4">
        <v>0.3</v>
      </c>
      <c r="AP119" s="4" t="s">
        <v>45</v>
      </c>
      <c r="AQ119" s="4">
        <v>0</v>
      </c>
      <c r="AR119" s="4" t="s">
        <v>674</v>
      </c>
      <c r="AS119" s="4">
        <v>1</v>
      </c>
      <c r="AT119" s="4">
        <v>1</v>
      </c>
      <c r="AU119" s="4">
        <v>1</v>
      </c>
      <c r="AV119" s="4" t="s">
        <v>45</v>
      </c>
      <c r="AW119" s="4">
        <v>0</v>
      </c>
      <c r="AX119" s="4">
        <v>0</v>
      </c>
      <c r="AY119" s="4">
        <v>0</v>
      </c>
      <c r="AZ119" s="4">
        <v>2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1</v>
      </c>
      <c r="BG119" s="39">
        <v>0.25</v>
      </c>
      <c r="BH119" s="39">
        <v>0.1</v>
      </c>
      <c r="BI119" s="39">
        <v>2.5000000000000001E-2</v>
      </c>
      <c r="BJ119" s="39" t="s">
        <v>1087</v>
      </c>
      <c r="BK119" s="39">
        <v>0</v>
      </c>
      <c r="BL119" s="39">
        <v>0</v>
      </c>
      <c r="BM119" s="39">
        <v>0</v>
      </c>
    </row>
    <row r="120" spans="1:65" s="16" customFormat="1" x14ac:dyDescent="0.25">
      <c r="A120" s="16" t="s">
        <v>1833</v>
      </c>
      <c r="B120" s="39">
        <v>1</v>
      </c>
      <c r="C120" s="39">
        <v>1.3</v>
      </c>
      <c r="D120" s="39">
        <v>0</v>
      </c>
      <c r="E120" s="39">
        <v>1</v>
      </c>
      <c r="F120" s="39">
        <v>0</v>
      </c>
      <c r="G120" s="39">
        <v>0</v>
      </c>
      <c r="H120" s="40">
        <v>22.39</v>
      </c>
      <c r="I120" s="41">
        <v>0.37</v>
      </c>
      <c r="J120" s="39">
        <v>1.0900000000000001</v>
      </c>
      <c r="K120" s="39" t="s">
        <v>930</v>
      </c>
      <c r="L120" s="39">
        <v>0</v>
      </c>
      <c r="M120" s="39">
        <v>0</v>
      </c>
      <c r="N120" s="4" t="s">
        <v>1834</v>
      </c>
      <c r="O120" s="4">
        <v>0</v>
      </c>
      <c r="P120" s="4">
        <v>1</v>
      </c>
      <c r="Q120" s="4">
        <v>1</v>
      </c>
      <c r="R120" s="4" t="s">
        <v>954</v>
      </c>
      <c r="S120" s="4" t="s">
        <v>952</v>
      </c>
      <c r="T120" s="4" t="s">
        <v>953</v>
      </c>
      <c r="U120" s="4" t="s">
        <v>45</v>
      </c>
      <c r="V120" s="4" t="s">
        <v>45</v>
      </c>
      <c r="W120" s="4" t="s">
        <v>45</v>
      </c>
      <c r="X120" s="4" t="s">
        <v>45</v>
      </c>
      <c r="Y120" s="4" t="s">
        <v>45</v>
      </c>
      <c r="Z120" s="4">
        <v>0.85</v>
      </c>
      <c r="AA120" s="4" t="s">
        <v>980</v>
      </c>
      <c r="AB120" s="4" t="s">
        <v>983</v>
      </c>
      <c r="AC120" s="4" t="s">
        <v>1069</v>
      </c>
      <c r="AD120" s="39">
        <v>1</v>
      </c>
      <c r="AE120" s="4">
        <v>0.7</v>
      </c>
      <c r="AF120" s="4" t="s">
        <v>994</v>
      </c>
      <c r="AG120" s="4" t="s">
        <v>998</v>
      </c>
      <c r="AH120" s="4" t="s">
        <v>953</v>
      </c>
      <c r="AI120" s="4">
        <v>1.2</v>
      </c>
      <c r="AJ120" s="4" t="s">
        <v>1002</v>
      </c>
      <c r="AK120" s="4">
        <v>0</v>
      </c>
      <c r="AL120" s="4" t="s">
        <v>1834</v>
      </c>
      <c r="AM120" s="4">
        <v>0</v>
      </c>
      <c r="AN120" s="4">
        <v>0.1</v>
      </c>
      <c r="AO120" s="4">
        <v>0.3</v>
      </c>
      <c r="AP120" s="4" t="s">
        <v>45</v>
      </c>
      <c r="AQ120" s="4">
        <v>0</v>
      </c>
      <c r="AR120" s="4" t="s">
        <v>1031</v>
      </c>
      <c r="AS120" s="4">
        <v>1</v>
      </c>
      <c r="AT120" s="4">
        <v>0</v>
      </c>
      <c r="AU120" s="4">
        <v>0</v>
      </c>
      <c r="AV120" s="4" t="s">
        <v>45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39">
        <v>0.7</v>
      </c>
      <c r="BH120" s="39">
        <v>0.2</v>
      </c>
      <c r="BI120" s="39">
        <v>2.5000000000000001E-2</v>
      </c>
      <c r="BJ120" s="39" t="s">
        <v>1088</v>
      </c>
      <c r="BK120" s="39">
        <v>0</v>
      </c>
      <c r="BL120" s="39">
        <v>0</v>
      </c>
      <c r="BM120" s="39">
        <v>0</v>
      </c>
    </row>
    <row r="121" spans="1:65" s="16" customFormat="1" x14ac:dyDescent="0.25">
      <c r="A121" s="16" t="s">
        <v>1834</v>
      </c>
      <c r="B121" s="39">
        <v>1</v>
      </c>
      <c r="C121" s="39">
        <v>1.3</v>
      </c>
      <c r="D121" s="39">
        <v>0</v>
      </c>
      <c r="E121" s="39">
        <v>1</v>
      </c>
      <c r="F121" s="39">
        <v>0</v>
      </c>
      <c r="G121" s="39">
        <v>0</v>
      </c>
      <c r="H121" s="40">
        <v>22.39</v>
      </c>
      <c r="I121" s="41">
        <v>0.37</v>
      </c>
      <c r="J121" s="39">
        <v>1.0900000000000001</v>
      </c>
      <c r="K121" s="39" t="s">
        <v>930</v>
      </c>
      <c r="L121" s="39">
        <v>0</v>
      </c>
      <c r="M121" s="39">
        <v>0</v>
      </c>
      <c r="N121" s="4" t="s">
        <v>1834</v>
      </c>
      <c r="O121" s="4">
        <v>0</v>
      </c>
      <c r="P121" s="4">
        <v>0</v>
      </c>
      <c r="Q121" s="4" t="s">
        <v>45</v>
      </c>
      <c r="R121" s="4" t="s">
        <v>45</v>
      </c>
      <c r="S121" s="4" t="s">
        <v>45</v>
      </c>
      <c r="T121" s="4" t="s">
        <v>45</v>
      </c>
      <c r="U121" s="4" t="s">
        <v>45</v>
      </c>
      <c r="V121" s="4" t="s">
        <v>45</v>
      </c>
      <c r="W121" s="4" t="s">
        <v>45</v>
      </c>
      <c r="X121" s="4" t="s">
        <v>45</v>
      </c>
      <c r="Y121" s="4" t="s">
        <v>45</v>
      </c>
      <c r="Z121" s="4">
        <v>0.85</v>
      </c>
      <c r="AA121" s="4" t="s">
        <v>980</v>
      </c>
      <c r="AB121" s="4" t="s">
        <v>983</v>
      </c>
      <c r="AC121" s="4" t="s">
        <v>1069</v>
      </c>
      <c r="AD121" s="39">
        <v>1</v>
      </c>
      <c r="AE121" s="4">
        <v>0.7</v>
      </c>
      <c r="AF121" s="4" t="s">
        <v>994</v>
      </c>
      <c r="AG121" s="4" t="s">
        <v>998</v>
      </c>
      <c r="AH121" s="4" t="s">
        <v>953</v>
      </c>
      <c r="AI121" s="4">
        <v>1.2</v>
      </c>
      <c r="AJ121" s="4" t="s">
        <v>1002</v>
      </c>
      <c r="AK121" s="4">
        <v>0</v>
      </c>
      <c r="AL121" s="4" t="s">
        <v>1834</v>
      </c>
      <c r="AM121" s="4">
        <v>0</v>
      </c>
      <c r="AN121" s="4">
        <v>0.1</v>
      </c>
      <c r="AO121" s="4">
        <v>0.3</v>
      </c>
      <c r="AP121" s="4" t="s">
        <v>45</v>
      </c>
      <c r="AQ121" s="4">
        <v>0</v>
      </c>
      <c r="AR121" s="4" t="s">
        <v>1031</v>
      </c>
      <c r="AS121" s="4">
        <v>1</v>
      </c>
      <c r="AT121" s="4">
        <v>0</v>
      </c>
      <c r="AU121" s="4">
        <v>0</v>
      </c>
      <c r="AV121" s="4" t="s">
        <v>45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39">
        <v>0.7</v>
      </c>
      <c r="BH121" s="39">
        <v>0.2</v>
      </c>
      <c r="BI121" s="39">
        <v>2.5000000000000001E-2</v>
      </c>
      <c r="BJ121" s="39" t="s">
        <v>1088</v>
      </c>
      <c r="BK121" s="39">
        <v>0</v>
      </c>
      <c r="BL121" s="39">
        <v>0</v>
      </c>
      <c r="BM121" s="39">
        <v>0</v>
      </c>
    </row>
    <row r="122" spans="1:65" s="16" customFormat="1" x14ac:dyDescent="0.25">
      <c r="A122" s="16" t="s">
        <v>1886</v>
      </c>
      <c r="B122" s="39">
        <v>1</v>
      </c>
      <c r="C122" s="39">
        <v>1.1000000000000001</v>
      </c>
      <c r="D122" s="39">
        <v>0</v>
      </c>
      <c r="E122" s="39">
        <v>1</v>
      </c>
      <c r="F122" s="39">
        <v>0</v>
      </c>
      <c r="G122" s="39">
        <v>2</v>
      </c>
      <c r="H122" s="40">
        <v>95</v>
      </c>
      <c r="I122" s="41">
        <f>H122/1000/AVERAGE(4.6)</f>
        <v>2.065217391304348E-2</v>
      </c>
      <c r="J122" s="39">
        <v>1.2</v>
      </c>
      <c r="K122" s="39">
        <v>0.32</v>
      </c>
      <c r="L122" s="39">
        <v>1</v>
      </c>
      <c r="M122" s="39">
        <v>1</v>
      </c>
      <c r="N122" s="4" t="s">
        <v>939</v>
      </c>
      <c r="O122" s="4">
        <v>0</v>
      </c>
      <c r="P122" s="4">
        <v>0</v>
      </c>
      <c r="Q122" s="4" t="s">
        <v>45</v>
      </c>
      <c r="R122" s="4" t="s">
        <v>45</v>
      </c>
      <c r="S122" s="4" t="s">
        <v>45</v>
      </c>
      <c r="T122" s="4" t="s">
        <v>45</v>
      </c>
      <c r="U122" s="4" t="s">
        <v>45</v>
      </c>
      <c r="V122" s="4" t="s">
        <v>45</v>
      </c>
      <c r="W122" s="4" t="s">
        <v>45</v>
      </c>
      <c r="X122" s="4" t="s">
        <v>45</v>
      </c>
      <c r="Y122" s="4" t="s">
        <v>45</v>
      </c>
      <c r="Z122" s="4">
        <v>1.2</v>
      </c>
      <c r="AA122" s="4" t="s">
        <v>979</v>
      </c>
      <c r="AB122" s="4" t="s">
        <v>981</v>
      </c>
      <c r="AC122" s="4" t="s">
        <v>1069</v>
      </c>
      <c r="AD122" s="39">
        <v>1</v>
      </c>
      <c r="AE122" s="4">
        <v>1.1000000000000001</v>
      </c>
      <c r="AF122" s="4" t="s">
        <v>995</v>
      </c>
      <c r="AG122" s="4" t="s">
        <v>997</v>
      </c>
      <c r="AH122" s="4" t="s">
        <v>1887</v>
      </c>
      <c r="AI122" s="4">
        <v>1</v>
      </c>
      <c r="AJ122" s="4" t="s">
        <v>1004</v>
      </c>
      <c r="AK122" s="4">
        <v>0</v>
      </c>
      <c r="AL122" s="4" t="s">
        <v>1094</v>
      </c>
      <c r="AM122" s="4">
        <v>0</v>
      </c>
      <c r="AN122" s="4">
        <v>1</v>
      </c>
      <c r="AO122" s="4">
        <v>1</v>
      </c>
      <c r="AP122" s="4" t="s">
        <v>45</v>
      </c>
      <c r="AQ122" s="4">
        <v>0</v>
      </c>
      <c r="AR122" s="4" t="s">
        <v>1029</v>
      </c>
      <c r="AS122" s="4">
        <v>1</v>
      </c>
      <c r="AT122" s="4">
        <v>0</v>
      </c>
      <c r="AU122" s="4">
        <v>0</v>
      </c>
      <c r="AV122" s="4" t="s">
        <v>45</v>
      </c>
      <c r="AW122" s="4">
        <v>0</v>
      </c>
      <c r="AX122" s="4">
        <v>0</v>
      </c>
      <c r="AY122" s="4">
        <v>0</v>
      </c>
      <c r="AZ122" s="4">
        <v>2</v>
      </c>
      <c r="BA122" s="4">
        <v>0</v>
      </c>
      <c r="BB122" s="4">
        <v>0</v>
      </c>
      <c r="BC122" s="4">
        <v>1</v>
      </c>
      <c r="BD122" s="4">
        <v>0</v>
      </c>
      <c r="BE122" s="4">
        <v>0</v>
      </c>
      <c r="BF122" s="4">
        <v>0</v>
      </c>
      <c r="BG122" s="39">
        <v>0.25</v>
      </c>
      <c r="BH122" s="39">
        <v>0.1</v>
      </c>
      <c r="BI122" s="39">
        <v>2.5000000000000001E-2</v>
      </c>
      <c r="BJ122" s="39" t="s">
        <v>1087</v>
      </c>
      <c r="BK122" s="39">
        <v>1</v>
      </c>
      <c r="BL122" s="39">
        <v>0</v>
      </c>
      <c r="BM122" s="39">
        <v>0</v>
      </c>
    </row>
    <row r="123" spans="1:65" s="16" customFormat="1" x14ac:dyDescent="0.25">
      <c r="A123" s="16" t="s">
        <v>1890</v>
      </c>
      <c r="B123" s="39">
        <v>1</v>
      </c>
      <c r="C123" s="39">
        <v>1</v>
      </c>
      <c r="D123" s="39">
        <v>1</v>
      </c>
      <c r="E123" s="39">
        <v>1</v>
      </c>
      <c r="F123" s="39">
        <v>0</v>
      </c>
      <c r="G123" s="39">
        <v>0</v>
      </c>
      <c r="H123" s="40">
        <f>AVERAGE(169.2,194.5)</f>
        <v>181.85</v>
      </c>
      <c r="I123" s="41">
        <f>AVERAGE(12.22%,12.21%)</f>
        <v>0.12215000000000001</v>
      </c>
      <c r="J123" s="39">
        <v>0.89</v>
      </c>
      <c r="K123" s="39">
        <v>0.32</v>
      </c>
      <c r="L123" s="39">
        <v>1</v>
      </c>
      <c r="M123" s="39">
        <v>0</v>
      </c>
      <c r="N123" s="4" t="s">
        <v>45</v>
      </c>
      <c r="O123" s="4">
        <v>0</v>
      </c>
      <c r="P123" s="4">
        <v>0</v>
      </c>
      <c r="Q123" s="4" t="s">
        <v>45</v>
      </c>
      <c r="R123" s="4" t="s">
        <v>45</v>
      </c>
      <c r="S123" s="4" t="s">
        <v>45</v>
      </c>
      <c r="T123" s="4" t="s">
        <v>45</v>
      </c>
      <c r="U123" s="4" t="s">
        <v>45</v>
      </c>
      <c r="V123" s="4" t="s">
        <v>45</v>
      </c>
      <c r="W123" s="4" t="s">
        <v>45</v>
      </c>
      <c r="X123" s="4" t="s">
        <v>45</v>
      </c>
      <c r="Y123" s="4" t="s">
        <v>45</v>
      </c>
      <c r="Z123" s="4" t="s">
        <v>45</v>
      </c>
      <c r="AA123" s="4" t="s">
        <v>45</v>
      </c>
      <c r="AB123" s="4" t="s">
        <v>45</v>
      </c>
      <c r="AC123" s="4" t="s">
        <v>45</v>
      </c>
      <c r="AD123" s="39">
        <v>0</v>
      </c>
      <c r="AE123" s="4" t="s">
        <v>45</v>
      </c>
      <c r="AF123" s="4" t="s">
        <v>45</v>
      </c>
      <c r="AG123" s="4" t="s">
        <v>45</v>
      </c>
      <c r="AH123" s="4" t="s">
        <v>45</v>
      </c>
      <c r="AI123" s="4">
        <v>1</v>
      </c>
      <c r="AJ123" s="4" t="s">
        <v>1004</v>
      </c>
      <c r="AK123" s="4">
        <v>0</v>
      </c>
      <c r="AL123" s="4" t="s">
        <v>1895</v>
      </c>
      <c r="AM123" s="4">
        <v>0</v>
      </c>
      <c r="AN123" s="4">
        <v>0</v>
      </c>
      <c r="AO123" s="4">
        <v>0</v>
      </c>
      <c r="AP123" s="4" t="s">
        <v>45</v>
      </c>
      <c r="AQ123" s="4">
        <v>0</v>
      </c>
      <c r="AR123" s="4" t="s">
        <v>674</v>
      </c>
      <c r="AS123" s="4">
        <v>0</v>
      </c>
      <c r="AT123" s="4">
        <v>0</v>
      </c>
      <c r="AU123" s="4">
        <v>0</v>
      </c>
      <c r="AV123" s="4" t="s">
        <v>45</v>
      </c>
      <c r="AW123" s="4">
        <v>1</v>
      </c>
      <c r="AX123" s="4">
        <v>1</v>
      </c>
      <c r="AY123" s="4">
        <v>1</v>
      </c>
      <c r="AZ123" s="4">
        <v>2</v>
      </c>
      <c r="BA123" s="4">
        <v>0</v>
      </c>
      <c r="BB123" s="4">
        <v>0</v>
      </c>
      <c r="BC123" s="4">
        <v>1</v>
      </c>
      <c r="BD123" s="4">
        <v>0</v>
      </c>
      <c r="BE123" s="4">
        <v>0</v>
      </c>
      <c r="BF123" s="4">
        <v>0</v>
      </c>
      <c r="BG123" s="39">
        <v>0</v>
      </c>
      <c r="BH123" s="39">
        <v>0</v>
      </c>
      <c r="BI123" s="39">
        <v>0</v>
      </c>
      <c r="BJ123" s="39" t="s">
        <v>1087</v>
      </c>
      <c r="BK123" s="39">
        <v>0</v>
      </c>
      <c r="BL123" s="39">
        <v>0</v>
      </c>
      <c r="BM123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1"/>
  <sheetViews>
    <sheetView tabSelected="1" topLeftCell="A245" zoomScaleNormal="100" workbookViewId="0">
      <pane xSplit="1" topLeftCell="AD1" activePane="topRight" state="frozen"/>
      <selection pane="topRight" activeCell="O260" sqref="O260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1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1113</v>
      </c>
      <c r="J1" s="38" t="s">
        <v>22</v>
      </c>
      <c r="K1" s="38" t="s">
        <v>233</v>
      </c>
      <c r="L1" s="38" t="s">
        <v>626</v>
      </c>
      <c r="M1" s="38" t="s">
        <v>233</v>
      </c>
      <c r="N1" s="29" t="s">
        <v>1060</v>
      </c>
      <c r="O1" s="29" t="s">
        <v>1059</v>
      </c>
      <c r="P1" s="29" t="s">
        <v>921</v>
      </c>
      <c r="Q1" s="29" t="s">
        <v>922</v>
      </c>
      <c r="R1" s="29" t="s">
        <v>934</v>
      </c>
      <c r="S1" s="29" t="s">
        <v>946</v>
      </c>
      <c r="T1" s="29" t="s">
        <v>1016</v>
      </c>
      <c r="U1" s="29" t="s">
        <v>250</v>
      </c>
      <c r="V1" s="29" t="s">
        <v>249</v>
      </c>
      <c r="W1" s="29" t="s">
        <v>251</v>
      </c>
      <c r="X1" s="29" t="s">
        <v>653</v>
      </c>
      <c r="Y1" s="43" t="s">
        <v>37</v>
      </c>
      <c r="Z1" s="43" t="s">
        <v>1334</v>
      </c>
      <c r="AA1" s="29" t="s">
        <v>1026</v>
      </c>
      <c r="AB1" s="29" t="s">
        <v>1331</v>
      </c>
      <c r="AC1" s="29" t="s">
        <v>1027</v>
      </c>
      <c r="AD1" s="29" t="s">
        <v>1028</v>
      </c>
      <c r="AE1" s="4" t="s">
        <v>1047</v>
      </c>
      <c r="AF1" s="29" t="s">
        <v>310</v>
      </c>
      <c r="AG1" s="29" t="s">
        <v>663</v>
      </c>
      <c r="AH1" s="29" t="s">
        <v>1328</v>
      </c>
      <c r="AI1" s="29" t="s">
        <v>1057</v>
      </c>
      <c r="AJ1" s="29" t="s">
        <v>1056</v>
      </c>
      <c r="AK1" s="29" t="s">
        <v>1058</v>
      </c>
      <c r="AL1" s="29" t="s">
        <v>920</v>
      </c>
      <c r="AM1" s="29" t="s">
        <v>1100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1098</v>
      </c>
      <c r="AV1" s="45" t="s">
        <v>1063</v>
      </c>
      <c r="AW1" s="30" t="s">
        <v>1064</v>
      </c>
      <c r="AX1" s="30" t="s">
        <v>1066</v>
      </c>
      <c r="AY1" s="30" t="s">
        <v>1067</v>
      </c>
      <c r="AZ1" s="30" t="s">
        <v>1068</v>
      </c>
      <c r="BA1" s="30" t="s">
        <v>1099</v>
      </c>
      <c r="BB1" s="30" t="s">
        <v>1105</v>
      </c>
      <c r="BC1" s="30" t="s">
        <v>1109</v>
      </c>
      <c r="BD1" s="30" t="s">
        <v>1104</v>
      </c>
      <c r="BE1" s="30" t="s">
        <v>1077</v>
      </c>
      <c r="BF1" s="30" t="s">
        <v>1080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1072</v>
      </c>
      <c r="BL1" s="30" t="s">
        <v>1076</v>
      </c>
      <c r="BM1" s="30" t="s">
        <v>1074</v>
      </c>
      <c r="BN1" s="30" t="s">
        <v>1078</v>
      </c>
      <c r="BO1" s="30" t="s">
        <v>1079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1115</v>
      </c>
      <c r="BX1" s="29" t="s">
        <v>1114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927</v>
      </c>
      <c r="E2" s="7" t="str">
        <f>Groups!$A$62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627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933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IF(_xlfn.XLOOKUP(E2,Groups!A:A,Groups!N:N)="Theropod",EXP(0.6966*LN(C2)+4.158)*S2,
"No"))))))))))))))))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928</v>
      </c>
      <c r="E3" s="7" t="str">
        <f>Groups!$A$62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627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933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IF(_xlfn.XLOOKUP(E3,Groups!A:A,Groups!N:N)="Theropod",EXP(0.6966*LN(C3)+4.158)*S3,
"No"))))))))))))))))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Groups!$A$63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627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933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IF(_xlfn.XLOOKUP(E4,Groups!A:A,Groups!N:N)="Theropod",EXP(0.6966*LN(C4)+4.158)*S4,
"No"))))))))))))))))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935</v>
      </c>
      <c r="E5" s="7" t="str">
        <f>Groups!$A$12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628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933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IF(_xlfn.XLOOKUP(E5,Groups!A:A,Groups!N:N)="Theropod",EXP(0.6966*LN(C5)+4.158)*S5,
"No"))))))))))))))))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Groups!$A$10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627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933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IF(_xlfn.XLOOKUP(E6,Groups!A:A,Groups!N:N)="Theropod",EXP(0.6966*LN(C6)+4.158)*S6,
"No"))))))))))))))))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Groups!$A$12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627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933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IF(_xlfn.XLOOKUP(E7,Groups!A:A,Groups!N:N)="Theropod",EXP(0.6966*LN(C7)+4.158)*S7,
"No"))))))))))))))))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916</v>
      </c>
      <c r="C8" s="7">
        <v>6.05</v>
      </c>
      <c r="D8" s="7" t="s">
        <v>505</v>
      </c>
      <c r="E8" s="7" t="str">
        <f>Groups!$A$12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629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933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IF(_xlfn.XLOOKUP(E8,Groups!A:A,Groups!N:N)="Theropod",EXP(0.6966*LN(C8)+4.158)*S8,
"No"))))))))))))))))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918</v>
      </c>
      <c r="C9" s="7">
        <f>AVERAGE(AVERAGE(7,9),AVERAGE(5,7))</f>
        <v>7</v>
      </c>
      <c r="D9" s="7" t="s">
        <v>936</v>
      </c>
      <c r="E9" s="7" t="str">
        <f>Groups!$A$9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629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933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IF(_xlfn.XLOOKUP(E9,Groups!A:A,Groups!N:N)="Theropod",EXP(0.6966*LN(C9)+4.158)*S9,
"No"))))))))))))))))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917</v>
      </c>
      <c r="C10" s="7">
        <v>1.048</v>
      </c>
      <c r="D10" s="7" t="s">
        <v>506</v>
      </c>
      <c r="E10" s="7" t="str">
        <f>Groups!$A$9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629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933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IF(_xlfn.XLOOKUP(E10,Groups!A:A,Groups!N:N)="Theropod",EXP(0.6966*LN(C10)+4.158)*S10,
"No"))))))))))))))))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936</v>
      </c>
      <c r="E11" s="7" t="str">
        <f>Groups!$A$12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629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933</v>
      </c>
      <c r="Y11" s="4" t="s">
        <v>1008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IF(_xlfn.XLOOKUP(E11,Groups!A:A,Groups!N:N)="Theropod",EXP(0.6966*LN(C11)+4.158)*S11,
"No"))))))))))))))))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1137</v>
      </c>
      <c r="E12" s="7" t="str">
        <f>Groups!$A$22</f>
        <v>Camellike (CAMEL)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630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933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IF(_xlfn.XLOOKUP(E12,Groups!A:A,Groups!N:N)="Theropod",EXP(0.6966*LN(C12)+4.158)*S12,
"No"))))))))))))))))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1015</v>
      </c>
      <c r="E13" s="7" t="str">
        <f>Groups!$A$21</f>
        <v>Camellike (LLAMA)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627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933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IF(_xlfn.XLOOKUP(E13,Groups!A:A,Groups!N:N)="Theropod",EXP(0.6966*LN(C13)+4.158)*S13,
"No"))))))))))))))))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875</v>
      </c>
      <c r="C14" s="7">
        <f>AVERAGE(1.36,3.17 )</f>
        <v>2.2650000000000001</v>
      </c>
      <c r="D14" s="7" t="s">
        <v>1044</v>
      </c>
      <c r="E14" s="7" t="str">
        <f>Groups!$A$14</f>
        <v>Doglike (CANID)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627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933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IF(_xlfn.XLOOKUP(E14,Groups!A:A,Groups!N:N)="Theropod",EXP(0.6966*LN(C14)+4.158)*S14,
"No"))))))))))))))))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876</v>
      </c>
      <c r="C15" s="7">
        <f>AVERAGE(AVERAGE(29,36),AVERAGE(25,32))</f>
        <v>30.5</v>
      </c>
      <c r="D15" s="7" t="s">
        <v>1045</v>
      </c>
      <c r="E15" s="7" t="str">
        <f>Groups!$A$14</f>
        <v>Doglike (CANID)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627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933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IF(_xlfn.XLOOKUP(E15,Groups!A:A,Groups!N:N)="Theropod",EXP(0.6966*LN(C15)+4.158)*S15,
"No"))))))))))))))))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877</v>
      </c>
      <c r="C16" s="7">
        <f>AVERAGE(38,34)</f>
        <v>36</v>
      </c>
      <c r="D16" s="7" t="s">
        <v>1046</v>
      </c>
      <c r="E16" s="7" t="str">
        <f>Groups!$A$14</f>
        <v>Doglike (CANID)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627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933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IF(_xlfn.XLOOKUP(E16,Groups!A:A,Groups!N:N)="Theropod",EXP(0.6966*LN(C16)+4.158)*S16,
"No"))))))))))))))))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Groups!$A$18</f>
        <v>Catlike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627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933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IF(_xlfn.XLOOKUP(E17,Groups!A:A,Groups!N:N)="Theropod",EXP(0.6966*LN(C17)+4.158)*S17,
"No"))))))))))))))))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Groups!$A$18</f>
        <v>Catlike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627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933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IF(_xlfn.XLOOKUP(E18,Groups!A:A,Groups!N:N)="Theropod",EXP(0.6966*LN(C18)+4.158)*S18,
"No"))))))))))))))))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Groups!$A$18</f>
        <v>Catlike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627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933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IF(_xlfn.XLOOKUP(E19,Groups!A:A,Groups!N:N)="Theropod",EXP(0.6966*LN(C19)+4.158)*S19,
"No"))))))))))))))))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Groups!$A$18</f>
        <v>Catlike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627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933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IF(_xlfn.XLOOKUP(E20,Groups!A:A,Groups!N:N)="Theropod",EXP(0.6966*LN(C20)+4.158)*S20,
"No"))))))))))))))))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1138</v>
      </c>
      <c r="E21" s="7" t="str">
        <f>Groups!$A$24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627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933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IF(_xlfn.XLOOKUP(E21,Groups!A:A,Groups!N:N)="Theropod",EXP(0.6966*LN(C21)+4.158)*S21,
"No"))))))))))))))))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Groups!$A$24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627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933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IF(_xlfn.XLOOKUP(E22,Groups!A:A,Groups!N:N)="Theropod",EXP(0.6966*LN(C22)+4.158)*S22,
"No"))))))))))))))))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878</v>
      </c>
      <c r="C23" s="7">
        <v>4.1749999999999998</v>
      </c>
      <c r="D23" s="7" t="s">
        <v>879</v>
      </c>
      <c r="E23" s="7" t="str">
        <f>Groups!$A$48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879</v>
      </c>
      <c r="L23" s="7">
        <v>72</v>
      </c>
      <c r="M23" s="7" t="s">
        <v>627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933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IF(_xlfn.XLOOKUP(E23,Groups!A:A,Groups!N:N)="Theropod",EXP(0.6966*LN(C23)+4.158)*S23,
"No"))))))))))))))))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Groups!$A$48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627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933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IF(_xlfn.XLOOKUP(E24,Groups!A:A,Groups!N:N)="Theropod",EXP(0.6966*LN(C24)+4.158)*S24,
"No"))))))))))))))))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1139</v>
      </c>
      <c r="C25" s="7">
        <v>2175</v>
      </c>
      <c r="D25" s="7" t="s">
        <v>1140</v>
      </c>
      <c r="E25" s="7" t="str">
        <f>Groups!$A$46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1140</v>
      </c>
      <c r="L25" s="7">
        <f>7.5*3.6</f>
        <v>27</v>
      </c>
      <c r="M25" s="7" t="s">
        <v>1142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933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IF(_xlfn.XLOOKUP(E25,Groups!A:A,Groups!N:N)="Theropod",EXP(0.6966*LN(C25)+4.158)*S25,
"No"))))))))))))))))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1141</v>
      </c>
      <c r="E26" s="7" t="str">
        <f>Groups!$A$17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627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933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1048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IF(_xlfn.XLOOKUP(E26,Groups!A:A,Groups!N:N)="Theropod",EXP(0.6966*LN(C26)+4.158)*S26,
"No"))))))))))))))))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Groups!$A$60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627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933</v>
      </c>
      <c r="Y27" s="4" t="s">
        <v>1007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1054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IF(_xlfn.XLOOKUP(E27,Groups!A:A,Groups!N:N)="Theropod",EXP(0.6966*LN(C27)+4.158)*S27,
"No"))))))))))))))))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1143</v>
      </c>
      <c r="E28" s="7" t="str">
        <f>Groups!$A$56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627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933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1049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IF(_xlfn.XLOOKUP(E28,Groups!A:A,Groups!N:N)="Theropod",EXP(0.6966*LN(C28)+4.158)*S28,
"No"))))))))))))))))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1151</v>
      </c>
      <c r="E29" s="7" t="str">
        <f>Groups!$A$37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631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964</v>
      </c>
      <c r="Y29" s="4" t="s">
        <v>1008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IF(_xlfn.XLOOKUP(E29,Groups!A:A,Groups!N:N)="Theropod",EXP(0.6966*LN(C29)+4.158)*S29,
"No"))))))))))))))))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1152</v>
      </c>
      <c r="E30" s="7" t="str">
        <f>Groups!$A$36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631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933</v>
      </c>
      <c r="Y30" s="4" t="s">
        <v>1008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IF(_xlfn.XLOOKUP(E30,Groups!A:A,Groups!N:N)="Theropod",EXP(0.6966*LN(C30)+4.158)*S30,
"No"))))))))))))))))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1153</v>
      </c>
      <c r="E31" s="7" t="str">
        <f>Groups!$A$45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627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933</v>
      </c>
      <c r="Y31" s="4" t="s">
        <v>1008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1050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IF(_xlfn.XLOOKUP(E31,Groups!A:A,Groups!N:N)="Theropod",EXP(0.6966*LN(C31)+4.158)*S31,
"No"))))))))))))))))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Groups!$A$25</f>
        <v>Lizard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633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933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IF(_xlfn.XLOOKUP(E32,Groups!A:A,Groups!N:N)="Theropod",EXP(0.6966*LN(C32)+4.158)*S32,
"No"))))))))))))))))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Groups!$A$58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632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933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IF(_xlfn.XLOOKUP(E33,Groups!A:A,Groups!N:N)="Theropod",EXP(0.6966*LN(C33)+4.158)*S33,
"No"))))))))))))))))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1154</v>
      </c>
      <c r="E34" s="7" t="str">
        <f>Groups!$A$61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634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933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IF(_xlfn.XLOOKUP(E34,Groups!A:A,Groups!N:N)="Theropod",EXP(0.6966*LN(C34)+4.158)*S34,
"No"))))))))))))))))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Groups!$A$49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631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933</v>
      </c>
      <c r="Y35" s="4" t="s">
        <v>1008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IF(_xlfn.XLOOKUP(E35,Groups!A:A,Groups!N:N)="Theropod",EXP(0.6966*LN(C35)+4.158)*S35,
"No"))))))))))))))))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Groups!$A$50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627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933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IF(_xlfn.XLOOKUP(E36,Groups!A:A,Groups!N:N)="Theropod",EXP(0.6966*LN(C36)+4.158)*S36,
"No"))))))))))))))))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Groups!$A$48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627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933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IF(_xlfn.XLOOKUP(E37,Groups!A:A,Groups!N:N)="Theropod",EXP(0.6966*LN(C37)+4.158)*S37,
"No"))))))))))))))))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Groups!$A$50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635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933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IF(_xlfn.XLOOKUP(E38,Groups!A:A,Groups!N:N)="Theropod",EXP(0.6966*LN(C38)+4.158)*S38,
"No"))))))))))))))))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1155</v>
      </c>
      <c r="E39" s="7" t="str">
        <f>Groups!$A$47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627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933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IF(_xlfn.XLOOKUP(E39,Groups!A:A,Groups!N:N)="Theropod",EXP(0.6966*LN(C39)+4.158)*S39,
"No"))))))))))))))))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Groups!$A$50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627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933</v>
      </c>
      <c r="Y40" s="4" t="s">
        <v>1007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IF(_xlfn.XLOOKUP(E40,Groups!A:A,Groups!N:N)="Theropod",EXP(0.6966*LN(C40)+4.158)*S40,
"No"))))))))))))))))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Groups!$A$49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627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933</v>
      </c>
      <c r="Y41" s="4" t="s">
        <v>1008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IF(_xlfn.XLOOKUP(E41,Groups!A:A,Groups!N:N)="Theropod",EXP(0.6966*LN(C41)+4.158)*S41,
"No"))))))))))))))))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Groups!$A$51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627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933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IF(_xlfn.XLOOKUP(E42,Groups!A:A,Groups!N:N)="Theropod",EXP(0.6966*LN(C42)+4.158)*S42,
"No"))))))))))))))))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1156</v>
      </c>
      <c r="E43" s="7" t="str">
        <f>Groups!$A$52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627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964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IF(_xlfn.XLOOKUP(E43,Groups!A:A,Groups!N:N)="Theropod",EXP(0.6966*LN(C43)+4.158)*S43,
"No"))))))))))))))))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Groups!$A$51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627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933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IF(_xlfn.XLOOKUP(E44,Groups!A:A,Groups!N:N)="Theropod",EXP(0.6966*LN(C44)+4.158)*S44,
"No"))))))))))))))))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Groups!$A$51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627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964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IF(_xlfn.XLOOKUP(E45,Groups!A:A,Groups!N:N)="Theropod",EXP(0.6966*LN(C45)+4.158)*S45,
"No"))))))))))))))))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Groups!$A$54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627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933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IF(_xlfn.XLOOKUP(E46,Groups!A:A,Groups!N:N)="Theropod",EXP(0.6966*LN(C46)+4.158)*S46,
"No"))))))))))))))))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Groups!$A$22</f>
        <v>Camellike (CAMEL)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627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933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IF(_xlfn.XLOOKUP(E47,Groups!A:A,Groups!N:N)="Theropod",EXP(0.6966*LN(C47)+4.158)*S47,
"No"))))))))))))))))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880</v>
      </c>
      <c r="C48" s="7">
        <v>150</v>
      </c>
      <c r="D48" s="7" t="s">
        <v>528</v>
      </c>
      <c r="E48" s="7" t="str">
        <f>Groups!$A$22</f>
        <v>Camellike (CAMEL)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627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933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1798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IF(_xlfn.XLOOKUP(E48,Groups!A:A,Groups!N:N)="Theropod",EXP(0.6966*LN(C48)+4.158)*S48,
"No"))))))))))))))))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1157</v>
      </c>
      <c r="E49" s="7" t="str">
        <f>Groups!$A$54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627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933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IF(_xlfn.XLOOKUP(E49,Groups!A:A,Groups!N:N)="Theropod",EXP(0.6966*LN(C49)+4.158)*S49,
"No"))))))))))))))))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Groups!$A$53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627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933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IF(_xlfn.XLOOKUP(E50,Groups!A:A,Groups!N:N)="Theropod",EXP(0.6966*LN(C50)+4.158)*S50,
"No"))))))))))))))))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1158</v>
      </c>
      <c r="E51" s="7" t="str">
        <f>Groups!$A$52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636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964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IF(_xlfn.XLOOKUP(E51,Groups!A:A,Groups!N:N)="Theropod",EXP(0.6966*LN(C51)+4.158)*S51,
"No"))))))))))))))))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1159</v>
      </c>
      <c r="E52" s="7" t="str">
        <f>Groups!$A$53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636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964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IF(_xlfn.XLOOKUP(E52,Groups!A:A,Groups!N:N)="Theropod",EXP(0.6966*LN(C52)+4.158)*S52,
"No"))))))))))))))))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Groups!$A$54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627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964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IF(_xlfn.XLOOKUP(E53,Groups!A:A,Groups!N:N)="Theropod",EXP(0.6966*LN(C53)+4.158)*S53,
"No"))))))))))))))))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Groups!$A$52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627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933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IF(_xlfn.XLOOKUP(E54,Groups!A:A,Groups!N:N)="Theropod",EXP(0.6966*LN(C54)+4.158)*S54,
"No"))))))))))))))))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200</v>
      </c>
      <c r="D55" s="7" t="s">
        <v>528</v>
      </c>
      <c r="E55" s="7" t="str">
        <f>Groups!$A$14</f>
        <v>Doglike (CANID)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54.150070655093025</v>
      </c>
      <c r="M55" s="7" t="s">
        <v>627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933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IF(_xlfn.XLOOKUP(E55,Groups!A:A,Groups!N:N)="Theropod",EXP(0.6966*LN(C55)+4.158)*S55,
"No"))))))))))))))))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882</v>
      </c>
      <c r="C56" s="7">
        <v>40</v>
      </c>
      <c r="D56" s="7" t="s">
        <v>1160</v>
      </c>
      <c r="E56" s="7" t="str">
        <f>Groups!$A$14</f>
        <v>Doglike (CANID)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627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933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IF(_xlfn.XLOOKUP(E56,Groups!A:A,Groups!N:N)="Theropod",EXP(0.6966*LN(C56)+4.158)*S56,
"No"))))))))))))))))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1010</v>
      </c>
      <c r="B57" s="6" t="s">
        <v>881</v>
      </c>
      <c r="C57" s="7">
        <v>40</v>
      </c>
      <c r="D57" s="7" t="s">
        <v>1160</v>
      </c>
      <c r="E57" s="7" t="str">
        <f>Groups!$A$14</f>
        <v>Doglike (CANID)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627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933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IF(_xlfn.XLOOKUP(E57,Groups!A:A,Groups!N:N)="Theropod",EXP(0.6966*LN(C57)+4.158)*S57,
"No"))))))))))))))))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1765</v>
      </c>
      <c r="E58" s="7" t="str">
        <f>Groups!$A$14</f>
        <v>Doglike (CANID)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627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933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IF(_xlfn.XLOOKUP(E58,Groups!A:A,Groups!N:N)="Theropod",EXP(0.6966*LN(C58)+4.158)*S58,
"No"))))))))))))))))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Groups!$A$14</f>
        <v>Doglike (CANID)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627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933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IF(_xlfn.XLOOKUP(E59,Groups!A:A,Groups!N:N)="Theropod",EXP(0.6966*LN(C59)+4.158)*S59,
"No"))))))))))))))))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929</v>
      </c>
      <c r="E60" s="7" t="str">
        <f>Groups!$A$14</f>
        <v>Doglike (CANID)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627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933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IF(_xlfn.XLOOKUP(E60,Groups!A:A,Groups!N:N)="Theropod",EXP(0.6966*LN(C60)+4.158)*S60,
"No"))))))))))))))))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Groups!$A$49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627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933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1798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IF(_xlfn.XLOOKUP(E61,Groups!A:A,Groups!N:N)="Theropod",EXP(0.6966*LN(C61)+4.158)*S61,
"No"))))))))))))))))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Groups!$A$62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627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933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IF(_xlfn.XLOOKUP(E62,Groups!A:A,Groups!N:N)="Theropod",EXP(0.6966*LN(C62)+4.158)*S62,
"No"))))))))))))))))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1161</v>
      </c>
      <c r="E63" s="7" t="str">
        <f>Groups!$A$8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629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933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IF(_xlfn.XLOOKUP(E63,Groups!A:A,Groups!N:N)="Theropod",EXP(0.6966*LN(C63)+4.158)*S63,
"No"))))))))))))))))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Groups!$A$8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629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933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IF(_xlfn.XLOOKUP(E64,Groups!A:A,Groups!N:N)="Theropod",EXP(0.6966*LN(C64)+4.158)*S64,
"No"))))))))))))))))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1162</v>
      </c>
      <c r="E65" s="7" t="str">
        <f>Groups!$A$7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629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933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IF(_xlfn.XLOOKUP(E65,Groups!A:A,Groups!N:N)="Theropod",EXP(0.6966*LN(C65)+4.158)*S65,
"No"))))))))))))))))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1163</v>
      </c>
      <c r="E66" s="7" t="str">
        <f>Groups!$A$6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629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933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IF(_xlfn.XLOOKUP(E66,Groups!A:A,Groups!N:N)="Theropod",EXP(0.6966*LN(C66)+4.158)*S66,
"No"))))))))))))))))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1251</v>
      </c>
      <c r="E67" s="7" t="str">
        <f>Groups!$A$12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629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933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IF(_xlfn.XLOOKUP(E67,Groups!A:A,Groups!N:N)="Theropod",EXP(0.6966*LN(C67)+4.158)*S67,
"No"))))))))))))))))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1249</v>
      </c>
      <c r="E68" s="7" t="str">
        <f>Groups!$A$9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629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933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IF(_xlfn.XLOOKUP(E68,Groups!A:A,Groups!N:N)="Theropod",EXP(0.6966*LN(C68)+4.158)*S68,
"No"))))))))))))))))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1250</v>
      </c>
      <c r="E69" s="7" t="str">
        <f>Groups!$A$9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629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933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IF(_xlfn.XLOOKUP(E69,Groups!A:A,Groups!N:N)="Theropod",EXP(0.6966*LN(C69)+4.158)*S69,
"No"))))))))))))))))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1252</v>
      </c>
      <c r="E70" s="7" t="str">
        <f>Groups!$A$9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629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933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IF(_xlfn.XLOOKUP(E70,Groups!A:A,Groups!N:N)="Theropod",EXP(0.6966*LN(C70)+4.158)*S70,
"No"))))))))))))))))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Groups!$A$9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629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933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IF(_xlfn.XLOOKUP(E71,Groups!A:A,Groups!N:N)="Theropod",EXP(0.6966*LN(C71)+4.158)*S71,
"No"))))))))))))))))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1253</v>
      </c>
      <c r="E72" s="7" t="str">
        <f>Groups!$A$12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629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933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IF(_xlfn.XLOOKUP(E72,Groups!A:A,Groups!N:N)="Theropod",EXP(0.6966*LN(C72)+4.158)*S72,
"No"))))))))))))))))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1254</v>
      </c>
      <c r="E73" s="7" t="str">
        <f>Groups!$A$11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629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933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IF(_xlfn.XLOOKUP(E73,Groups!A:A,Groups!N:N)="Theropod",EXP(0.6966*LN(C73)+4.158)*S73,
"No"))))))))))))))))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1164</v>
      </c>
      <c r="E74" s="7" t="str">
        <f>Groups!$A$19</f>
        <v>Catlike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627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933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IF(_xlfn.XLOOKUP(E74,Groups!A:A,Groups!N:N)="Theropod",EXP(0.6966*LN(C74)+4.158)*S74,
"No"))))))))))))))))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1134</v>
      </c>
      <c r="E75" s="7" t="str">
        <f>Groups!$A$18</f>
        <v>Catlike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627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933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IF(_xlfn.XLOOKUP(E75,Groups!A:A,Groups!N:N)="Theropod",EXP(0.6966*LN(C75)+4.158)*S75,
"No"))))))))))))))))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1255</v>
      </c>
      <c r="E76" s="7" t="str">
        <f>Groups!$A$20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933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IF(_xlfn.XLOOKUP(E76,Groups!A:A,Groups!N:N)="Theropod",EXP(0.6966*LN(C76)+4.158)*S76,
"No"))))))))))))))))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Groups!$A$20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933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IF(_xlfn.XLOOKUP(E77,Groups!A:A,Groups!N:N)="Theropod",EXP(0.6966*LN(C77)+4.158)*S77,
"No"))))))))))))))))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1256</v>
      </c>
      <c r="E78" s="7" t="str">
        <f>Groups!$A$38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627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933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IF(_xlfn.XLOOKUP(E78,Groups!A:A,Groups!N:N)="Theropod",EXP(0.6966*LN(C78)+4.158)*S78,
"No"))))))))))))))))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1141</v>
      </c>
      <c r="E79" s="7" t="str">
        <f>Groups!$A$17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627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933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1048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IF(_xlfn.XLOOKUP(E79,Groups!A:A,Groups!N:N)="Theropod",EXP(0.6966*LN(C79)+4.158)*S79,
"No"))))))))))))))))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1101</v>
      </c>
      <c r="C80" s="7">
        <v>7000</v>
      </c>
      <c r="D80" s="7" t="s">
        <v>528</v>
      </c>
      <c r="E80" s="7" t="str">
        <f>Groups!$A$60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627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933</v>
      </c>
      <c r="Y80" s="4" t="s">
        <v>1007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1054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IF(_xlfn.XLOOKUP(E80,Groups!A:A,Groups!N:N)="Theropod",EXP(0.6966*LN(C80)+4.158)*S80,
"No"))))))))))))))))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1795</v>
      </c>
      <c r="C81" s="7">
        <v>4.8499999999999996</v>
      </c>
      <c r="D81" s="7" t="s">
        <v>1796</v>
      </c>
      <c r="E81" s="7" t="str">
        <f>Groups!$A$30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1796</v>
      </c>
      <c r="L81" s="7">
        <f>MIN(20*C81^0.183,19.9*C81^0.142)</f>
        <v>24.901665974358551</v>
      </c>
      <c r="M81" s="7" t="s">
        <v>627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933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IF(_xlfn.XLOOKUP(E81,Groups!A:A,Groups!N:N)="Theropod",EXP(0.6966*LN(C81)+4.158)*S81,
"No"))))))))))))))))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929</v>
      </c>
      <c r="E82" s="7" t="str">
        <f>Groups!$A$34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627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933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IF(_xlfn.XLOOKUP(E82,Groups!A:A,Groups!N:N)="Theropod",EXP(0.6966*LN(C82)+4.158)*S82,
"No"))))))))))))))))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929</v>
      </c>
      <c r="E83" s="7" t="str">
        <f>Groups!$A$32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627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933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IF(_xlfn.XLOOKUP(E83,Groups!A:A,Groups!N:N)="Theropod",EXP(0.6966*LN(C83)+4.158)*S83,
"No"))))))))))))))))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Groups!$A$35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627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933</v>
      </c>
      <c r="Y84" s="4" t="s">
        <v>1008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IF(_xlfn.XLOOKUP(E84,Groups!A:A,Groups!N:N)="Theropod",EXP(0.6966*LN(C84)+4.158)*S84,
"No"))))))))))))))))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929</v>
      </c>
      <c r="E85" s="7" t="str">
        <f>Groups!$A$33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627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933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IF(_xlfn.XLOOKUP(E85,Groups!A:A,Groups!N:N)="Theropod",EXP(0.6966*LN(C85)+4.158)*S85,
"No"))))))))))))))))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Groups!$A$40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637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933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IF(_xlfn.XLOOKUP(E86,Groups!A:A,Groups!N:N)="Theropod",EXP(0.6966*LN(C86)+4.158)*S86,
"No"))))))))))))))))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Groups!$A$40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933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IF(_xlfn.XLOOKUP(E87,Groups!A:A,Groups!N:N)="Theropod",EXP(0.6966*LN(C87)+4.158)*S87,
"No"))))))))))))))))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Groups!$A$39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933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IF(_xlfn.XLOOKUP(E88,Groups!A:A,Groups!N:N)="Theropod",EXP(0.6966*LN(C88)+4.158)*S88,
"No"))))))))))))))))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1257</v>
      </c>
      <c r="E89" s="7" t="str">
        <f>Groups!$A$42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627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933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1051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IF(_xlfn.XLOOKUP(E89,Groups!A:A,Groups!N:N)="Theropod",EXP(0.6966*LN(C89)+4.158)*S89,
"No"))))))))))))))))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Groups!$A$26</f>
        <v>Lizard (MONITOR)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638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933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IF(_xlfn.XLOOKUP(E90,Groups!A:A,Groups!N:N)="Theropod",EXP(0.6966*LN(C90)+4.158)*S90,
"No"))))))))))))))))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1258</v>
      </c>
      <c r="E91" s="7" t="str">
        <f>Groups!$A$16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933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IF(_xlfn.XLOOKUP(E91,Groups!A:A,Groups!N:N)="Theropod",EXP(0.6966*LN(C91)+4.158)*S91,
"No"))))))))))))))))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1259</v>
      </c>
      <c r="E92" s="7" t="str">
        <f>Groups!$A$61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634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933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IF(_xlfn.XLOOKUP(E92,Groups!A:A,Groups!N:N)="Theropod",EXP(0.6966*LN(C92)+4.158)*S92,
"No"))))))))))))))))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Groups!$A$50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627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933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IF(_xlfn.XLOOKUP(E93,Groups!A:A,Groups!N:N)="Theropod",EXP(0.6966*LN(C93)+4.158)*S93,
"No"))))))))))))))))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1260</v>
      </c>
      <c r="E94" s="7" t="str">
        <f>Groups!$A$50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627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933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IF(_xlfn.XLOOKUP(E94,Groups!A:A,Groups!N:N)="Theropod",EXP(0.6966*LN(C94)+4.158)*S94,
"No"))))))))))))))))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Groups!$A$50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627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933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1049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IF(_xlfn.XLOOKUP(E95,Groups!A:A,Groups!N:N)="Theropod",EXP(0.6966*LN(C95)+4.158)*S95,
"No"))))))))))))))))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Groups!$A$54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627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933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IF(_xlfn.XLOOKUP(E96,Groups!A:A,Groups!N:N)="Theropod",EXP(0.6966*LN(C96)+4.158)*S96,
"No"))))))))))))))))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Groups!$A$53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627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933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IF(_xlfn.XLOOKUP(E97,Groups!A:A,Groups!N:N)="Theropod",EXP(0.6966*LN(C97)+4.158)*S97,
"No"))))))))))))))))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Groups!$A$57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933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IF(_xlfn.XLOOKUP(E98,Groups!A:A,Groups!N:N)="Theropod",EXP(0.6966*LN(C98)+4.158)*S98,
"No"))))))))))))))))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Groups!$A$14</f>
        <v>Doglike (CANID)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627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933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IF(_xlfn.XLOOKUP(E99,Groups!A:A,Groups!N:N)="Theropod",EXP(0.6966*LN(C99)+4.158)*S99,
"No"))))))))))))))))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1261</v>
      </c>
      <c r="E100" s="7" t="str">
        <f>Groups!$A$14</f>
        <v>Doglike (CANID)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627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933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IF(_xlfn.XLOOKUP(E100,Groups!A:A,Groups!N:N)="Theropod",EXP(0.6966*LN(C100)+4.158)*S100,
"No"))))))))))))))))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Groups!$A$15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933</v>
      </c>
      <c r="Y101" s="4" t="s">
        <v>1008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IF(_xlfn.XLOOKUP(E101,Groups!A:A,Groups!N:N)="Theropod",EXP(0.6966*LN(C101)+4.158)*S101,
"No"))))))))))))))))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Groups!$A$15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933</v>
      </c>
      <c r="Y102" s="4" t="s">
        <v>1008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IF(_xlfn.XLOOKUP(E102,Groups!A:A,Groups!N:N)="Theropod",EXP(0.6966*LN(C102)+4.158)*S102,
"No"))))))))))))))))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933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1051</v>
      </c>
      <c r="AF103" s="4" t="s">
        <v>45</v>
      </c>
      <c r="AG103" s="28" t="s">
        <v>1719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IF(_xlfn.XLOOKUP(E103,Groups!A:A,Groups!N:N)="Theropod",EXP(0.6966*LN(C103)+4.158)*S103,
"No"))))))))))))))))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Groups!$A$5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933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1049</v>
      </c>
      <c r="AF104" s="4" t="s">
        <v>45</v>
      </c>
      <c r="AG104" s="28" t="s">
        <v>1719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IF(_xlfn.XLOOKUP(E104,Groups!A:A,Groups!N:N)="Theropod",EXP(0.6966*LN(C104)+4.158)*S104,
"No"))))))))))))))))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Groups!$A$5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933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1050</v>
      </c>
      <c r="AF105" s="4" t="s">
        <v>45</v>
      </c>
      <c r="AG105" s="28" t="s">
        <v>1719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IF(_xlfn.XLOOKUP(E105,Groups!A:A,Groups!N:N)="Theropod",EXP(0.6966*LN(C105)+4.158)*S105,
"No"))))))))))))))))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Groups!$A$3</f>
        <v>Beetle (QUEEN)</v>
      </c>
      <c r="F106" s="7" t="s">
        <v>1707</v>
      </c>
      <c r="G106" s="7" t="s">
        <v>1707</v>
      </c>
      <c r="H106" s="7">
        <v>100</v>
      </c>
      <c r="I106" s="4">
        <v>0</v>
      </c>
      <c r="J106" s="7" t="s">
        <v>1707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933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1052</v>
      </c>
      <c r="AF106" s="4" t="s">
        <v>45</v>
      </c>
      <c r="AG106" s="28" t="s">
        <v>1719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IF(_xlfn.XLOOKUP(E106,Groups!A:A,Groups!N:N)="Theropod",EXP(0.6966*LN(C106)+4.158)*S106,
"No"))))))))))))))))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Groups!$A$4</f>
        <v>Beetle (LARVA)</v>
      </c>
      <c r="F107" s="7" t="s">
        <v>1707</v>
      </c>
      <c r="G107" s="7" t="s">
        <v>1707</v>
      </c>
      <c r="H107" s="7">
        <v>1</v>
      </c>
      <c r="I107" s="4">
        <v>0</v>
      </c>
      <c r="J107" s="7" t="s">
        <v>1707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933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1053</v>
      </c>
      <c r="AF107" s="4" t="s">
        <v>45</v>
      </c>
      <c r="AG107" s="28" t="s">
        <v>1719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IF(_xlfn.XLOOKUP(E107,Groups!A:A,Groups!N:N)="Theropod",EXP(0.6966*LN(C107)+4.158)*S107,
"No"))))))))))))))))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933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1051</v>
      </c>
      <c r="AF108" s="4" t="s">
        <v>45</v>
      </c>
      <c r="AG108" s="28" t="s">
        <v>1719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IF(_xlfn.XLOOKUP(E108,Groups!A:A,Groups!N:N)="Theropod",EXP(0.6966*LN(C108)+4.158)*S108,
"No"))))))))))))))))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915</v>
      </c>
      <c r="C109" s="7">
        <v>13.25</v>
      </c>
      <c r="D109" s="7" t="s">
        <v>582</v>
      </c>
      <c r="E109" s="7" t="str">
        <f>Groups!$A$14</f>
        <v>Doglike (CANID)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627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933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IF(_xlfn.XLOOKUP(E109,Groups!A:A,Groups!N:N)="Theropod",EXP(0.6966*LN(C109)+4.158)*S109,
"No"))))))))))))))))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1262</v>
      </c>
      <c r="E110" s="7" t="str">
        <f>Groups!$A$55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627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933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IF(_xlfn.XLOOKUP(E110,Groups!A:A,Groups!N:N)="Theropod",EXP(0.6966*LN(C110)+4.158)*S110,
"No"))))))))))))))))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1262</v>
      </c>
      <c r="E111" s="7" t="str">
        <f>Groups!$A$23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627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933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IF(_xlfn.XLOOKUP(E111,Groups!A:A,Groups!N:N)="Theropod",EXP(0.6966*LN(C111)+4.158)*S111,
"No"))))))))))))))))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1262</v>
      </c>
      <c r="E112" s="7" t="str">
        <f>Groups!$A$52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627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933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IF(_xlfn.XLOOKUP(E112,Groups!A:A,Groups!N:N)="Theropod",EXP(0.6966*LN(C112)+4.158)*S112,
"No"))))))))))))))))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1263</v>
      </c>
      <c r="E113" s="7" t="str">
        <f>Groups!$A$16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869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933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IF(_xlfn.XLOOKUP(E113,Groups!A:A,Groups!N:N)="Theropod",EXP(0.6966*LN(C113)+4.158)*S113,
"No"))))))))))))))))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Groups!$A$18</f>
        <v>Catlike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627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933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IF(_xlfn.XLOOKUP(E114,Groups!A:A,Groups!N:N)="Theropod",EXP(0.6966*LN(C114)+4.158)*S114,
"No"))))))))))))))))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Groups!$A$27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627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933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IF(_xlfn.XLOOKUP(E115,Groups!A:A,Groups!N:N)="Theropod",EXP(0.6966*LN(C115)+4.158)*S115,
"No"))))))))))))))))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Groups!$A$28</f>
        <v>Kangaroo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627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933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IF(_xlfn.XLOOKUP(E116,Groups!A:A,Groups!N:N)="Theropod",EXP(0.6966*LN(C116)+4.158)*S116,
"No"))))))))))))))))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Groups!$A$27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627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933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IF(_xlfn.XLOOKUP(E117,Groups!A:A,Groups!N:N)="Theropod",EXP(0.6966*LN(C117)+4.158)*S117,
"No"))))))))))))))))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Groups!$A$41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627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933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IF(_xlfn.XLOOKUP(E118,Groups!A:A,Groups!N:N)="Theropod",EXP(0.6966*LN(C118)+4.158)*S118,
"No"))))))))))))))))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1009</v>
      </c>
      <c r="B119" s="6" t="s">
        <v>914</v>
      </c>
      <c r="C119" s="7">
        <v>13.25</v>
      </c>
      <c r="D119" s="7" t="s">
        <v>582</v>
      </c>
      <c r="E119" s="7" t="str">
        <f>Groups!$A$14</f>
        <v>Doglike (CANID)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627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933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IF(_xlfn.XLOOKUP(E119,Groups!A:A,Groups!N:N)="Theropod",EXP(0.6966*LN(C119)+4.158)*S119,
"No"))))))))))))))))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Groups!$A$62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627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933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IF(_xlfn.XLOOKUP(E120,Groups!A:A,Groups!N:N)="Theropod",EXP(0.6966*LN(C120)+4.158)*S120,
"No"))))))))))))))))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Groups!$A$13</f>
        <v>Doglike (HYENA)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627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933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IF(_xlfn.XLOOKUP(E121,Groups!A:A,Groups!N:N)="Theropod",EXP(0.6966*LN(C121)+4.158)*S121,
"No"))))))))))))))))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Groups!$A$61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634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933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IF(_xlfn.XLOOKUP(E122,Groups!A:A,Groups!N:N)="Theropod",EXP(0.6966*LN(C122)+4.158)*S122,
"No"))))))))))))))))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1166</v>
      </c>
      <c r="E123" s="7" t="str">
        <f>Groups!$A$18</f>
        <v>Catlike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627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933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IF(_xlfn.XLOOKUP(E123,Groups!A:A,Groups!N:N)="Theropod",EXP(0.6966*LN(C123)+4.158)*S123,
"No"))))))))))))))))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1264</v>
      </c>
      <c r="E124" s="7" t="str">
        <f>Groups!$A$26</f>
        <v>Lizard (MONITOR)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933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IF(_xlfn.XLOOKUP(E124,Groups!A:A,Groups!N:N)="Theropod",EXP(0.6966*LN(C124)+4.158)*S124,
"No"))))))))))))))))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929</v>
      </c>
      <c r="E125" s="7" t="str">
        <f>Groups!$A$22</f>
        <v>Camellike (CAMEL)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630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933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IF(_xlfn.XLOOKUP(E125,Groups!A:A,Groups!N:N)="Theropod",EXP(0.6966*LN(C125)+4.158)*S125,
"No"))))))))))))))))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Groups!$A$58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933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IF(_xlfn.XLOOKUP(E126,Groups!A:A,Groups!N:N)="Theropod",EXP(0.6966*LN(C126)+4.158)*S126,
"No"))))))))))))))))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Groups!$A$76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933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1050</v>
      </c>
      <c r="AF127" s="4" t="s">
        <v>45</v>
      </c>
      <c r="AG127" s="28" t="s">
        <v>1719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IF(_xlfn.XLOOKUP(E127,Groups!A:A,Groups!N:N)="Theropod",EXP(0.6966*LN(C127)+4.158)*S127,
"No"))))))))))))))))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Groups!$A$35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627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933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IF(_xlfn.XLOOKUP(E128,Groups!A:A,Groups!N:N)="Theropod",EXP(0.6966*LN(C128)+4.158)*S128,
"No"))))))))))))))))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639</v>
      </c>
      <c r="B129" s="6" t="s">
        <v>480</v>
      </c>
      <c r="C129" s="7">
        <v>3.2</v>
      </c>
      <c r="D129" s="7" t="s">
        <v>595</v>
      </c>
      <c r="E129" s="7" t="str">
        <f>Groups!$A$9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629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933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IF(_xlfn.XLOOKUP(E129,Groups!A:A,Groups!N:N)="Theropod",EXP(0.6966*LN(C129)+4.158)*S129,
"No"))))))))))))))))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Groups!$A$50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627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933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IF(_xlfn.XLOOKUP(E130,Groups!A:A,Groups!N:N)="Theropod",EXP(0.6966*LN(C130)+4.158)*S130,
"No"))))))))))))))))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Groups!$A$29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627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933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IF(_xlfn.XLOOKUP(E131,Groups!A:A,Groups!N:N)="Theropod",EXP(0.6966*LN(C131)+4.158)*S131,
"No"))))))))))))))))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1165</v>
      </c>
      <c r="E132" s="7" t="str">
        <f>Groups!$A$19</f>
        <v>Catlike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627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933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IF(_xlfn.XLOOKUP(E132,Groups!A:A,Groups!N:N)="Theropod",EXP(0.6966*LN(C132)+4.158)*S132,
"No"))))))))))))))))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Groups!$A$45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627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933</v>
      </c>
      <c r="Y133" s="4" t="s">
        <v>1008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IF(_xlfn.XLOOKUP(E133,Groups!A:A,Groups!N:N)="Theropod",EXP(0.6966*LN(C133)+4.158)*S133,
"No"))))))))))))))))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929</v>
      </c>
      <c r="E134" s="7" t="str">
        <f>Groups!$A$45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627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933</v>
      </c>
      <c r="Y134" s="4" t="s">
        <v>1008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1050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IF(_xlfn.XLOOKUP(E134,Groups!A:A,Groups!N:N)="Theropod",EXP(0.6966*LN(C134)+4.158)*S134,
"No"))))))))))))))))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929</v>
      </c>
      <c r="E135" s="7" t="str">
        <f>Groups!$A$23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627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933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IF(_xlfn.XLOOKUP(E135,Groups!A:A,Groups!N:N)="Theropod",EXP(0.6966*LN(C135)+4.158)*S135,
"No"))))))))))))))))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Groups!$A$59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933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IF(_xlfn.XLOOKUP(E136,Groups!A:A,Groups!N:N)="Theropod",EXP(0.6966*LN(C136)+4.158)*S136,
"No"))))))))))))))))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1141</v>
      </c>
      <c r="E137" s="7" t="str">
        <f>Groups!$A$17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627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964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1797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IF(_xlfn.XLOOKUP(E137,Groups!A:A,Groups!N:N)="Theropod",EXP(0.6966*LN(C137)+4.158)*S137,
"No"))))))))))))))))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3500</v>
      </c>
      <c r="D138" s="7" t="s">
        <v>528</v>
      </c>
      <c r="E138" s="7" t="str">
        <f>Groups!$A$34</f>
        <v>Mustelid (SCAVENGER)</v>
      </c>
      <c r="F138" s="7">
        <f>ROUND(7.545*(C138*1000)^0.2689,0)</f>
        <v>434</v>
      </c>
      <c r="G138" s="7">
        <v>12</v>
      </c>
      <c r="H138" s="7">
        <v>45</v>
      </c>
      <c r="I138" s="4">
        <v>1</v>
      </c>
      <c r="J138" s="7">
        <v>2</v>
      </c>
      <c r="K138" s="7" t="s">
        <v>528</v>
      </c>
      <c r="L138" s="7">
        <v>30</v>
      </c>
      <c r="M138" s="7" t="s">
        <v>528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17.850000000000001</v>
      </c>
      <c r="W138" s="7" t="s">
        <v>45</v>
      </c>
      <c r="X138" s="7" t="s">
        <v>933</v>
      </c>
      <c r="Y138" s="4" t="s">
        <v>56</v>
      </c>
      <c r="Z138" s="4">
        <v>1</v>
      </c>
      <c r="AA138" s="4">
        <v>0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1</v>
      </c>
      <c r="AM138" s="4">
        <v>1</v>
      </c>
      <c r="AN138" s="44" t="s">
        <v>40</v>
      </c>
      <c r="AO138" s="8">
        <f t="shared" si="67"/>
        <v>223340.35782825897</v>
      </c>
      <c r="AP138" s="8">
        <f>IFERROR(C138*_xlfn.XLOOKUP(E138,Groups!A:A,Groups!K:K),0.106*C138^0.94)</f>
        <v>436.625</v>
      </c>
      <c r="AQ138" s="8">
        <f>AP138*10000/(_xlfn.XLOOKUP(E138,Groups!A:A,Groups!J:J)*AO138)</f>
        <v>17.935558015154605</v>
      </c>
      <c r="AR138" s="8">
        <f t="shared" si="68"/>
        <v>53593.858680828402</v>
      </c>
      <c r="AS138" s="8">
        <f>IF(_xlfn.XLOOKUP(E138,Groups!A:A,Groups!M:M)=1,EXP(0.7444*LN('Base stats'!C138)+6.5696),EXP(0.7927*LN('Base stats'!C138)+4.28))</f>
        <v>46576.100082151221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IF(_xlfn.XLOOKUP(E138,Groups!A:A,Groups!N:N)="Theropod",EXP(0.6966*LN(C138)+4.158)*S138,
"No"))))))))))))))))</f>
        <v>67290.699661948835</v>
      </c>
      <c r="AU138" s="8">
        <f>IF(_xlfn.XLOOKUP(E138,Groups!A:A,Groups!U:U)=3,AS138,IF(_xlfn.XLOOKUP(E138,Groups!A:A,Groups!U:U)=2,AR138,AT138))</f>
        <v>67290.699661948835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1855</v>
      </c>
      <c r="AX138" s="8">
        <f>IFERROR(ROUND(SQRT(V138-1)*IF(_xlfn.XLOOKUP(E138,Groups!A:A,Groups!BF:BF)=0,2,1)*IF(_xlfn.XLOOKUP('Base stats'!E138,Groups!A:A,Groups!O:O)=0,1,0.1),1),0)</f>
        <v>8.1999999999999993</v>
      </c>
      <c r="AY138" s="8">
        <f t="shared" si="69"/>
        <v>3</v>
      </c>
      <c r="AZ138" s="8">
        <f t="shared" si="70"/>
        <v>0</v>
      </c>
      <c r="BA138" s="8">
        <f t="shared" si="71"/>
        <v>14.9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51.329917109014097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34.546703439619087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24.27630034588584</v>
      </c>
      <c r="BF138" s="8">
        <f>(0.048*C138^1.01)/IF(_xlfn.XLOOKUP(E138,Groups!A:A,Groups!M:M)=1,0.25,0.8)*C138^-0.25</f>
        <v>29.623949867689536</v>
      </c>
      <c r="BG138" s="8">
        <f>EXP(1.076*LN(AR138)-4.5397)*IF(_xlfn.XLOOKUP(E138,Groups!A:A,Groups!BC:BC)=1,1.25,IF(_xlfn.XLOOKUP(E138,Groups!A:A,Groups!BD:BD)=1,3.5,2.5))</f>
        <v>3272.6617301979236</v>
      </c>
      <c r="BH138" s="8">
        <f>EXP(1.076*LN(AS138)-4.5397)*IF(_xlfn.XLOOKUP(E138,Groups!A:A,Groups!M:M)=1,0.8,IF(_xlfn.XLOOKUP(E138,Groups!A:A,Groups!BC:BC)=1,1.3,3))</f>
        <v>3376.7438203018805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6271.1073549831772</v>
      </c>
      <c r="BK138" s="8">
        <f t="shared" si="77"/>
        <v>13</v>
      </c>
      <c r="BL138" s="8">
        <f t="shared" si="78"/>
        <v>16</v>
      </c>
      <c r="BM138" s="8" t="str">
        <f t="shared" si="73"/>
        <v>No</v>
      </c>
      <c r="BN138" s="8">
        <f t="shared" si="74"/>
        <v>15</v>
      </c>
      <c r="BO138" s="8">
        <f t="shared" si="79"/>
        <v>15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0.4100384372770437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0.4100384372770437</v>
      </c>
      <c r="BS138" s="8">
        <f t="shared" si="75"/>
        <v>0.29306496703246865</v>
      </c>
      <c r="BT138" s="8">
        <f t="shared" si="80"/>
        <v>8235.1884928787131</v>
      </c>
      <c r="BU138" s="8" t="str">
        <f t="shared" si="76"/>
        <v>No</v>
      </c>
      <c r="BV138" s="8">
        <f t="shared" si="81"/>
        <v>15293.949993146825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893</v>
      </c>
      <c r="C139" s="7">
        <f>AVERAGE(10,11.3,9.1,10.4)</f>
        <v>10.199999999999999</v>
      </c>
      <c r="D139" s="7" t="s">
        <v>1265</v>
      </c>
      <c r="E139" s="7" t="str">
        <f>Groups!$A$14</f>
        <v>Doglike (CANID)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627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933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IF(_xlfn.XLOOKUP(E139,Groups!A:A,Groups!N:N)="Theropod",EXP(0.6966*LN(C139)+4.158)*S139,
"No"))))))))))))))))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894</v>
      </c>
      <c r="C140" s="7">
        <v>2</v>
      </c>
      <c r="D140" s="7" t="s">
        <v>1269</v>
      </c>
      <c r="E140" s="7" t="str">
        <f>Groups!$A$14</f>
        <v>Doglike (CANID)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627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933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IF(_xlfn.XLOOKUP(E140,Groups!A:A,Groups!N:N)="Theropod",EXP(0.6966*LN(C140)+4.158)*S140,
"No"))))))))))))))))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895</v>
      </c>
      <c r="C141" s="7">
        <f>AVERAGE(14,17)</f>
        <v>15.5</v>
      </c>
      <c r="D141" s="7" t="s">
        <v>1270</v>
      </c>
      <c r="E141" s="7" t="str">
        <f>Groups!$A$14</f>
        <v>Doglike (CANID)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627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933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IF(_xlfn.XLOOKUP(E141,Groups!A:A,Groups!N:N)="Theropod",EXP(0.6966*LN(C141)+4.158)*S141,
"No"))))))))))))))))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896</v>
      </c>
      <c r="C142" s="7">
        <f>AVERAGE(9,14,8,13)</f>
        <v>11</v>
      </c>
      <c r="D142" s="7" t="s">
        <v>1271</v>
      </c>
      <c r="E142" s="7" t="str">
        <f>Groups!$A$14</f>
        <v>Doglike (CANID)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627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933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IF(_xlfn.XLOOKUP(E142,Groups!A:A,Groups!N:N)="Theropod",EXP(0.6966*LN(C142)+4.158)*S142,
"No"))))))))))))))))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897</v>
      </c>
      <c r="C143" s="7">
        <f>AVERAGE(AVERAGE(AVERAGE(30,40),AVERAGE(22,32)),AVERAGE(AVERAGE(35,60),AVERAGE(30,50)))</f>
        <v>37.375</v>
      </c>
      <c r="D143" s="7" t="s">
        <v>1272</v>
      </c>
      <c r="E143" s="7" t="str">
        <f>Groups!$A$14</f>
        <v>Doglike (CANID)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627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933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IF(_xlfn.XLOOKUP(E143,Groups!A:A,Groups!N:N)="Theropod",EXP(0.6966*LN(C143)+4.158)*S143,
"No"))))))))))))))))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898</v>
      </c>
      <c r="C144" s="7">
        <f>AVERAGE(63,79,50,63)</f>
        <v>63.75</v>
      </c>
      <c r="D144" s="7" t="s">
        <v>1273</v>
      </c>
      <c r="E144" s="7" t="str">
        <f>Groups!$A$14</f>
        <v>Doglike (CANID)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627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933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IF(_xlfn.XLOOKUP(E144,Groups!A:A,Groups!N:N)="Theropod",EXP(0.6966*LN(C144)+4.158)*S144,
"No"))))))))))))))))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899</v>
      </c>
      <c r="C145" s="7">
        <f>AVERAGE(20,32)</f>
        <v>26</v>
      </c>
      <c r="D145" s="7" t="s">
        <v>1266</v>
      </c>
      <c r="E145" s="7" t="str">
        <f>Groups!$A$14</f>
        <v>Doglike (CANID)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627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933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IF(_xlfn.XLOOKUP(E145,Groups!A:A,Groups!N:N)="Theropod",EXP(0.6966*LN(C145)+4.158)*S145,
"No"))))))))))))))))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900</v>
      </c>
      <c r="C146" s="7">
        <f>AVERAGE(6.35,8.16)</f>
        <v>7.2549999999999999</v>
      </c>
      <c r="D146" s="7" t="s">
        <v>1267</v>
      </c>
      <c r="E146" s="7" t="str">
        <f>Groups!$A$14</f>
        <v>Doglike (CANID)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627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933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IF(_xlfn.XLOOKUP(E146,Groups!A:A,Groups!N:N)="Theropod",EXP(0.6966*LN(C146)+4.158)*S146,
"No"))))))))))))))))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901</v>
      </c>
      <c r="C147" s="7">
        <f>AVERAGE(AVERAGE(50,60),AVERAGE(35,48))</f>
        <v>48.25</v>
      </c>
      <c r="D147" s="7" t="s">
        <v>1268</v>
      </c>
      <c r="E147" s="7" t="str">
        <f>Groups!$A$14</f>
        <v>Doglike (CANID)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627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933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IF(_xlfn.XLOOKUP(E147,Groups!A:A,Groups!N:N)="Theropod",EXP(0.6966*LN(C147)+4.158)*S147,
"No"))))))))))))))))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902</v>
      </c>
      <c r="C148" s="7">
        <f>AVERAGE(4,7.5)</f>
        <v>5.75</v>
      </c>
      <c r="D148" s="7" t="s">
        <v>1274</v>
      </c>
      <c r="E148" s="7" t="str">
        <f>Groups!$A$14</f>
        <v>Doglike (CANID)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627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933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IF(_xlfn.XLOOKUP(E148,Groups!A:A,Groups!N:N)="Theropod",EXP(0.6966*LN(C148)+4.158)*S148,
"No"))))))))))))))))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667</v>
      </c>
      <c r="B149" s="6" t="s">
        <v>903</v>
      </c>
      <c r="C149" s="7">
        <f>AVERAGE(AVERAGE(18,20),AVERAGE(23,29))</f>
        <v>22.5</v>
      </c>
      <c r="D149" s="7" t="s">
        <v>1275</v>
      </c>
      <c r="E149" s="7" t="str">
        <f>Groups!$A$14</f>
        <v>Doglike (CANID)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627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933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IF(_xlfn.XLOOKUP(E149,Groups!A:A,Groups!N:N)="Theropod",EXP(0.6966*LN(C149)+4.158)*S149,
"No"))))))))))))))))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884</v>
      </c>
      <c r="B150" s="6" t="s">
        <v>904</v>
      </c>
      <c r="C150" s="7">
        <v>4.5</v>
      </c>
      <c r="D150" s="7" t="s">
        <v>1276</v>
      </c>
      <c r="E150" s="7" t="str">
        <f>Groups!$A$18</f>
        <v>Catlike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627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933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IF(_xlfn.XLOOKUP(E150,Groups!A:A,Groups!N:N)="Theropod",EXP(0.6966*LN(C150)+4.158)*S150,
"No"))))))))))))))))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883</v>
      </c>
      <c r="B151" s="6" t="s">
        <v>905</v>
      </c>
      <c r="C151" s="7">
        <f>AVERAGE(5,6)</f>
        <v>5.5</v>
      </c>
      <c r="D151" s="7" t="s">
        <v>1277</v>
      </c>
      <c r="E151" s="7" t="str">
        <f>Groups!$A$18</f>
        <v>Catlike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627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933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IF(_xlfn.XLOOKUP(E151,Groups!A:A,Groups!N:N)="Theropod",EXP(0.6966*LN(C151)+4.158)*S151,
"No"))))))))))))))))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885</v>
      </c>
      <c r="B152" s="6" t="s">
        <v>906</v>
      </c>
      <c r="C152" s="7">
        <f>AVERAGE(AVERAGE(4,8),AVERAGE(3,5))</f>
        <v>5</v>
      </c>
      <c r="D152" s="7" t="s">
        <v>1278</v>
      </c>
      <c r="E152" s="7" t="str">
        <f>Groups!$A$18</f>
        <v>Catlike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627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933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IF(_xlfn.XLOOKUP(E152,Groups!A:A,Groups!N:N)="Theropod",EXP(0.6966*LN(C152)+4.158)*S152,
"No"))))))))))))))))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887</v>
      </c>
      <c r="B153" s="6" t="s">
        <v>907</v>
      </c>
      <c r="C153" s="7">
        <f>AVERAGE(AVERAGE(8.2,10),AVERAGE(5.4,6.8))</f>
        <v>7.6</v>
      </c>
      <c r="D153" s="7" t="s">
        <v>1279</v>
      </c>
      <c r="E153" s="7" t="str">
        <f>Groups!$A$18</f>
        <v>Catlike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627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933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IF(_xlfn.XLOOKUP(E153,Groups!A:A,Groups!N:N)="Theropod",EXP(0.6966*LN(C153)+4.158)*S153,
"No"))))))))))))))))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886</v>
      </c>
      <c r="B154" s="6" t="s">
        <v>908</v>
      </c>
      <c r="C154" s="7">
        <f>AVERAGE(2.7,4.1)</f>
        <v>3.4</v>
      </c>
      <c r="D154" s="7" t="s">
        <v>1280</v>
      </c>
      <c r="E154" s="7" t="str">
        <f>Groups!$A$18</f>
        <v>Catlike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627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933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IF(_xlfn.XLOOKUP(E154,Groups!A:A,Groups!N:N)="Theropod",EXP(0.6966*LN(C154)+4.158)*S154,
"No"))))))))))))))))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888</v>
      </c>
      <c r="B155" s="6" t="s">
        <v>909</v>
      </c>
      <c r="C155" s="7">
        <f>AVERAGE(AVERAGE(3.6,8),AVERAGE(4.5,9))</f>
        <v>6.2750000000000004</v>
      </c>
      <c r="D155" s="7" t="s">
        <v>1281</v>
      </c>
      <c r="E155" s="7" t="str">
        <f>Groups!$A$18</f>
        <v>Catlike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627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933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IF(_xlfn.XLOOKUP(E155,Groups!A:A,Groups!N:N)="Theropod",EXP(0.6966*LN(C155)+4.158)*S155,
"No"))))))))))))))))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889</v>
      </c>
      <c r="B156" s="6" t="s">
        <v>910</v>
      </c>
      <c r="C156" s="7">
        <f>AVERAGE(AVERAGE(2.4,3.8),AVERAGE(3.3,4.7))</f>
        <v>3.55</v>
      </c>
      <c r="D156" s="7" t="s">
        <v>1282</v>
      </c>
      <c r="E156" s="7" t="str">
        <f>Groups!$A$18</f>
        <v>Catlike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627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933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IF(_xlfn.XLOOKUP(E156,Groups!A:A,Groups!N:N)="Theropod",EXP(0.6966*LN(C156)+4.158)*S156,
"No"))))))))))))))))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890</v>
      </c>
      <c r="B157" s="6" t="s">
        <v>911</v>
      </c>
      <c r="C157" s="7">
        <f>AVERAGE(AVERAGE(3.5,4.8),AVERAGE(4.5,5.5))</f>
        <v>4.5750000000000002</v>
      </c>
      <c r="D157" s="7" t="s">
        <v>1283</v>
      </c>
      <c r="E157" s="7" t="str">
        <f>Groups!$A$18</f>
        <v>Catlike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627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933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IF(_xlfn.XLOOKUP(E157,Groups!A:A,Groups!N:N)="Theropod",EXP(0.6966*LN(C157)+4.158)*S157,
"No"))))))))))))))))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891</v>
      </c>
      <c r="B158" s="6" t="s">
        <v>912</v>
      </c>
      <c r="C158" s="7">
        <v>4.5</v>
      </c>
      <c r="D158" s="7" t="s">
        <v>1136</v>
      </c>
      <c r="E158" s="7" t="str">
        <f>Groups!$A$18</f>
        <v>Catlike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627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933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IF(_xlfn.XLOOKUP(E158,Groups!A:A,Groups!N:N)="Theropod",EXP(0.6966*LN(C158)+4.158)*S158,
"No"))))))))))))))))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892</v>
      </c>
      <c r="B159" s="6" t="s">
        <v>913</v>
      </c>
      <c r="C159" s="7">
        <f>AVERAGE(3.5,7)</f>
        <v>5.25</v>
      </c>
      <c r="D159" s="7" t="s">
        <v>1135</v>
      </c>
      <c r="E159" s="7" t="str">
        <f>Groups!$A$18</f>
        <v>Catlike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627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933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IF(_xlfn.XLOOKUP(E159,Groups!A:A,Groups!N:N)="Theropod",EXP(0.6966*LN(C159)+4.158)*S159,
"No"))))))))))))))))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Groups!$A$31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627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933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IF(_xlfn.XLOOKUP(E160,Groups!A:A,Groups!N:N)="Theropod",EXP(0.6966*LN(C160)+4.158)*S160,
"No"))))))))))))))))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1116</v>
      </c>
      <c r="B161" s="6" t="s">
        <v>1117</v>
      </c>
      <c r="C161" s="7">
        <f>MIN(369,440,389,462)</f>
        <v>369</v>
      </c>
      <c r="D161" s="7" t="s">
        <v>1134</v>
      </c>
      <c r="E161" s="7" t="str">
        <f>Groups!$A$18</f>
        <v>Catlike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627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933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IF(_xlfn.XLOOKUP(E161,Groups!A:A,Groups!N:N)="Theropod",EXP(0.6966*LN(C161)+4.158)*S161,
"No"))))))))))))))))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1123</v>
      </c>
      <c r="B162" s="6" t="s">
        <v>1120</v>
      </c>
      <c r="C162" s="7">
        <v>1.095</v>
      </c>
      <c r="D162" s="7" t="s">
        <v>1121</v>
      </c>
      <c r="E162" s="7" t="str">
        <f>Groups!$A$12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1121</v>
      </c>
      <c r="L162" s="7">
        <f>10*1.60934</f>
        <v>16.093399999999999</v>
      </c>
      <c r="M162" s="7" t="s">
        <v>629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933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IF(_xlfn.XLOOKUP(E162,Groups!A:A,Groups!N:N)="Theropod",EXP(0.6966*LN(C162)+4.158)*S162,
"No"))))))))))))))))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1132</v>
      </c>
      <c r="B163" s="6" t="s">
        <v>1124</v>
      </c>
      <c r="C163" s="7">
        <v>64.474999999999994</v>
      </c>
      <c r="D163" s="7" t="s">
        <v>1133</v>
      </c>
      <c r="E163" s="7" t="str">
        <f>Groups!$A$42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1133</v>
      </c>
      <c r="L163" s="7">
        <v>32</v>
      </c>
      <c r="M163" s="7" t="s">
        <v>627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933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IF(_xlfn.XLOOKUP(E163,Groups!A:A,Groups!N:N)="Theropod",EXP(0.6966*LN(C163)+4.158)*S163,
"No"))))))))))))))))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1144</v>
      </c>
      <c r="B164" s="6" t="s">
        <v>1127</v>
      </c>
      <c r="C164" s="7">
        <v>5</v>
      </c>
      <c r="D164" s="7" t="s">
        <v>528</v>
      </c>
      <c r="E164" s="7" t="str">
        <f>Groups!$A$12</f>
        <v>Bird</v>
      </c>
      <c r="F164" s="7" t="str">
        <f t="shared" si="85"/>
        <v>Lay eggs</v>
      </c>
      <c r="G164" s="7" t="s">
        <v>1707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933</v>
      </c>
      <c r="Y164" s="4" t="s">
        <v>1008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IF(_xlfn.XLOOKUP(E164,Groups!A:A,Groups!N:N)="Theropod",EXP(0.6966*LN(C164)+4.158)*S164,
"No"))))))))))))))))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1145</v>
      </c>
      <c r="B165" s="6" t="s">
        <v>1129</v>
      </c>
      <c r="C165" s="7">
        <v>8.5</v>
      </c>
      <c r="D165" s="7" t="s">
        <v>1146</v>
      </c>
      <c r="E165" s="7" t="str">
        <f>Groups!$A$9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1146</v>
      </c>
      <c r="L165" s="7">
        <f>8.2*1.60934</f>
        <v>13.196587999999998</v>
      </c>
      <c r="M165" s="7" t="s">
        <v>629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933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IF(_xlfn.XLOOKUP(E165,Groups!A:A,Groups!N:N)="Theropod",EXP(0.6966*LN(C165)+4.158)*S165,
"No"))))))))))))))))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1148</v>
      </c>
      <c r="B166" s="48" t="s">
        <v>1147</v>
      </c>
      <c r="C166" s="7">
        <f>AVERAGE(2,5.5)</f>
        <v>3.75</v>
      </c>
      <c r="D166" s="7" t="s">
        <v>1149</v>
      </c>
      <c r="E166" s="7" t="str">
        <f>Groups!$A$48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1150</v>
      </c>
      <c r="L166" s="7">
        <v>56</v>
      </c>
      <c r="M166" s="7" t="s">
        <v>627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933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IF(_xlfn.XLOOKUP(E166,Groups!A:A,Groups!N:N)="Theropod",EXP(0.6966*LN(C166)+4.158)*S166,
"No"))))))))))))))))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1168</v>
      </c>
      <c r="B167" s="6" t="s">
        <v>1169</v>
      </c>
      <c r="C167" s="7">
        <v>7000</v>
      </c>
      <c r="D167" s="7" t="s">
        <v>1170</v>
      </c>
      <c r="E167" s="7" t="str">
        <f>Groups!$A$64</f>
        <v>Carnophagus (PHOTONOZOA)</v>
      </c>
      <c r="F167" s="7" t="s">
        <v>1707</v>
      </c>
      <c r="G167" s="7">
        <v>15</v>
      </c>
      <c r="H167" s="7">
        <v>1200</v>
      </c>
      <c r="I167" s="4">
        <v>1</v>
      </c>
      <c r="J167" s="7" t="s">
        <v>1707</v>
      </c>
      <c r="K167" s="7" t="s">
        <v>528</v>
      </c>
      <c r="L167" s="7">
        <v>100</v>
      </c>
      <c r="M167" s="7" t="s">
        <v>1170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933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1333</v>
      </c>
      <c r="AF167" s="4" t="s">
        <v>45</v>
      </c>
      <c r="AG167" s="28" t="s">
        <v>1769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IF(_xlfn.XLOOKUP(E167,Groups!A:A,Groups!N:N)="Theropod",EXP(0.6966*LN(C167)+4.158)*S167,
"No"))))))))))))))))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1766</v>
      </c>
      <c r="B168" s="6" t="s">
        <v>1767</v>
      </c>
      <c r="C168" s="7">
        <v>350</v>
      </c>
      <c r="D168" s="7" t="s">
        <v>1170</v>
      </c>
      <c r="E168" s="7" t="str">
        <f>Groups!$A$65</f>
        <v>Daspletosuchus (PHOTONOZOA)</v>
      </c>
      <c r="F168" s="7" t="s">
        <v>1707</v>
      </c>
      <c r="G168" s="7">
        <v>15</v>
      </c>
      <c r="H168" s="7">
        <v>1200</v>
      </c>
      <c r="I168" s="4">
        <v>1</v>
      </c>
      <c r="J168" s="7" t="s">
        <v>1707</v>
      </c>
      <c r="K168" s="7" t="s">
        <v>528</v>
      </c>
      <c r="L168" s="7">
        <v>80</v>
      </c>
      <c r="M168" s="7" t="s">
        <v>1170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933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1333</v>
      </c>
      <c r="AF168" s="4" t="s">
        <v>45</v>
      </c>
      <c r="AG168" s="28" t="s">
        <v>1769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IF(_xlfn.XLOOKUP(E168,Groups!A:A,Groups!N:N)="Theropod",EXP(0.6966*LN(C168)+4.158)*S168,
"No"))))))))))))))))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1187</v>
      </c>
      <c r="B169" s="6" t="s">
        <v>1188</v>
      </c>
      <c r="C169" s="7">
        <v>5000</v>
      </c>
      <c r="D169" s="7" t="s">
        <v>1170</v>
      </c>
      <c r="E169" s="7" t="str">
        <f>Groups!$A$66</f>
        <v>Xenotaurus (PHOTONOZOA)</v>
      </c>
      <c r="F169" s="7" t="s">
        <v>1707</v>
      </c>
      <c r="G169" s="7">
        <v>10</v>
      </c>
      <c r="H169" s="7">
        <v>1200</v>
      </c>
      <c r="I169" s="4">
        <v>1</v>
      </c>
      <c r="J169" s="7" t="s">
        <v>1707</v>
      </c>
      <c r="K169" s="7" t="s">
        <v>528</v>
      </c>
      <c r="L169" s="7">
        <v>60</v>
      </c>
      <c r="M169" s="7" t="s">
        <v>1170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933</v>
      </c>
      <c r="Y169" s="4" t="s">
        <v>1008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1333</v>
      </c>
      <c r="AF169" s="4" t="s">
        <v>398</v>
      </c>
      <c r="AG169" s="28" t="s">
        <v>1769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IF(_xlfn.XLOOKUP(E169,Groups!A:A,Groups!N:N)="Theropod",EXP(0.6966*LN(C169)+4.158)*S169,
"No"))))))))))))))))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1175</v>
      </c>
      <c r="B170" s="6" t="s">
        <v>1176</v>
      </c>
      <c r="C170" s="7">
        <v>50</v>
      </c>
      <c r="D170" s="7" t="s">
        <v>1170</v>
      </c>
      <c r="E170" s="7" t="str">
        <f>Groups!$A$67</f>
        <v>Predatory larva (PHOTONOZOA)</v>
      </c>
      <c r="F170" s="7" t="s">
        <v>1707</v>
      </c>
      <c r="G170" s="7">
        <v>3</v>
      </c>
      <c r="H170" s="7">
        <v>6</v>
      </c>
      <c r="I170" s="4">
        <v>1</v>
      </c>
      <c r="J170" s="7" t="s">
        <v>1707</v>
      </c>
      <c r="K170" s="7" t="s">
        <v>528</v>
      </c>
      <c r="L170" s="7">
        <v>25</v>
      </c>
      <c r="M170" s="7" t="s">
        <v>1170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933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1333</v>
      </c>
      <c r="AF170" s="4" t="s">
        <v>45</v>
      </c>
      <c r="AG170" s="28" t="s">
        <v>1769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IF(_xlfn.XLOOKUP(E170,Groups!A:A,Groups!N:N)="Theropod",EXP(0.6966*LN(C170)+4.158)*S170,
"No"))))))))))))))))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1772</v>
      </c>
      <c r="B171" s="6" t="s">
        <v>1773</v>
      </c>
      <c r="C171" s="7">
        <v>75</v>
      </c>
      <c r="D171" s="7" t="s">
        <v>1170</v>
      </c>
      <c r="E171" s="7" t="str">
        <f>Groups!$A$68</f>
        <v>Armored larva (PHOTONOZOA)</v>
      </c>
      <c r="F171" s="7" t="s">
        <v>1707</v>
      </c>
      <c r="G171" s="7">
        <v>3</v>
      </c>
      <c r="H171" s="7">
        <v>6</v>
      </c>
      <c r="I171" s="4">
        <v>1</v>
      </c>
      <c r="J171" s="7" t="s">
        <v>1707</v>
      </c>
      <c r="K171" s="7" t="s">
        <v>528</v>
      </c>
      <c r="L171" s="7">
        <v>25</v>
      </c>
      <c r="M171" s="7" t="s">
        <v>1170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933</v>
      </c>
      <c r="Y171" s="4" t="s">
        <v>1008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1770</v>
      </c>
      <c r="AF171" s="4" t="s">
        <v>45</v>
      </c>
      <c r="AG171" s="28" t="s">
        <v>1769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IF(_xlfn.XLOOKUP(E171,Groups!A:A,Groups!N:N)="Theropod",EXP(0.6966*LN(C171)+4.158)*S171,
"No"))))))))))))))))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1177</v>
      </c>
      <c r="B172" s="6" t="s">
        <v>1178</v>
      </c>
      <c r="C172" s="7">
        <v>100</v>
      </c>
      <c r="D172" s="7" t="s">
        <v>1170</v>
      </c>
      <c r="E172" s="7" t="str">
        <f>Groups!$A$69</f>
        <v>Paragnathia (PHOTONOZOA)</v>
      </c>
      <c r="F172" s="7" t="s">
        <v>1707</v>
      </c>
      <c r="G172" s="7">
        <v>2</v>
      </c>
      <c r="H172" s="7">
        <v>4</v>
      </c>
      <c r="I172" s="4">
        <v>1</v>
      </c>
      <c r="J172" s="7" t="s">
        <v>1707</v>
      </c>
      <c r="K172" s="7" t="s">
        <v>528</v>
      </c>
      <c r="L172" s="7">
        <v>35</v>
      </c>
      <c r="M172" s="7" t="s">
        <v>1170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933</v>
      </c>
      <c r="Y172" s="4" t="s">
        <v>1008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1771</v>
      </c>
      <c r="AF172" s="4" t="s">
        <v>45</v>
      </c>
      <c r="AG172" s="28" t="s">
        <v>1769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IF(_xlfn.XLOOKUP(E172,Groups!A:A,Groups!N:N)="Theropod",EXP(0.6966*LN(C172)+4.158)*S172,
"No"))))))))))))))))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1191</v>
      </c>
      <c r="B173" s="6" t="s">
        <v>1192</v>
      </c>
      <c r="C173" s="7">
        <v>1.0209999999999999</v>
      </c>
      <c r="D173" s="7" t="s">
        <v>1193</v>
      </c>
      <c r="E173" s="7" t="str">
        <f>Groups!$A$35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1193</v>
      </c>
      <c r="L173" s="7">
        <f>MIN(20*C173^0.183,19.9*C173^0.142)</f>
        <v>19.958814040198892</v>
      </c>
      <c r="M173" s="7" t="s">
        <v>627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1.1315200874177178</v>
      </c>
      <c r="T173" s="7">
        <f>_xlfn.XLOOKUP(B173,[1]TeethAdjusters!$A:$A,[1]TeethAdjusters!$B:$B,1)</f>
        <v>1.2697912324530132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1</v>
      </c>
      <c r="W173" s="7" t="s">
        <v>45</v>
      </c>
      <c r="X173" s="7" t="s">
        <v>933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IF(_xlfn.XLOOKUP(E173,Groups!A:A,Groups!N:N)="Theropod",EXP(0.6966*LN(C173)+4.158)*S173,
"No"))))))))))))))))</f>
        <v>78.243029663977865</v>
      </c>
      <c r="AU173" s="8">
        <f>IF(_xlfn.XLOOKUP(E173,Groups!A:A,Groups!U:U)=3,AS173,IF(_xlfn.XLOOKUP(E173,Groups!A:A,Groups!U:U)=2,AR173,AT173))</f>
        <v>78.243029663977865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0.17895552733039746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4.3632704896905388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294.15607227044632</v>
      </c>
      <c r="BW173" s="4">
        <v>0</v>
      </c>
      <c r="BX173" s="4">
        <v>1</v>
      </c>
    </row>
    <row r="174" spans="1:76" x14ac:dyDescent="0.25">
      <c r="A174" s="26" t="s">
        <v>1222</v>
      </c>
      <c r="B174" s="6" t="s">
        <v>1214</v>
      </c>
      <c r="C174" s="7">
        <v>1100</v>
      </c>
      <c r="D174" s="7" t="s">
        <v>1223</v>
      </c>
      <c r="E174" s="7" t="str">
        <f>Groups!$A$46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1223</v>
      </c>
      <c r="L174" s="7">
        <v>45</v>
      </c>
      <c r="M174" s="7" t="s">
        <v>627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933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IF(_xlfn.XLOOKUP(E174,Groups!A:A,Groups!N:N)="Theropod",EXP(0.6966*LN(C174)+4.158)*S174,
"No"))))))))))))))))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1206</v>
      </c>
      <c r="B175" s="6" t="s">
        <v>1215</v>
      </c>
      <c r="C175" s="7">
        <v>39.924999999999997</v>
      </c>
      <c r="D175" s="7" t="s">
        <v>1224</v>
      </c>
      <c r="E175" s="7" t="str">
        <f>Groups!$A$42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1224</v>
      </c>
      <c r="L175" s="7">
        <v>32</v>
      </c>
      <c r="M175" s="7" t="s">
        <v>627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2.1366378200334371</v>
      </c>
      <c r="T175" s="7">
        <f>_xlfn.XLOOKUP(B175,[1]TeethAdjusters!$A:$A,[1]TeethAdjusters!$B:$B,1)</f>
        <v>0.52290607632225938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1.55</v>
      </c>
      <c r="W175" s="7" t="s">
        <v>45</v>
      </c>
      <c r="X175" s="7" t="s">
        <v>933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1051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IF(_xlfn.XLOOKUP(E175,Groups!A:A,Groups!N:N)="Theropod",EXP(0.6966*LN(C175)+4.158)*S175,
"No"))))))))))))))))</f>
        <v>1268.4164294453722</v>
      </c>
      <c r="AU175" s="8">
        <f>IF(_xlfn.XLOOKUP(E175,Groups!A:A,Groups!U:U)=3,AS175,IF(_xlfn.XLOOKUP(E175,Groups!A:A,Groups!U:U)=2,AR175,AT175))</f>
        <v>1268.4164294453722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1.5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1.764063579069902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87.412666440387568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1321.3962398308549</v>
      </c>
      <c r="BW175" s="4">
        <v>0</v>
      </c>
      <c r="BX175" s="4">
        <v>1</v>
      </c>
    </row>
    <row r="176" spans="1:76" x14ac:dyDescent="0.25">
      <c r="A176" s="26" t="s">
        <v>1207</v>
      </c>
      <c r="B176" s="6" t="s">
        <v>1216</v>
      </c>
      <c r="C176" s="7">
        <v>158</v>
      </c>
      <c r="D176" s="7" t="s">
        <v>1225</v>
      </c>
      <c r="E176" s="7" t="str">
        <f>Groups!$A$12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628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933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IF(_xlfn.XLOOKUP(E176,Groups!A:A,Groups!N:N)="Theropod",EXP(0.6966*LN(C176)+4.158)*S176,
"No"))))))))))))))))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1208</v>
      </c>
      <c r="B177" s="6" t="s">
        <v>1217</v>
      </c>
      <c r="C177" s="7">
        <v>280</v>
      </c>
      <c r="D177" s="7" t="s">
        <v>596</v>
      </c>
      <c r="E177" s="7" t="str">
        <f>Groups!$A$23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627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933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IF(_xlfn.XLOOKUP(E177,Groups!A:A,Groups!N:N)="Theropod",EXP(0.6966*LN(C177)+4.158)*S177,
"No"))))))))))))))))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1209</v>
      </c>
      <c r="B178" s="6" t="s">
        <v>1218</v>
      </c>
      <c r="C178" s="7">
        <v>4.5</v>
      </c>
      <c r="D178" s="7" t="s">
        <v>1226</v>
      </c>
      <c r="E178" s="7" t="str">
        <f>Groups!$A$9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1226</v>
      </c>
      <c r="L178" s="7">
        <f>8.2*1.60934</f>
        <v>13.196587999999998</v>
      </c>
      <c r="M178" s="7" t="s">
        <v>629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933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IF(_xlfn.XLOOKUP(E178,Groups!A:A,Groups!N:N)="Theropod",EXP(0.6966*LN(C178)+4.158)*S178,
"No"))))))))))))))))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1210</v>
      </c>
      <c r="B179" s="6" t="s">
        <v>1219</v>
      </c>
      <c r="C179" s="7">
        <v>6.1268000000000002</v>
      </c>
      <c r="D179" s="7" t="s">
        <v>1227</v>
      </c>
      <c r="E179" s="7" t="str">
        <f>Groups!$A$34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1227</v>
      </c>
      <c r="L179" s="7">
        <f>MIN(20*C179^0.183,19.9*C179^0.142)</f>
        <v>25.741880052805641</v>
      </c>
      <c r="M179" s="7" t="s">
        <v>627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933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IF(_xlfn.XLOOKUP(E179,Groups!A:A,Groups!N:N)="Theropod",EXP(0.6966*LN(C179)+4.158)*S179,
"No"))))))))))))))))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1211</v>
      </c>
      <c r="B180" s="6" t="s">
        <v>1220</v>
      </c>
      <c r="C180" s="7">
        <v>16.7</v>
      </c>
      <c r="D180" s="7" t="s">
        <v>1228</v>
      </c>
      <c r="E180" s="7" t="str">
        <f>Groups!$A$14</f>
        <v>Doglike (CANID)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627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933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IF(_xlfn.XLOOKUP(E180,Groups!A:A,Groups!N:N)="Theropod",EXP(0.6966*LN(C180)+4.158)*S180,
"No"))))))))))))))))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1212</v>
      </c>
      <c r="B181" s="6" t="s">
        <v>1221</v>
      </c>
      <c r="C181" s="7">
        <v>26.5</v>
      </c>
      <c r="D181" s="7" t="s">
        <v>1229</v>
      </c>
      <c r="E181" s="7" t="str">
        <f>Groups!$A$14</f>
        <v>Doglike (CANID)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1229</v>
      </c>
      <c r="L181" s="7">
        <v>70</v>
      </c>
      <c r="M181" s="7" t="s">
        <v>627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1.0735019524462699</v>
      </c>
      <c r="T181" s="7">
        <f>_xlfn.XLOOKUP(B181,[1]TeethAdjusters!$A:$A,[1]TeethAdjusters!$B:$B,1)</f>
        <v>1.0222399759593972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2.6500000000000004</v>
      </c>
      <c r="W181" s="7" t="s">
        <v>45</v>
      </c>
      <c r="X181" s="7" t="s">
        <v>933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1797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IF(_xlfn.XLOOKUP(E181,Groups!A:A,Groups!N:N)="Theropod",EXP(0.6966*LN(C181)+4.158)*S181,
"No"))))))))))))))))</f>
        <v>2184.654901407263</v>
      </c>
      <c r="AU181" s="8">
        <f>IF(_xlfn.XLOOKUP(E181,Groups!A:A,Groups!U:U)=3,AS181,IF(_xlfn.XLOOKUP(E181,Groups!A:A,Groups!U:U)=2,AR181,AT181))</f>
        <v>2184.654901407263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2.6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3.0533724135823399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156.90636010723844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2803.4141380687993</v>
      </c>
      <c r="BW181" s="4">
        <v>0</v>
      </c>
      <c r="BX181" s="4">
        <v>1</v>
      </c>
    </row>
    <row r="182" spans="1:76" x14ac:dyDescent="0.25">
      <c r="A182" s="26" t="s">
        <v>1213</v>
      </c>
      <c r="B182" s="6" t="s">
        <v>1230</v>
      </c>
      <c r="C182" s="7">
        <v>13.015000000000001</v>
      </c>
      <c r="D182" s="7" t="s">
        <v>1231</v>
      </c>
      <c r="E182" s="7" t="str">
        <f>Groups!$A$30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1231</v>
      </c>
      <c r="L182" s="7">
        <f>MIN(20*C182^0.183,19.9*C182^0.142)</f>
        <v>28.648649156530904</v>
      </c>
      <c r="M182" s="7" t="s">
        <v>627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933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IF(_xlfn.XLOOKUP(E182,Groups!A:A,Groups!N:N)="Theropod",EXP(0.6966*LN(C182)+4.158)*S182,
"No"))))))))))))))))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1285</v>
      </c>
      <c r="B183" s="6" t="s">
        <v>1288</v>
      </c>
      <c r="C183" s="7">
        <v>10</v>
      </c>
      <c r="D183" s="7" t="s">
        <v>528</v>
      </c>
      <c r="E183" s="7" t="str">
        <f>Groups!$A$115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933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1798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IF(_xlfn.XLOOKUP(E183,Groups!A:A,Groups!N:N)="Theropod",EXP(0.6966*LN(C183)+4.158)*S183,
"No"))))))))))))))))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1291</v>
      </c>
      <c r="B184" s="6" t="s">
        <v>1292</v>
      </c>
      <c r="C184" s="7">
        <v>250</v>
      </c>
      <c r="D184" s="7" t="s">
        <v>528</v>
      </c>
      <c r="E184" s="7" t="str">
        <f>Groups!$A$70</f>
        <v>Megatardi</v>
      </c>
      <c r="F184" s="7" t="s">
        <v>1707</v>
      </c>
      <c r="G184" s="7" t="s">
        <v>1707</v>
      </c>
      <c r="H184" s="7">
        <v>12</v>
      </c>
      <c r="I184" s="4">
        <v>1</v>
      </c>
      <c r="J184" s="7" t="s">
        <v>1707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933</v>
      </c>
      <c r="Y184" s="4" t="s">
        <v>1008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1719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IF(_xlfn.XLOOKUP(E184,Groups!A:A,Groups!N:N)="Theropod",EXP(0.6966*LN(C184)+4.158)*S184,
"No"))))))))))))))))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1295</v>
      </c>
      <c r="B185" s="6" t="s">
        <v>1294</v>
      </c>
      <c r="C185" s="7">
        <v>1000</v>
      </c>
      <c r="D185" s="7" t="s">
        <v>528</v>
      </c>
      <c r="E185" s="7" t="str">
        <f>Groups!A16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933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1798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IF(_xlfn.XLOOKUP(E185,Groups!A:A,Groups!N:N)="Theropod",EXP(0.6966*LN(C185)+4.158)*S185,
"No"))))))))))))))))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1298</v>
      </c>
      <c r="B186" s="6" t="s">
        <v>1296</v>
      </c>
      <c r="C186" s="7">
        <v>8</v>
      </c>
      <c r="D186" s="7" t="s">
        <v>528</v>
      </c>
      <c r="E186" s="7" t="str">
        <f>Groups!$A$14</f>
        <v>Doglike (CANID)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627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1.0347115248382959</v>
      </c>
      <c r="T186" s="7">
        <f>_xlfn.XLOOKUP(B186,[1]TeethAdjusters!$A:$A,[1]TeethAdjusters!$B:$B,1)</f>
        <v>1.2266423062576042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2.0500000000000003</v>
      </c>
      <c r="W186" s="7" t="s">
        <v>45</v>
      </c>
      <c r="X186" s="7" t="s">
        <v>933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1798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IF(_xlfn.XLOOKUP(E186,Groups!A:A,Groups!N:N)="Theropod",EXP(0.6966*LN(C186)+4.158)*S186,
"No"))))))))))))))))</f>
        <v>773.00955220615879</v>
      </c>
      <c r="AU186" s="8">
        <f>IF(_xlfn.XLOOKUP(E186,Groups!A:A,Groups!U:U)=3,AS186,IF(_xlfn.XLOOKUP(E186,Groups!A:A,Groups!U:U)=2,AR186,AT186))</f>
        <v>773.00955220615879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2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1.2735550137194542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51.304034415090108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1493.8871800793911</v>
      </c>
      <c r="BW186" s="4">
        <v>0</v>
      </c>
      <c r="BX186" s="4">
        <v>1</v>
      </c>
    </row>
    <row r="187" spans="1:76" s="16" customFormat="1" x14ac:dyDescent="0.25">
      <c r="A187" s="26" t="s">
        <v>1299</v>
      </c>
      <c r="B187" s="6" t="s">
        <v>1301</v>
      </c>
      <c r="C187" s="7">
        <v>2000</v>
      </c>
      <c r="D187" s="7" t="s">
        <v>528</v>
      </c>
      <c r="E187" s="7" t="str">
        <f>Groups!A62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627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0.95286851108357262</v>
      </c>
      <c r="T187" s="7">
        <f>_xlfn.XLOOKUP(B187,[1]TeethAdjusters!$A:$A,[1]TeethAdjusters!$B:$B,1)</f>
        <v>0.77716495074174219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9.4500000000000011</v>
      </c>
      <c r="W187" s="7" t="s">
        <v>45</v>
      </c>
      <c r="X187" s="7" t="s">
        <v>933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1798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IF(_xlfn.XLOOKUP(E187,Groups!A:A,Groups!N:N)="Theropod",EXP(0.6966*LN(C187)+4.158)*S187,
"No"))))))))))))))))</f>
        <v>19196.000378324963</v>
      </c>
      <c r="AU187" s="8">
        <f>IF(_xlfn.XLOOKUP(E187,Groups!A:A,Groups!U:U)=3,AS187,IF(_xlfn.XLOOKUP(E187,Groups!A:A,Groups!U:U)=2,AR187,AT187))</f>
        <v>19196.000378324963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5.8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17.914381023906838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1626.2951807253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4982.940731821056</v>
      </c>
      <c r="BW187" s="4">
        <v>0</v>
      </c>
      <c r="BX187" s="4">
        <v>1</v>
      </c>
    </row>
    <row r="188" spans="1:76" s="16" customFormat="1" x14ac:dyDescent="0.25">
      <c r="A188" s="26" t="s">
        <v>1314</v>
      </c>
      <c r="B188" s="6" t="s">
        <v>1303</v>
      </c>
      <c r="C188" s="7">
        <v>12</v>
      </c>
      <c r="D188" s="7" t="s">
        <v>528</v>
      </c>
      <c r="E188" s="7" t="str">
        <f>Groups!$A$25</f>
        <v>Lizard (IGUANA)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633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933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1798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IF(_xlfn.XLOOKUP(E188,Groups!A:A,Groups!N:N)="Theropod",EXP(0.6966*LN(C188)+4.158)*S188,
"No"))))))))))))))))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1315</v>
      </c>
      <c r="B189" s="6" t="s">
        <v>1304</v>
      </c>
      <c r="C189" s="7">
        <v>160</v>
      </c>
      <c r="D189" s="7" t="s">
        <v>528</v>
      </c>
      <c r="E189" s="7" t="str">
        <f>Groups!$A$102</f>
        <v>Catlike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627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933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1798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IF(_xlfn.XLOOKUP(E189,Groups!A:A,Groups!N:N)="Theropod",EXP(0.6966*LN(C189)+4.158)*S189,
"No"))))))))))))))))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1316</v>
      </c>
      <c r="B190" s="6" t="s">
        <v>1307</v>
      </c>
      <c r="C190" s="7">
        <v>400</v>
      </c>
      <c r="D190" s="7" t="s">
        <v>528</v>
      </c>
      <c r="E190" s="7" t="str">
        <f>Groups!$A$77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933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1050</v>
      </c>
      <c r="AF190" s="4" t="s">
        <v>45</v>
      </c>
      <c r="AG190" s="28" t="s">
        <v>1719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IF(_xlfn.XLOOKUP(E190,Groups!A:A,Groups!N:N)="Theropod",EXP(0.6966*LN(C190)+4.158)*S190,
"No"))))))))))))))))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9.2010030010980084E-2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15886.659521691996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1317</v>
      </c>
      <c r="B191" s="6" t="s">
        <v>1308</v>
      </c>
      <c r="C191" s="7">
        <v>150</v>
      </c>
      <c r="D191" s="7" t="s">
        <v>528</v>
      </c>
      <c r="E191" s="7" t="str">
        <f>Groups!$A$37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631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0.97083004636870796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964</v>
      </c>
      <c r="Y191" s="4" t="s">
        <v>1008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1798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IF(_xlfn.XLOOKUP(E191,Groups!A:A,Groups!N:N)="Theropod",EXP(0.6966*LN(C191)+4.158)*S191,
"No"))))))))))))))))</f>
        <v>5143.317725675146</v>
      </c>
      <c r="AU191" s="8">
        <f>IF(_xlfn.XLOOKUP(E191,Groups!A:A,Groups!U:U)=3,AS191,IF(_xlfn.XLOOKUP(E191,Groups!A:A,Groups!U:U)=2,AR191,AT191))</f>
        <v>5143.317725675146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7.0998773530906982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7.0998773530906982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441.55059997873565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367.95883331561305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5342.5291751115619</v>
      </c>
      <c r="BV191" s="8">
        <f t="shared" ref="BV191:BV193" si="201">IF(BJ191="No","No",BJ191/BR191)</f>
        <v>3242.1686086024583</v>
      </c>
      <c r="BW191" s="4">
        <v>0</v>
      </c>
      <c r="BX191" s="4">
        <v>1</v>
      </c>
    </row>
    <row r="192" spans="1:76" s="16" customFormat="1" x14ac:dyDescent="0.25">
      <c r="A192" s="26" t="s">
        <v>1318</v>
      </c>
      <c r="B192" s="6" t="s">
        <v>1309</v>
      </c>
      <c r="C192" s="7">
        <v>70</v>
      </c>
      <c r="D192" s="7" t="s">
        <v>528</v>
      </c>
      <c r="E192" s="7" t="str">
        <f>Groups!$A$114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627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964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1798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IF(_xlfn.XLOOKUP(E192,Groups!A:A,Groups!N:N)="Theropod",EXP(0.6966*LN(C192)+4.158)*S192,
"No"))))))))))))))))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1319</v>
      </c>
      <c r="B193" s="6" t="s">
        <v>1310</v>
      </c>
      <c r="C193" s="7">
        <v>400</v>
      </c>
      <c r="D193" s="7" t="s">
        <v>528</v>
      </c>
      <c r="E193" s="7" t="str">
        <f>Groups!$A$113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627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933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1798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IF(_xlfn.XLOOKUP(E193,Groups!A:A,Groups!N:N)="Theropod",EXP(0.6966*LN(C193)+4.158)*S193,
"No"))))))))))))))))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1338</v>
      </c>
      <c r="B194" s="6" t="s">
        <v>1341</v>
      </c>
      <c r="C194" s="7">
        <v>15</v>
      </c>
      <c r="D194" s="7" t="s">
        <v>528</v>
      </c>
      <c r="E194" s="7" t="str">
        <f>Groups!$A$88</f>
        <v>Goo</v>
      </c>
      <c r="F194" s="7" t="s">
        <v>1707</v>
      </c>
      <c r="G194" s="7" t="s">
        <v>1707</v>
      </c>
      <c r="H194" s="7">
        <v>3</v>
      </c>
      <c r="I194" s="4">
        <v>1</v>
      </c>
      <c r="J194" s="7" t="s">
        <v>1707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933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196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196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IF(_xlfn.XLOOKUP(E194,Groups!A:A,Groups!N:N)="Theropod",EXP(0.6966*LN(C194)+4.158)*S194,
"No"))))))))))))))))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196" si="204">IFERROR(ROUND(SQRT(U194-1),1),0)</f>
        <v>0</v>
      </c>
      <c r="AZ194" s="8">
        <f t="shared" ref="AZ194:AZ196" si="205">IFERROR(ROUND(SQRT(W194),1),0)</f>
        <v>0</v>
      </c>
      <c r="BA194" s="8">
        <f t="shared" ref="BA194:BA196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196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196" si="208">ROUNDDOWN(SQRT((2*BG194)/BD194),0)</f>
        <v>8</v>
      </c>
      <c r="BL194" s="8">
        <f t="shared" ref="BL194:BL196" si="209">ROUNDDOWN(SQRT((2*BH194)/BE194),0)</f>
        <v>8</v>
      </c>
      <c r="BM194" s="8" t="str">
        <f t="shared" ref="BM194:BM196" si="210">IF(W194="No","No",ROUNDDOWN(SQRT((2*BI194)/BC194),0))</f>
        <v>No</v>
      </c>
      <c r="BN194" s="8" t="str">
        <f t="shared" ref="BN194:BN196" si="211">IF(V194="No","No",ROUNDDOWN(SQRT((2*BJ194)/BB194),0))</f>
        <v>No</v>
      </c>
      <c r="BO194" s="8">
        <f t="shared" ref="BO194:BO196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196" si="213">BG194/(AO194*5%)</f>
        <v>3.5716702055374784E-2</v>
      </c>
      <c r="BT194" s="8">
        <f t="shared" ref="BT194:BT196" si="214">IF(BP194="No","No",BH194/BP194)</f>
        <v>16.736593126419127</v>
      </c>
      <c r="BU194" s="8" t="str">
        <f t="shared" ref="BU194:BU196" si="215">IF(W194="No","No",BI194/BQ194)</f>
        <v>No</v>
      </c>
      <c r="BV194" s="8" t="str">
        <f t="shared" ref="BV194:BV196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1339</v>
      </c>
      <c r="B195" s="6" t="s">
        <v>1342</v>
      </c>
      <c r="C195" s="7">
        <v>50</v>
      </c>
      <c r="D195" s="7" t="s">
        <v>528</v>
      </c>
      <c r="E195" s="7" t="str">
        <f>Groups!$A$88</f>
        <v>Goo</v>
      </c>
      <c r="F195" s="7" t="s">
        <v>1707</v>
      </c>
      <c r="G195" s="7" t="s">
        <v>1707</v>
      </c>
      <c r="H195" s="7">
        <v>3</v>
      </c>
      <c r="I195" s="4">
        <v>1</v>
      </c>
      <c r="J195" s="7" t="s">
        <v>1707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933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IF(_xlfn.XLOOKUP(E195,Groups!A:A,Groups!N:N)="Theropod",EXP(0.6966*LN(C195)+4.158)*S195,
"No"))))))))))))))))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1340</v>
      </c>
      <c r="B196" s="6" t="s">
        <v>1343</v>
      </c>
      <c r="C196" s="7">
        <v>350</v>
      </c>
      <c r="D196" s="7" t="s">
        <v>528</v>
      </c>
      <c r="E196" s="7" t="str">
        <f>Groups!$A$88</f>
        <v>Goo</v>
      </c>
      <c r="F196" s="7" t="s">
        <v>1707</v>
      </c>
      <c r="G196" s="7" t="s">
        <v>1707</v>
      </c>
      <c r="H196" s="7">
        <v>3</v>
      </c>
      <c r="I196" s="4">
        <v>1</v>
      </c>
      <c r="J196" s="7" t="s">
        <v>1707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933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IF(_xlfn.XLOOKUP(E196,Groups!A:A,Groups!N:N)="Theropod",EXP(0.6966*LN(C196)+4.158)*S196,
"No"))))))))))))))))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1591</v>
      </c>
      <c r="B197" s="6" t="s">
        <v>1697</v>
      </c>
      <c r="C197" s="7">
        <v>500</v>
      </c>
      <c r="D197" s="7" t="s">
        <v>528</v>
      </c>
      <c r="E197" s="7" t="str">
        <f>Groups!$A$88</f>
        <v>Goo</v>
      </c>
      <c r="F197" s="7" t="s">
        <v>1707</v>
      </c>
      <c r="G197" s="7" t="s">
        <v>1707</v>
      </c>
      <c r="H197" s="7">
        <v>3</v>
      </c>
      <c r="I197" s="4">
        <v>1</v>
      </c>
      <c r="J197" s="7" t="s">
        <v>1707</v>
      </c>
      <c r="K197" s="7" t="s">
        <v>528</v>
      </c>
      <c r="L197" s="7">
        <v>10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 t="str">
        <f>IF(AT197="No","No",IF(_xlfn.XLOOKUP(E197,Groups!A:A,Groups!AM:AM)=1,MROUND(EXP(0.3582*LN(C197)-0.2221)*T197,0.05),IF(_xlfn.XLOOKUP(E197,Groups!A:A,Groups!AM:AM)=2,MROUND(EXP(0.3582*LN(C197)-0.2221)*T197,0.05),"Need a formula")))</f>
        <v>No</v>
      </c>
      <c r="W197" s="7" t="str">
        <f>IF(_xlfn.XLOOKUP(E197,Groups!A:A,Groups!V:V)&lt;&gt;"No","Need a formula","No")</f>
        <v>No</v>
      </c>
      <c r="X197" s="7" t="s">
        <v>933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45</v>
      </c>
      <c r="AG197" s="28" t="s">
        <v>45</v>
      </c>
      <c r="AH197" s="4" t="str">
        <f>Animals!$C$105</f>
        <v>&lt;li&gt;Megaspider&lt;/li&gt;</v>
      </c>
      <c r="AI197" s="4">
        <v>0</v>
      </c>
      <c r="AJ197" s="4">
        <v>0</v>
      </c>
      <c r="AK197" s="4">
        <v>0</v>
      </c>
      <c r="AL197" s="4">
        <v>0</v>
      </c>
      <c r="AM197" s="4">
        <v>1</v>
      </c>
      <c r="AN197" s="44" t="s">
        <v>40</v>
      </c>
      <c r="AO197" s="8">
        <f t="shared" ref="AO197" si="217">(0.111*C197^0.65)*10000</f>
        <v>63045.411191767809</v>
      </c>
      <c r="AP197" s="8">
        <f>IFERROR(C197*_xlfn.XLOOKUP(E197,Groups!A:A,Groups!K:K),0.106*C197^0.94)</f>
        <v>36.503765791879047</v>
      </c>
      <c r="AQ197" s="8">
        <f>AP197*10000/(_xlfn.XLOOKUP(E197,Groups!A:A,Groups!J:J)*AO197)</f>
        <v>5.7900749795800444</v>
      </c>
      <c r="AR197" s="8">
        <f t="shared" ref="AR197" si="218">EXP(0.8447*LN(C197)+3.996)</f>
        <v>10357.637618796818</v>
      </c>
      <c r="AS197" s="8">
        <f>IF(_xlfn.XLOOKUP(E197,Groups!A:A,Groups!M:M)=1,EXP(0.7444*LN('Base stats'!C197)+6.5696),EXP(0.7927*LN('Base stats'!C197)+4.28))</f>
        <v>9959.8753916241294</v>
      </c>
      <c r="AT197" s="8" t="str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IF(_xlfn.XLOOKUP(E197,Groups!A:A,Groups!N:N)="Theropod",EXP(0.6966*LN(C197)+4.158)*S197,
"No"))))))))))))))))</f>
        <v>No</v>
      </c>
      <c r="AU197" s="8" t="str">
        <f>IF(_xlfn.XLOOKUP(E197,Groups!A:A,Groups!U:U)=3,AS197,IF(_xlfn.XLOOKUP(E197,Groups!A:A,Groups!U:U)=2,AR197,AT197))</f>
        <v>No</v>
      </c>
      <c r="AV197" s="46">
        <f>IFERROR(AVERAGE(_xlfn.XLOOKUP(B197,Animals!B:B,Animals!N:N),_xlfn.XLOOKUP(B197,Animals!B:B,Animals!O:O)),0)</f>
        <v>0</v>
      </c>
      <c r="AW197" s="8">
        <f>MROUND(40*Animals!AO321*_xlfn.XLOOKUP(Animals!BB321,Leathers!$A$2:$A$99,Leathers!$B$2:$B$99,0)+(140*_xlfn.XLOOKUP(B197,Animals!B:B,Animals!AO:AO)*2),5)</f>
        <v>890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ref="AY197" si="219">IFERROR(ROUND(SQRT(U197-1),1),0)</f>
        <v>0</v>
      </c>
      <c r="AZ197" s="8">
        <f t="shared" ref="AZ197" si="220">IFERROR(ROUND(SQRT(W197),1),0)</f>
        <v>0</v>
      </c>
      <c r="BA197" s="8">
        <f t="shared" ref="BA197" si="221">ROUND(
  EXP(0.3582*LN(C197)-0.2221) *
  (0.75 + 0.25*(C197^4/(C197^4+10^4))),
1)</f>
        <v>7.4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4.2492222832919326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ref="BD197" si="222">(0.0392*C197^IF(OR(Y197="Herbivore",Y197="Dendrovore",Y197="OmnivoreRough"),0.889,0.966))*C197^-0.135</f>
        <v>4.2492222832919326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5.3211564830781724</v>
      </c>
      <c r="BF197" s="8">
        <f>(0.048*C197^1.01)/IF(_xlfn.XLOOKUP(E197,Groups!A:A,Groups!M:M)=1,0.25,0.8)*C197^-0.25</f>
        <v>6.7510053736705169</v>
      </c>
      <c r="BG197" s="8">
        <f>EXP(1.076*LN(AR197)-4.5397)*IF(_xlfn.XLOOKUP(E197,Groups!A:A,Groups!BC:BC)=1,1.25,IF(_xlfn.XLOOKUP(E197,Groups!A:A,Groups!BD:BD)=1,3.5,2.5))</f>
        <v>279.10259857967731</v>
      </c>
      <c r="BH197" s="8">
        <f>EXP(1.076*LN(AS197)-4.5397)*IF(_xlfn.XLOOKUP(E197,Groups!A:A,Groups!M:M)=1,0.8,IF(_xlfn.XLOOKUP(E197,Groups!A:A,Groups!BC:BC)=1,1.3,3))</f>
        <v>278.29018825171823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 t="str">
        <f>IFERROR(EXP(1.076*LN(AT197)-4.5397)*IF(_xlfn.XLOOKUP(E197,Groups!A:A,Groups!N:N)="Insect",1,IF(OR(_xlfn.XLOOKUP(E197,Groups!A:A,Groups!N:N)="Pig",_xlfn.XLOOKUP(E197,Groups!A:A,Groups!N:N)="StrongBitingHerbivore"),3.5,3.75)),"No")</f>
        <v>No</v>
      </c>
      <c r="BK197" s="8">
        <f t="shared" ref="BK197" si="223">ROUNDDOWN(SQRT((2*BG197)/BD197),0)</f>
        <v>11</v>
      </c>
      <c r="BL197" s="8">
        <f t="shared" ref="BL197" si="224">ROUNDDOWN(SQRT((2*BH197)/BE197),0)</f>
        <v>10</v>
      </c>
      <c r="BM197" s="8" t="str">
        <f t="shared" ref="BM197" si="225">IF(W197="No","No",ROUNDDOWN(SQRT((2*BI197)/BC197),0))</f>
        <v>No</v>
      </c>
      <c r="BN197" s="8" t="str">
        <f t="shared" ref="BN197" si="226">IF(V197="No","No",ROUNDDOWN(SQRT((2*BJ197)/BB197),0))</f>
        <v>No</v>
      </c>
      <c r="BO197" s="8">
        <f t="shared" ref="BO197" si="227">ROUNDDOWN(SQRT((2*BH197)/BF197),0)</f>
        <v>9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17.714725467023328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 t="str">
        <f>IF(BJ197="No","No",IF(_xlfn.XLOOKUP(E197,Groups!A:A,Groups!BF:BF)=1,(0.0315*C197+2.1825)*2,(0.7354*C197^0.4078)*2)/IF(_xlfn.XLOOKUP(E197,Groups!A:A,Groups!BM:BM)=1,1000,100))</f>
        <v>No</v>
      </c>
      <c r="BS197" s="8">
        <f t="shared" ref="BS197" si="228">BG197/(AO197*5%)</f>
        <v>8.8540178675564338E-2</v>
      </c>
      <c r="BT197" s="8">
        <f t="shared" ref="BT197" si="229">IF(BP197="No","No",BH197/BP197)</f>
        <v>15.709539996528118</v>
      </c>
      <c r="BU197" s="8" t="str">
        <f t="shared" ref="BU197" si="230">IF(W197="No","No",BI197/BQ197)</f>
        <v>No</v>
      </c>
      <c r="BV197" s="8" t="str">
        <f t="shared" ref="BV197" si="231">IF(BJ197="No","No",BJ197/BR197)</f>
        <v>No</v>
      </c>
      <c r="BW197" s="4">
        <v>0</v>
      </c>
      <c r="BX197" s="4">
        <v>1</v>
      </c>
    </row>
    <row r="198" spans="1:76" s="16" customFormat="1" x14ac:dyDescent="0.25">
      <c r="A198" s="26" t="s">
        <v>1483</v>
      </c>
      <c r="B198" s="6" t="s">
        <v>1659</v>
      </c>
      <c r="C198" s="7">
        <v>60</v>
      </c>
      <c r="D198" s="7" t="s">
        <v>528</v>
      </c>
      <c r="E198" s="7" t="str">
        <f>Groups!$A$88</f>
        <v>Goo</v>
      </c>
      <c r="F198" s="7" t="s">
        <v>1707</v>
      </c>
      <c r="G198" s="7">
        <v>0.5</v>
      </c>
      <c r="H198" s="7">
        <v>3</v>
      </c>
      <c r="I198" s="4">
        <v>1</v>
      </c>
      <c r="J198" s="7" t="s">
        <v>1707</v>
      </c>
      <c r="K198" s="7" t="s">
        <v>528</v>
      </c>
      <c r="L198" s="7">
        <v>10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 t="str">
        <f>IF(AT198="No","No",IF(_xlfn.XLOOKUP(E198,Groups!A:A,Groups!AM:AM)=1,MROUND(EXP(0.3582*LN(C198)-0.2221)*T198,0.05),IF(_xlfn.XLOOKUP(E198,Groups!A:A,Groups!AM:AM)=2,MROUND(EXP(0.3582*LN(C198)-0.2221)*T198,0.05),"Need a formula")))</f>
        <v>No</v>
      </c>
      <c r="W198" s="7" t="str">
        <f>IF(_xlfn.XLOOKUP(E198,Groups!A:A,Groups!V:V)&lt;&gt;"No","Need a formula","No")</f>
        <v>No</v>
      </c>
      <c r="X198" s="7" t="s">
        <v>933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tr">
        <f>Animals!$C$105</f>
        <v>&lt;li&gt;Megaspider&lt;/li&gt;</v>
      </c>
      <c r="AI198" s="4">
        <v>0</v>
      </c>
      <c r="AJ198" s="4">
        <v>0</v>
      </c>
      <c r="AK198" s="4">
        <v>0</v>
      </c>
      <c r="AL198" s="4">
        <v>0</v>
      </c>
      <c r="AM198" s="4">
        <v>1</v>
      </c>
      <c r="AN198" s="44" t="s">
        <v>40</v>
      </c>
      <c r="AO198" s="8">
        <f t="shared" ref="AO198:AO206" si="232">(0.111*C198^0.65)*10000</f>
        <v>15889.904663781534</v>
      </c>
      <c r="AP198" s="8">
        <f>IFERROR(C198*_xlfn.XLOOKUP(E198,Groups!A:A,Groups!K:K),0.106*C198^0.94)</f>
        <v>4.9747131149875132</v>
      </c>
      <c r="AQ198" s="8">
        <f>AP198*10000/(_xlfn.XLOOKUP(E198,Groups!A:A,Groups!J:J)*AO198)</f>
        <v>3.1307381763759521</v>
      </c>
      <c r="AR198" s="8">
        <f t="shared" ref="AR198:AR206" si="233">EXP(0.8447*LN(C198)+3.996)</f>
        <v>1727.6076198081698</v>
      </c>
      <c r="AS198" s="8">
        <f>IF(_xlfn.XLOOKUP(E198,Groups!A:A,Groups!M:M)=1,EXP(0.7444*LN('Base stats'!C198)+6.5696),EXP(0.7927*LN('Base stats'!C198)+4.28))</f>
        <v>1854.9016123555098</v>
      </c>
      <c r="AT198" s="8" t="str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IF(_xlfn.XLOOKUP(E198,Groups!A:A,Groups!N:N)="Theropod",EXP(0.6966*LN(C198)+4.158)*S198,
"No"))))))))))))))))</f>
        <v>No</v>
      </c>
      <c r="AU198" s="8" t="str">
        <f>IF(_xlfn.XLOOKUP(E198,Groups!A:A,Groups!U:U)=3,AS198,IF(_xlfn.XLOOKUP(E198,Groups!A:A,Groups!U:U)=2,AR198,AT198))</f>
        <v>No</v>
      </c>
      <c r="AV198" s="46">
        <f>IFERROR(AVERAGE(_xlfn.XLOOKUP(B198,Animals!B:B,Animals!N:N),_xlfn.XLOOKUP(B198,Animals!B:B,Animals!O:O)),0)</f>
        <v>0</v>
      </c>
      <c r="AW198" s="8">
        <f>MROUND(40*Animals!AO268*_xlfn.XLOOKUP(Animals!BB268,Leathers!$A$2:$A$99,Leathers!$B$2:$B$99,0)+(140*_xlfn.XLOOKUP(B198,Animals!B:B,Animals!AO:AO)*2),5)</f>
        <v>265</v>
      </c>
      <c r="AX198" s="8">
        <f>IFERROR(ROUND(SQRT(V198-1)*IF(_xlfn.XLOOKUP(E198,Groups!A:A,Groups!BF:BF)=0,2,1)*IF(_xlfn.XLOOKUP('Base stats'!E198,Groups!A:A,Groups!O:O)=0,1,0.1),1),0)</f>
        <v>0</v>
      </c>
      <c r="AY198" s="8">
        <f t="shared" ref="AY198:AY206" si="234">IFERROR(ROUND(SQRT(U198-1),1),0)</f>
        <v>0</v>
      </c>
      <c r="AZ198" s="8">
        <f t="shared" ref="AZ198:AZ206" si="235">IFERROR(ROUND(SQRT(W198),1),0)</f>
        <v>0</v>
      </c>
      <c r="BA198" s="8">
        <f t="shared" ref="BA198:BA206" si="236">ROUND(
  EXP(0.3582*LN(C198)-0.2221) *
  (0.75 + 0.25*(C198^4/(C198^4+10^4))),
1)</f>
        <v>3.5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0.85903747445843048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ref="BD198:BD206" si="237">(0.0392*C198^IF(OR(Y198="Herbivore",Y198="Dendrovore",Y198="OmnivoreRough"),0.889,0.966))*C198^-0.135</f>
        <v>0.85903747445843048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1.018046001814493</v>
      </c>
      <c r="BF198" s="8">
        <f>(0.048*C198^1.01)/IF(_xlfn.XLOOKUP(E198,Groups!A:A,Groups!M:M)=1,0.25,0.8)*C198^-0.25</f>
        <v>1.3475540718504924</v>
      </c>
      <c r="BG198" s="8">
        <f>EXP(1.076*LN(AR198)-4.5397)*IF(_xlfn.XLOOKUP(E198,Groups!A:A,Groups!BC:BC)=1,1.25,IF(_xlfn.XLOOKUP(E198,Groups!A:A,Groups!BD:BD)=1,3.5,2.5))</f>
        <v>40.628827831392194</v>
      </c>
      <c r="BH198" s="8">
        <f>EXP(1.076*LN(AS198)-4.5397)*IF(_xlfn.XLOOKUP(E198,Groups!A:A,Groups!M:M)=1,0.8,IF(_xlfn.XLOOKUP(E198,Groups!A:A,Groups!BC:BC)=1,1.3,3))</f>
        <v>45.613138770970757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 t="str">
        <f>IFERROR(EXP(1.076*LN(AT198)-4.5397)*IF(_xlfn.XLOOKUP(E198,Groups!A:A,Groups!N:N)="Insect",1,IF(OR(_xlfn.XLOOKUP(E198,Groups!A:A,Groups!N:N)="Pig",_xlfn.XLOOKUP(E198,Groups!A:A,Groups!N:N)="StrongBitingHerbivore"),3.5,3.75)),"No")</f>
        <v>No</v>
      </c>
      <c r="BK198" s="8">
        <f t="shared" ref="BK198:BK206" si="238">ROUNDDOWN(SQRT((2*BG198)/BD198),0)</f>
        <v>9</v>
      </c>
      <c r="BL198" s="8">
        <f t="shared" ref="BL198:BL206" si="239">ROUNDDOWN(SQRT((2*BH198)/BE198),0)</f>
        <v>9</v>
      </c>
      <c r="BM198" s="8" t="str">
        <f t="shared" ref="BM198:BM206" si="240">IF(W198="No","No",ROUNDDOWN(SQRT((2*BI198)/BC198),0))</f>
        <v>No</v>
      </c>
      <c r="BN198" s="8" t="str">
        <f t="shared" ref="BN198:BN206" si="241">IF(V198="No","No",ROUNDDOWN(SQRT((2*BJ198)/BB198),0))</f>
        <v>No</v>
      </c>
      <c r="BO198" s="8">
        <f t="shared" ref="BO198:BO206" si="242">ROUNDDOWN(SQRT((2*BH198)/BF198),0)</f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2.6983228138784257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 t="str">
        <f>IF(BJ198="No","No",IF(_xlfn.XLOOKUP(E198,Groups!A:A,Groups!BF:BF)=1,(0.0315*C198+2.1825)*2,(0.7354*C198^0.4078)*2)/IF(_xlfn.XLOOKUP(E198,Groups!A:A,Groups!BM:BM)=1,1000,100))</f>
        <v>No</v>
      </c>
      <c r="BS198" s="8">
        <f t="shared" ref="BS198:BS206" si="243">BG198/(AO198*5%)</f>
        <v>5.1137912644622759E-2</v>
      </c>
      <c r="BT198" s="8">
        <f t="shared" ref="BT198:BT206" si="244">IF(BP198="No","No",BH198/BP198)</f>
        <v>16.90425568666814</v>
      </c>
      <c r="BU198" s="8" t="str">
        <f t="shared" ref="BU198:BU206" si="245">IF(W198="No","No",BI198/BQ198)</f>
        <v>No</v>
      </c>
      <c r="BV198" s="8" t="str">
        <f t="shared" ref="BV198:BV206" si="246">IF(BJ198="No","No",BJ198/BR198)</f>
        <v>No</v>
      </c>
      <c r="BW198" s="4">
        <v>0</v>
      </c>
      <c r="BX198" s="4">
        <v>1</v>
      </c>
    </row>
    <row r="199" spans="1:76" s="16" customFormat="1" x14ac:dyDescent="0.25">
      <c r="A199" s="26" t="s">
        <v>1557</v>
      </c>
      <c r="B199" s="6" t="s">
        <v>1686</v>
      </c>
      <c r="C199" s="7">
        <v>60</v>
      </c>
      <c r="D199" s="7" t="s">
        <v>528</v>
      </c>
      <c r="E199" s="7" t="str">
        <f>Groups!$A$88</f>
        <v>Goo</v>
      </c>
      <c r="F199" s="7" t="s">
        <v>1707</v>
      </c>
      <c r="G199" s="7">
        <v>0.5</v>
      </c>
      <c r="H199" s="7">
        <v>3</v>
      </c>
      <c r="I199" s="4">
        <v>1</v>
      </c>
      <c r="J199" s="7" t="s">
        <v>1707</v>
      </c>
      <c r="K199" s="7" t="s">
        <v>528</v>
      </c>
      <c r="L199" s="7">
        <v>10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 t="str">
        <f>IF(AT199="No","No",IF(_xlfn.XLOOKUP(E199,Groups!A:A,Groups!AM:AM)=1,MROUND(EXP(0.3582*LN(C199)-0.2221)*T199,0.05),IF(_xlfn.XLOOKUP(E199,Groups!A:A,Groups!AM:AM)=2,MROUND(EXP(0.3582*LN(C199)-0.2221)*T199,0.05),"Need a formula")))</f>
        <v>No</v>
      </c>
      <c r="W199" s="7" t="str">
        <f>IF(_xlfn.XLOOKUP(E199,Groups!A:A,Groups!V:V)&lt;&gt;"No","Need a formula","No")</f>
        <v>No</v>
      </c>
      <c r="X199" s="7" t="s">
        <v>933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45</v>
      </c>
      <c r="AG199" s="28" t="s">
        <v>45</v>
      </c>
      <c r="AH199" s="4" t="str">
        <f>Animals!$C$105</f>
        <v>&lt;li&gt;Megaspider&lt;/li&gt;</v>
      </c>
      <c r="AI199" s="4">
        <v>0</v>
      </c>
      <c r="AJ199" s="4">
        <v>0</v>
      </c>
      <c r="AK199" s="4">
        <v>0</v>
      </c>
      <c r="AL199" s="4">
        <v>0</v>
      </c>
      <c r="AM199" s="4">
        <v>1</v>
      </c>
      <c r="AN199" s="44" t="s">
        <v>40</v>
      </c>
      <c r="AO199" s="8">
        <f t="shared" si="232"/>
        <v>15889.904663781534</v>
      </c>
      <c r="AP199" s="8">
        <f>IFERROR(C199*_xlfn.XLOOKUP(E199,Groups!A:A,Groups!K:K),0.106*C199^0.94)</f>
        <v>4.9747131149875132</v>
      </c>
      <c r="AQ199" s="8">
        <f>AP199*10000/(_xlfn.XLOOKUP(E199,Groups!A:A,Groups!J:J)*AO199)</f>
        <v>3.1307381763759521</v>
      </c>
      <c r="AR199" s="8">
        <f t="shared" si="233"/>
        <v>1727.6076198081698</v>
      </c>
      <c r="AS199" s="8">
        <f>IF(_xlfn.XLOOKUP(E199,Groups!A:A,Groups!M:M)=1,EXP(0.7444*LN('Base stats'!C199)+6.5696),EXP(0.7927*LN('Base stats'!C199)+4.28))</f>
        <v>1854.9016123555098</v>
      </c>
      <c r="AT199" s="8" t="str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IF(_xlfn.XLOOKUP(E199,Groups!A:A,Groups!N:N)="Theropod",EXP(0.6966*LN(C199)+4.158)*S199,
"No"))))))))))))))))</f>
        <v>No</v>
      </c>
      <c r="AU199" s="8" t="str">
        <f>IF(_xlfn.XLOOKUP(E199,Groups!A:A,Groups!U:U)=3,AS199,IF(_xlfn.XLOOKUP(E199,Groups!A:A,Groups!U:U)=2,AR199,AT199))</f>
        <v>No</v>
      </c>
      <c r="AV199" s="46">
        <f>IFERROR(AVERAGE(_xlfn.XLOOKUP(B199,Animals!B:B,Animals!N:N),_xlfn.XLOOKUP(B199,Animals!B:B,Animals!O:O)),0)</f>
        <v>0</v>
      </c>
      <c r="AW199" s="8">
        <f>MROUND(40*Animals!AO303*_xlfn.XLOOKUP(Animals!BB303,Leathers!$A$2:$A$99,Leathers!$B$2:$B$99,0)+(140*_xlfn.XLOOKUP(B199,Animals!B:B,Animals!AO:AO)*2),5)</f>
        <v>395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34"/>
        <v>0</v>
      </c>
      <c r="AZ199" s="8">
        <f t="shared" si="235"/>
        <v>0</v>
      </c>
      <c r="BA199" s="8">
        <f t="shared" si="236"/>
        <v>3.5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0.85903747445843048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37"/>
        <v>0.85903747445843048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1.018046001814493</v>
      </c>
      <c r="BF199" s="8">
        <f>(0.048*C199^1.01)/IF(_xlfn.XLOOKUP(E199,Groups!A:A,Groups!M:M)=1,0.25,0.8)*C199^-0.25</f>
        <v>1.3475540718504924</v>
      </c>
      <c r="BG199" s="8">
        <f>EXP(1.076*LN(AR199)-4.5397)*IF(_xlfn.XLOOKUP(E199,Groups!A:A,Groups!BC:BC)=1,1.25,IF(_xlfn.XLOOKUP(E199,Groups!A:A,Groups!BD:BD)=1,3.5,2.5))</f>
        <v>40.628827831392194</v>
      </c>
      <c r="BH199" s="8">
        <f>EXP(1.076*LN(AS199)-4.5397)*IF(_xlfn.XLOOKUP(E199,Groups!A:A,Groups!M:M)=1,0.8,IF(_xlfn.XLOOKUP(E199,Groups!A:A,Groups!BC:BC)=1,1.3,3))</f>
        <v>45.613138770970757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 t="str">
        <f>IFERROR(EXP(1.076*LN(AT199)-4.5397)*IF(_xlfn.XLOOKUP(E199,Groups!A:A,Groups!N:N)="Insect",1,IF(OR(_xlfn.XLOOKUP(E199,Groups!A:A,Groups!N:N)="Pig",_xlfn.XLOOKUP(E199,Groups!A:A,Groups!N:N)="StrongBitingHerbivore"),3.5,3.75)),"No")</f>
        <v>No</v>
      </c>
      <c r="BK199" s="8">
        <f t="shared" si="238"/>
        <v>9</v>
      </c>
      <c r="BL199" s="8">
        <f t="shared" si="239"/>
        <v>9</v>
      </c>
      <c r="BM199" s="8" t="str">
        <f t="shared" si="240"/>
        <v>No</v>
      </c>
      <c r="BN199" s="8" t="str">
        <f t="shared" si="241"/>
        <v>No</v>
      </c>
      <c r="BO199" s="8">
        <f t="shared" si="242"/>
        <v>8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2.6983228138784257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 t="str">
        <f>IF(BJ199="No","No",IF(_xlfn.XLOOKUP(E199,Groups!A:A,Groups!BF:BF)=1,(0.0315*C199+2.1825)*2,(0.7354*C199^0.4078)*2)/IF(_xlfn.XLOOKUP(E199,Groups!A:A,Groups!BM:BM)=1,1000,100))</f>
        <v>No</v>
      </c>
      <c r="BS199" s="8">
        <f t="shared" si="243"/>
        <v>5.1137912644622759E-2</v>
      </c>
      <c r="BT199" s="8">
        <f t="shared" si="244"/>
        <v>16.90425568666814</v>
      </c>
      <c r="BU199" s="8" t="str">
        <f t="shared" si="245"/>
        <v>No</v>
      </c>
      <c r="BV199" s="8" t="str">
        <f t="shared" si="246"/>
        <v>No</v>
      </c>
      <c r="BW199" s="4">
        <v>0</v>
      </c>
      <c r="BX199" s="4">
        <v>1</v>
      </c>
    </row>
    <row r="200" spans="1:76" s="16" customFormat="1" x14ac:dyDescent="0.25">
      <c r="A200" s="26" t="s">
        <v>1559</v>
      </c>
      <c r="B200" s="6" t="s">
        <v>1687</v>
      </c>
      <c r="C200" s="7">
        <v>225</v>
      </c>
      <c r="D200" s="7" t="s">
        <v>528</v>
      </c>
      <c r="E200" s="7" t="str">
        <f>Groups!$A$89</f>
        <v>SporeLayer</v>
      </c>
      <c r="F200" s="7" t="s">
        <v>1707</v>
      </c>
      <c r="G200" s="7">
        <v>0.5</v>
      </c>
      <c r="H200" s="7">
        <v>4</v>
      </c>
      <c r="I200" s="4">
        <v>1</v>
      </c>
      <c r="J200" s="7" t="s">
        <v>1707</v>
      </c>
      <c r="K200" s="7" t="s">
        <v>528</v>
      </c>
      <c r="L200" s="7">
        <v>22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 t="s">
        <v>45</v>
      </c>
      <c r="V200" s="7">
        <v>4</v>
      </c>
      <c r="W200" s="7" t="str">
        <f>IF(_xlfn.XLOOKUP(E200,Groups!A:A,Groups!V:V)&lt;&gt;"No","Need a formula","No")</f>
        <v>No</v>
      </c>
      <c r="X200" s="7" t="s">
        <v>933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</v>
      </c>
      <c r="AG200" s="28" t="s">
        <v>45</v>
      </c>
      <c r="AH200" s="4" t="str">
        <f>Animals!$C$105</f>
        <v>&lt;li&gt;Megaspider&lt;/li&gt;</v>
      </c>
      <c r="AI200" s="4">
        <v>0</v>
      </c>
      <c r="AJ200" s="4">
        <v>0</v>
      </c>
      <c r="AK200" s="4">
        <v>1</v>
      </c>
      <c r="AL200" s="4">
        <v>0</v>
      </c>
      <c r="AM200" s="4">
        <v>1</v>
      </c>
      <c r="AN200" s="44" t="s">
        <v>40</v>
      </c>
      <c r="AO200" s="8">
        <f t="shared" si="232"/>
        <v>37518.167291030215</v>
      </c>
      <c r="AP200" s="8">
        <f>IFERROR(C200*_xlfn.XLOOKUP(E200,Groups!A:A,Groups!K:K),0.106*C200^0.94)</f>
        <v>17.232862875886827</v>
      </c>
      <c r="AQ200" s="8">
        <f>AP200*10000/(_xlfn.XLOOKUP(E200,Groups!A:A,Groups!J:J)*AO200)</f>
        <v>4.213949423099991</v>
      </c>
      <c r="AR200" s="8">
        <f t="shared" si="233"/>
        <v>5276.2980808141829</v>
      </c>
      <c r="AS200" s="8">
        <f>IF(_xlfn.XLOOKUP(E200,Groups!A:A,Groups!M:M)=1,EXP(0.7444*LN('Base stats'!C200)+6.5696),EXP(0.7927*LN('Base stats'!C200)+4.28))</f>
        <v>5288.7795472348907</v>
      </c>
      <c r="AT200" s="8" t="str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IF(_xlfn.XLOOKUP(E200,Groups!A:A,Groups!N:N)="Theropod",EXP(0.6966*LN(C200)+4.158)*S200,
"No"))))))))))))))))</f>
        <v>No</v>
      </c>
      <c r="AU200" s="8" t="str">
        <f>IF(_xlfn.XLOOKUP(E200,Groups!A:A,Groups!U:U)=3,AS200,IF(_xlfn.XLOOKUP(E200,Groups!A:A,Groups!U:U)=2,AR200,AT200))</f>
        <v>No</v>
      </c>
      <c r="AV200" s="46">
        <f>IFERROR(AVERAGE(_xlfn.XLOOKUP(B200,Animals!B:B,Animals!N:N),_xlfn.XLOOKUP(B200,Animals!B:B,Animals!O:O)),0)</f>
        <v>0</v>
      </c>
      <c r="AW200" s="8">
        <f>MROUND(40*Animals!AO304*_xlfn.XLOOKUP(Animals!BB304,Leathers!$A$2:$A$99,Leathers!$B$2:$B$99,0)+(140*_xlfn.XLOOKUP(B200,Animals!B:B,Animals!AO:AO)*2),5)</f>
        <v>560</v>
      </c>
      <c r="AX200" s="8">
        <f>IFERROR(ROUND(SQRT(V200-1)*IF(_xlfn.XLOOKUP(E200,Groups!A:A,Groups!BF:BF)=0,2,1)*IF(_xlfn.XLOOKUP('Base stats'!E200,Groups!A:A,Groups!O:O)=0,1,0.1),1),0)</f>
        <v>3.5</v>
      </c>
      <c r="AY200" s="8">
        <f t="shared" si="234"/>
        <v>0</v>
      </c>
      <c r="AZ200" s="8">
        <f t="shared" si="235"/>
        <v>0</v>
      </c>
      <c r="BA200" s="8">
        <f t="shared" si="236"/>
        <v>5.6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2.3271891619698901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37"/>
        <v>2.3271891619698901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2.8543800115999356</v>
      </c>
      <c r="BF200" s="8">
        <f>(0.048*C200^1.01)/IF(_xlfn.XLOOKUP(E200,Groups!A:A,Groups!M:M)=1,0.25,0.8)*C200^-0.25</f>
        <v>3.6796792531617739</v>
      </c>
      <c r="BG200" s="8">
        <f>EXP(1.076*LN(AR200)-4.5397)*IF(_xlfn.XLOOKUP(E200,Groups!A:A,Groups!BC:BC)=1,1.25,IF(_xlfn.XLOOKUP(E200,Groups!A:A,Groups!BD:BD)=1,3.5,2.5))</f>
        <v>135.07336047858988</v>
      </c>
      <c r="BH200" s="8">
        <f>EXP(1.076*LN(AS200)-4.5397)*IF(_xlfn.XLOOKUP(E200,Groups!A:A,Groups!M:M)=1,0.8,IF(_xlfn.XLOOKUP(E200,Groups!A:A,Groups!BC:BC)=1,1.3,3))</f>
        <v>140.83388922003255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 t="str">
        <f>IFERROR(EXP(1.076*LN(AT200)-4.5397)*IF(_xlfn.XLOOKUP(E200,Groups!A:A,Groups!N:N)="Insect",1,IF(OR(_xlfn.XLOOKUP(E200,Groups!A:A,Groups!N:N)="Pig",_xlfn.XLOOKUP(E200,Groups!A:A,Groups!N:N)="StrongBitingHerbivore"),3.5,3.75)),"No")</f>
        <v>No</v>
      </c>
      <c r="BK200" s="8">
        <f t="shared" si="238"/>
        <v>10</v>
      </c>
      <c r="BL200" s="8">
        <f t="shared" si="239"/>
        <v>9</v>
      </c>
      <c r="BM200" s="8" t="str">
        <f t="shared" si="240"/>
        <v>No</v>
      </c>
      <c r="BN200" s="8" t="e">
        <f t="shared" si="241"/>
        <v>#VALUE!</v>
      </c>
      <c r="BO200" s="8">
        <f t="shared" si="242"/>
        <v>8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8.620366435691567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 t="str">
        <f>IF(BJ200="No","No",IF(_xlfn.XLOOKUP(E200,Groups!A:A,Groups!BF:BF)=1,(0.0315*C200+2.1825)*2,(0.7354*C200^0.4078)*2)/IF(_xlfn.XLOOKUP(E200,Groups!A:A,Groups!BM:BM)=1,1000,100))</f>
        <v>No</v>
      </c>
      <c r="BS200" s="8">
        <f t="shared" si="243"/>
        <v>7.2004242334557211E-2</v>
      </c>
      <c r="BT200" s="8">
        <f t="shared" si="244"/>
        <v>16.337343693062415</v>
      </c>
      <c r="BU200" s="8" t="str">
        <f t="shared" si="245"/>
        <v>No</v>
      </c>
      <c r="BV200" s="8" t="str">
        <f t="shared" si="246"/>
        <v>No</v>
      </c>
      <c r="BW200" s="4">
        <v>0</v>
      </c>
      <c r="BX200" s="4">
        <v>1</v>
      </c>
    </row>
    <row r="201" spans="1:76" s="16" customFormat="1" x14ac:dyDescent="0.25">
      <c r="A201" s="26" t="s">
        <v>1533</v>
      </c>
      <c r="B201" s="6" t="s">
        <v>1677</v>
      </c>
      <c r="C201" s="7">
        <v>20</v>
      </c>
      <c r="D201" s="7" t="s">
        <v>528</v>
      </c>
      <c r="E201" s="7" t="str">
        <f>Groups!$A$90</f>
        <v>LandJellyfish</v>
      </c>
      <c r="F201" s="7" t="s">
        <v>1707</v>
      </c>
      <c r="G201" s="7">
        <v>0.5</v>
      </c>
      <c r="H201" s="7">
        <v>4</v>
      </c>
      <c r="I201" s="4">
        <v>1</v>
      </c>
      <c r="J201" s="7" t="s">
        <v>1707</v>
      </c>
      <c r="K201" s="7" t="s">
        <v>528</v>
      </c>
      <c r="L201" s="7">
        <v>22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 t="s">
        <v>45</v>
      </c>
      <c r="V201" s="7">
        <v>4</v>
      </c>
      <c r="W201" s="7" t="str">
        <f>IF(_xlfn.XLOOKUP(E201,Groups!A:A,Groups!V:V)&lt;&gt;"No","Need a formula","No")</f>
        <v>No</v>
      </c>
      <c r="X201" s="7" t="s">
        <v>933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1</v>
      </c>
      <c r="AL201" s="4">
        <v>0</v>
      </c>
      <c r="AM201" s="4">
        <v>1</v>
      </c>
      <c r="AN201" s="44" t="s">
        <v>40</v>
      </c>
      <c r="AO201" s="8">
        <f t="shared" si="232"/>
        <v>7780.2307188855666</v>
      </c>
      <c r="AP201" s="8">
        <f>IFERROR(C201*_xlfn.XLOOKUP(E201,Groups!A:A,Groups!K:K),0.106*C201^0.94)</f>
        <v>1.7712263366972112</v>
      </c>
      <c r="AQ201" s="8">
        <f>AP201*10000/(_xlfn.XLOOKUP(E201,Groups!A:A,Groups!J:J)*AO201)</f>
        <v>2.0885991036274314</v>
      </c>
      <c r="AR201" s="8">
        <f t="shared" si="233"/>
        <v>683.0001310678939</v>
      </c>
      <c r="AS201" s="8">
        <f>IF(_xlfn.XLOOKUP(E201,Groups!A:A,Groups!M:M)=1,EXP(0.7444*LN('Base stats'!C201)+6.5696),EXP(0.7927*LN('Base stats'!C201)+4.28))</f>
        <v>776.43813921979063</v>
      </c>
      <c r="AT201" s="8" t="str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IF(_xlfn.XLOOKUP(E201,Groups!A:A,Groups!N:N)="Theropod",EXP(0.6966*LN(C201)+4.158)*S201,
"No"))))))))))))))))</f>
        <v>No</v>
      </c>
      <c r="AU201" s="8" t="str">
        <f>IF(_xlfn.XLOOKUP(E201,Groups!A:A,Groups!U:U)=3,AS201,IF(_xlfn.XLOOKUP(E201,Groups!A:A,Groups!U:U)=2,AR201,AT201))</f>
        <v>No</v>
      </c>
      <c r="AV201" s="46">
        <f>IFERROR(AVERAGE(_xlfn.XLOOKUP(B201,Animals!B:B,Animals!N:N),_xlfn.XLOOKUP(B201,Animals!B:B,Animals!O:O)),0)</f>
        <v>0</v>
      </c>
      <c r="AW201" s="8">
        <f>MROUND(40*Animals!AO291*_xlfn.XLOOKUP(Animals!BB291,Leathers!$A$2:$A$99,Leathers!$B$2:$B$99,0)+(140*_xlfn.XLOOKUP(B201,Animals!B:B,Animals!AO:AO)*2),5)</f>
        <v>155</v>
      </c>
      <c r="AX201" s="8">
        <f>IFERROR(ROUND(SQRT(V201-1)*IF(_xlfn.XLOOKUP(E201,Groups!A:A,Groups!BF:BF)=0,2,1)*IF(_xlfn.XLOOKUP('Base stats'!E201,Groups!A:A,Groups!O:O)=0,1,0.1),1),0)</f>
        <v>3.5</v>
      </c>
      <c r="AY201" s="8">
        <f t="shared" si="234"/>
        <v>0</v>
      </c>
      <c r="AZ201" s="8">
        <f t="shared" si="235"/>
        <v>0</v>
      </c>
      <c r="BA201" s="8">
        <f t="shared" si="236"/>
        <v>2.2999999999999998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0.37519987390432724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37"/>
        <v>0.37519987390432724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0.43212841428041765</v>
      </c>
      <c r="BF201" s="8">
        <f>(0.048*C201^1.01)/IF(_xlfn.XLOOKUP(E201,Groups!A:A,Groups!M:M)=1,0.25,0.8)*C201^-0.25</f>
        <v>0.58470128338370886</v>
      </c>
      <c r="BG201" s="8">
        <f>EXP(1.076*LN(AR201)-4.5397)*IF(_xlfn.XLOOKUP(E201,Groups!A:A,Groups!BC:BC)=1,1.25,IF(_xlfn.XLOOKUP(E201,Groups!A:A,Groups!BD:BD)=1,3.5,2.5))</f>
        <v>14.968563372073916</v>
      </c>
      <c r="BH201" s="8">
        <f>EXP(1.076*LN(AS201)-4.5397)*IF(_xlfn.XLOOKUP(E201,Groups!A:A,Groups!M:M)=1,0.8,IF(_xlfn.XLOOKUP(E201,Groups!A:A,Groups!BC:BC)=1,1.3,3))</f>
        <v>17.870293043760679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 t="str">
        <f>IFERROR(EXP(1.076*LN(AT201)-4.5397)*IF(_xlfn.XLOOKUP(E201,Groups!A:A,Groups!N:N)="Insect",1,IF(OR(_xlfn.XLOOKUP(E201,Groups!A:A,Groups!N:N)="Pig",_xlfn.XLOOKUP(E201,Groups!A:A,Groups!N:N)="StrongBitingHerbivore"),3.5,3.75)),"No")</f>
        <v>No</v>
      </c>
      <c r="BK201" s="8">
        <f t="shared" si="238"/>
        <v>8</v>
      </c>
      <c r="BL201" s="8">
        <f t="shared" si="239"/>
        <v>9</v>
      </c>
      <c r="BM201" s="8" t="str">
        <f t="shared" si="240"/>
        <v>No</v>
      </c>
      <c r="BN201" s="8" t="e">
        <f t="shared" si="241"/>
        <v>#VALUE!</v>
      </c>
      <c r="BO201" s="8">
        <f t="shared" si="242"/>
        <v>7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1.0612648085078589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 t="str">
        <f>IF(BJ201="No","No",IF(_xlfn.XLOOKUP(E201,Groups!A:A,Groups!BF:BF)=1,(0.0315*C201+2.1825)*2,(0.7354*C201^0.4078)*2)/IF(_xlfn.XLOOKUP(E201,Groups!A:A,Groups!BM:BM)=1,1000,100))</f>
        <v>No</v>
      </c>
      <c r="BS201" s="8">
        <f t="shared" si="243"/>
        <v>3.8478456264129914E-2</v>
      </c>
      <c r="BT201" s="8">
        <f t="shared" si="244"/>
        <v>16.838674853344433</v>
      </c>
      <c r="BU201" s="8" t="str">
        <f t="shared" si="245"/>
        <v>No</v>
      </c>
      <c r="BV201" s="8" t="str">
        <f t="shared" si="246"/>
        <v>No</v>
      </c>
      <c r="BW201" s="4">
        <v>0</v>
      </c>
      <c r="BX201" s="4">
        <v>1</v>
      </c>
    </row>
    <row r="202" spans="1:76" s="16" customFormat="1" x14ac:dyDescent="0.25">
      <c r="A202" s="26" t="s">
        <v>1344</v>
      </c>
      <c r="B202" s="6" t="s">
        <v>1611</v>
      </c>
      <c r="C202" s="7">
        <v>5</v>
      </c>
      <c r="D202" s="7" t="s">
        <v>528</v>
      </c>
      <c r="E202" s="7" t="str">
        <f>Groups!$A$90</f>
        <v>LandJellyfish</v>
      </c>
      <c r="F202" s="7" t="s">
        <v>1707</v>
      </c>
      <c r="G202" s="7">
        <v>0.5</v>
      </c>
      <c r="H202" s="7">
        <v>10</v>
      </c>
      <c r="I202" s="4">
        <v>1</v>
      </c>
      <c r="J202" s="7" t="s">
        <v>1707</v>
      </c>
      <c r="K202" s="7" t="s">
        <v>528</v>
      </c>
      <c r="L202" s="7">
        <v>22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">
        <v>45</v>
      </c>
      <c r="V202" s="7">
        <v>1</v>
      </c>
      <c r="W202" s="7" t="str">
        <f>IF(_xlfn.XLOOKUP(E202,Groups!A:A,Groups!V:V)&lt;&gt;"No","Need a formula","No")</f>
        <v>No</v>
      </c>
      <c r="X202" s="7" t="s">
        <v>933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399</v>
      </c>
      <c r="AG202" s="28" t="s">
        <v>45</v>
      </c>
      <c r="AH202" s="4" t="s">
        <v>45</v>
      </c>
      <c r="AI202" s="4">
        <v>0</v>
      </c>
      <c r="AJ202" s="4">
        <v>0</v>
      </c>
      <c r="AK202" s="4">
        <v>1</v>
      </c>
      <c r="AL202" s="4">
        <v>0</v>
      </c>
      <c r="AM202" s="4">
        <v>1</v>
      </c>
      <c r="AN202" s="44" t="s">
        <v>40</v>
      </c>
      <c r="AO202" s="8">
        <f t="shared" si="232"/>
        <v>3159.7555228095994</v>
      </c>
      <c r="AP202" s="8">
        <f>IFERROR(C202*_xlfn.XLOOKUP(E202,Groups!A:A,Groups!K:K),0.106*C202^0.94)</f>
        <v>0.48121335237829438</v>
      </c>
      <c r="AQ202" s="8">
        <f>AP202*10000/(_xlfn.XLOOKUP(E202,Groups!A:A,Groups!J:J)*AO202)</f>
        <v>1.3971971458223575</v>
      </c>
      <c r="AR202" s="8">
        <f t="shared" si="233"/>
        <v>211.76818398634828</v>
      </c>
      <c r="AS202" s="8">
        <f>IF(_xlfn.XLOOKUP(E202,Groups!A:A,Groups!M:M)=1,EXP(0.7444*LN('Base stats'!C202)+6.5696),EXP(0.7927*LN('Base stats'!C202)+4.28))</f>
        <v>258.73423965704086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IF(_xlfn.XLOOKUP(E202,Groups!A:A,Groups!N:N)="Theropod",EXP(0.6966*LN(C202)+4.158)*S202,
"No"))))))))))))))))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</v>
      </c>
      <c r="AW202" s="8">
        <f>MROUND(40*Animals!AO197*_xlfn.XLOOKUP(Animals!BB197,Leathers!$A$2:$A$99,Leathers!$B$2:$B$99,0)+(140*_xlfn.XLOOKUP(B202,Animals!B:B,Animals!AO:AO)*2),5)</f>
        <v>645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34"/>
        <v>0</v>
      </c>
      <c r="AZ202" s="8">
        <f t="shared" si="235"/>
        <v>0</v>
      </c>
      <c r="BA202" s="8">
        <f t="shared" si="236"/>
        <v>1.1000000000000001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0.13191963781682639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37"/>
        <v>0.13191963781682639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0.14655681920647873</v>
      </c>
      <c r="BF202" s="8">
        <f>(0.048*C202^1.01)/IF(_xlfn.XLOOKUP(E202,Groups!A:A,Groups!M:M)=1,0.25,0.8)*C202^-0.25</f>
        <v>0.20387710292659536</v>
      </c>
      <c r="BG202" s="8">
        <f>EXP(1.076*LN(AR202)-4.5397)*IF(_xlfn.XLOOKUP(E202,Groups!A:A,Groups!BC:BC)=1,1.25,IF(_xlfn.XLOOKUP(E202,Groups!A:A,Groups!BD:BD)=1,3.5,2.5))</f>
        <v>4.2458972489703726</v>
      </c>
      <c r="BH202" s="8">
        <f>EXP(1.076*LN(AS202)-4.5397)*IF(_xlfn.XLOOKUP(E202,Groups!A:A,Groups!M:M)=1,0.8,IF(_xlfn.XLOOKUP(E202,Groups!A:A,Groups!BC:BC)=1,1.3,3))</f>
        <v>5.4778166858251804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38"/>
        <v>8</v>
      </c>
      <c r="BL202" s="8">
        <f t="shared" si="239"/>
        <v>8</v>
      </c>
      <c r="BM202" s="8" t="str">
        <f t="shared" si="240"/>
        <v>No</v>
      </c>
      <c r="BN202" s="8" t="e">
        <f t="shared" si="241"/>
        <v>#VALUE!</v>
      </c>
      <c r="BO202" s="8">
        <f t="shared" si="242"/>
        <v>7</v>
      </c>
      <c r="BP202" s="8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0.34154446358676577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43"/>
        <v>2.6874846603290339E-2</v>
      </c>
      <c r="BT202" s="8">
        <f t="shared" si="244"/>
        <v>16.038370607151123</v>
      </c>
      <c r="BU202" s="8" t="str">
        <f t="shared" si="245"/>
        <v>No</v>
      </c>
      <c r="BV202" s="8" t="str">
        <f t="shared" si="246"/>
        <v>No</v>
      </c>
      <c r="BW202" s="4">
        <v>0</v>
      </c>
      <c r="BX202" s="4">
        <v>1</v>
      </c>
    </row>
    <row r="203" spans="1:76" s="16" customFormat="1" x14ac:dyDescent="0.25">
      <c r="A203" s="26" t="s">
        <v>1345</v>
      </c>
      <c r="B203" s="6" t="s">
        <v>1612</v>
      </c>
      <c r="C203" s="7">
        <v>150</v>
      </c>
      <c r="D203" s="7" t="s">
        <v>528</v>
      </c>
      <c r="E203" s="7" t="str">
        <f>Groups!$A$90</f>
        <v>LandJellyfish</v>
      </c>
      <c r="F203" s="7" t="s">
        <v>1707</v>
      </c>
      <c r="G203" s="7" t="s">
        <v>1707</v>
      </c>
      <c r="H203" s="7">
        <v>110</v>
      </c>
      <c r="I203" s="4">
        <v>1</v>
      </c>
      <c r="J203" s="7" t="s">
        <v>1707</v>
      </c>
      <c r="K203" s="7" t="s">
        <v>528</v>
      </c>
      <c r="L203" s="7">
        <v>22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">
        <v>45</v>
      </c>
      <c r="V203" s="7">
        <v>4</v>
      </c>
      <c r="W203" s="7" t="str">
        <f>IF(_xlfn.XLOOKUP(E203,Groups!A:A,Groups!V:V)&lt;&gt;"No","Need a formula","No")</f>
        <v>No</v>
      </c>
      <c r="X203" s="7" t="s">
        <v>933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45</v>
      </c>
      <c r="AG203" s="28" t="s">
        <v>45</v>
      </c>
      <c r="AH203" s="4" t="s">
        <v>45</v>
      </c>
      <c r="AI203" s="4">
        <v>0</v>
      </c>
      <c r="AJ203" s="4">
        <v>0</v>
      </c>
      <c r="AK203" s="4">
        <v>1</v>
      </c>
      <c r="AL203" s="4">
        <v>0</v>
      </c>
      <c r="AM203" s="4">
        <v>1</v>
      </c>
      <c r="AN203" s="44" t="s">
        <v>40</v>
      </c>
      <c r="AO203" s="8">
        <f t="shared" si="232"/>
        <v>28825.861601687579</v>
      </c>
      <c r="AP203" s="8">
        <f>IFERROR(C203*_xlfn.XLOOKUP(E203,Groups!A:A,Groups!K:K),0.106*C203^0.94)</f>
        <v>11.771495712556113</v>
      </c>
      <c r="AQ203" s="8">
        <f>AP203*10000/(_xlfn.XLOOKUP(E203,Groups!A:A,Groups!J:J)*AO203)</f>
        <v>3.7464751271603496</v>
      </c>
      <c r="AR203" s="8">
        <f t="shared" si="233"/>
        <v>3746.1489061563307</v>
      </c>
      <c r="AS203" s="8">
        <f>IF(_xlfn.XLOOKUP(E203,Groups!A:A,Groups!M:M)=1,EXP(0.7444*LN('Base stats'!C203)+6.5696),EXP(0.7927*LN('Base stats'!C203)+4.28))</f>
        <v>3835.0225645496203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IF(_xlfn.XLOOKUP(E203,Groups!A:A,Groups!N:N)="Theropod",EXP(0.6966*LN(C203)+4.158)*S203,
"No"))))))))))))))))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MROUND(40*Animals!AO198*_xlfn.XLOOKUP(Animals!BB198,Leathers!$A$2:$A$99,Leathers!$B$2:$B$99,0)+(140*_xlfn.XLOOKUP(B203,Animals!B:B,Animals!AO:AO)*2),5)</f>
        <v>460</v>
      </c>
      <c r="AX203" s="8">
        <f>IFERROR(ROUND(SQRT(V203-1)*IF(_xlfn.XLOOKUP(E203,Groups!A:A,Groups!BF:BF)=0,2,1)*IF(_xlfn.XLOOKUP('Base stats'!E203,Groups!A:A,Groups!O:O)=0,1,0.1),1),0)</f>
        <v>3.5</v>
      </c>
      <c r="AY203" s="8">
        <f t="shared" si="234"/>
        <v>0</v>
      </c>
      <c r="AZ203" s="8">
        <f t="shared" si="235"/>
        <v>0</v>
      </c>
      <c r="BA203" s="8">
        <f t="shared" si="236"/>
        <v>4.8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1.7141896806845596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37"/>
        <v>1.7141896806845596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2.0804659361508957</v>
      </c>
      <c r="BF203" s="8">
        <f>(0.048*C203^1.01)/IF(_xlfn.XLOOKUP(E203,Groups!A:A,Groups!M:M)=1,0.25,0.8)*C203^-0.25</f>
        <v>2.7038376258152188</v>
      </c>
      <c r="BG203" s="8">
        <f>EXP(1.076*LN(AR203)-4.5397)*IF(_xlfn.XLOOKUP(E203,Groups!A:A,Groups!BC:BC)=1,1.25,IF(_xlfn.XLOOKUP(E203,Groups!A:A,Groups!BD:BD)=1,3.5,2.5))</f>
        <v>93.437423078027194</v>
      </c>
      <c r="BH203" s="8">
        <f>EXP(1.076*LN(AS203)-4.5397)*IF(_xlfn.XLOOKUP(E203,Groups!A:A,Groups!M:M)=1,0.8,IF(_xlfn.XLOOKUP(E203,Groups!A:A,Groups!BC:BC)=1,1.3,3))</f>
        <v>99.657727246151907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38"/>
        <v>10</v>
      </c>
      <c r="BL203" s="8">
        <f t="shared" si="239"/>
        <v>9</v>
      </c>
      <c r="BM203" s="8" t="str">
        <f t="shared" si="240"/>
        <v>No</v>
      </c>
      <c r="BN203" s="8" t="e">
        <f t="shared" si="241"/>
        <v>#VALUE!</v>
      </c>
      <c r="BO203" s="8">
        <f t="shared" si="242"/>
        <v>8</v>
      </c>
      <c r="BP203" s="8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6.0107842131370601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43"/>
        <v>6.4828884818177987E-2</v>
      </c>
      <c r="BT203" s="8">
        <f t="shared" si="244"/>
        <v>16.579821153509688</v>
      </c>
      <c r="BU203" s="8" t="str">
        <f t="shared" si="245"/>
        <v>No</v>
      </c>
      <c r="BV203" s="8" t="str">
        <f t="shared" si="246"/>
        <v>No</v>
      </c>
      <c r="BW203" s="4">
        <v>0</v>
      </c>
      <c r="BX203" s="4">
        <v>1</v>
      </c>
    </row>
    <row r="204" spans="1:76" s="16" customFormat="1" x14ac:dyDescent="0.25">
      <c r="A204" s="26" t="s">
        <v>1491</v>
      </c>
      <c r="B204" s="6" t="s">
        <v>1613</v>
      </c>
      <c r="C204" s="7">
        <v>5</v>
      </c>
      <c r="D204" s="7" t="s">
        <v>528</v>
      </c>
      <c r="E204" s="7" t="str">
        <f>Groups!$A$90</f>
        <v>LandJellyfish</v>
      </c>
      <c r="F204" s="7" t="s">
        <v>1707</v>
      </c>
      <c r="G204" s="7">
        <v>0.5</v>
      </c>
      <c r="H204" s="7">
        <v>10</v>
      </c>
      <c r="I204" s="4">
        <v>1</v>
      </c>
      <c r="J204" s="7" t="s">
        <v>1707</v>
      </c>
      <c r="K204" s="7" t="s">
        <v>528</v>
      </c>
      <c r="L204" s="7">
        <v>22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">
        <v>45</v>
      </c>
      <c r="V204" s="7">
        <v>1</v>
      </c>
      <c r="W204" s="7" t="str">
        <f>IF(_xlfn.XLOOKUP(E204,Groups!A:A,Groups!V:V)&lt;&gt;"No","Need a formula","No")</f>
        <v>No</v>
      </c>
      <c r="X204" s="7" t="s">
        <v>933</v>
      </c>
      <c r="Y204" s="4" t="s">
        <v>42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399</v>
      </c>
      <c r="AG204" s="28" t="s">
        <v>45</v>
      </c>
      <c r="AH204" s="4" t="s">
        <v>45</v>
      </c>
      <c r="AI204" s="4">
        <v>0</v>
      </c>
      <c r="AJ204" s="4">
        <v>0</v>
      </c>
      <c r="AK204" s="4">
        <v>1</v>
      </c>
      <c r="AL204" s="4">
        <v>0</v>
      </c>
      <c r="AM204" s="4">
        <v>1</v>
      </c>
      <c r="AN204" s="44" t="s">
        <v>40</v>
      </c>
      <c r="AO204" s="8">
        <f t="shared" si="232"/>
        <v>3159.7555228095994</v>
      </c>
      <c r="AP204" s="8">
        <f>IFERROR(C204*_xlfn.XLOOKUP(E204,Groups!A:A,Groups!K:K),0.106*C204^0.94)</f>
        <v>0.48121335237829438</v>
      </c>
      <c r="AQ204" s="8">
        <f>AP204*10000/(_xlfn.XLOOKUP(E204,Groups!A:A,Groups!J:J)*AO204)</f>
        <v>1.3971971458223575</v>
      </c>
      <c r="AR204" s="8">
        <f t="shared" si="233"/>
        <v>211.76818398634828</v>
      </c>
      <c r="AS204" s="8">
        <f>IF(_xlfn.XLOOKUP(E204,Groups!A:A,Groups!M:M)=1,EXP(0.7444*LN('Base stats'!C204)+6.5696),EXP(0.7927*LN('Base stats'!C204)+4.28))</f>
        <v>258.73423965704086</v>
      </c>
      <c r="AT204" s="8" t="str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IF(_xlfn.XLOOKUP(E204,Groups!A:A,Groups!N:N)="Theropod",EXP(0.6966*LN(C204)+4.158)*S204,
"No"))))))))))))))))</f>
        <v>No</v>
      </c>
      <c r="AU204" s="8" t="str">
        <f>IF(_xlfn.XLOOKUP(E204,Groups!A:A,Groups!U:U)=3,AS204,IF(_xlfn.XLOOKUP(E204,Groups!A:A,Groups!U:U)=2,AR204,AT204))</f>
        <v>No</v>
      </c>
      <c r="AV204" s="46">
        <f>IFERROR(AVERAGE(_xlfn.XLOOKUP(B204,Animals!B:B,Animals!N:N),_xlfn.XLOOKUP(B204,Animals!B:B,Animals!O:O)),0)</f>
        <v>0</v>
      </c>
      <c r="AW204" s="8">
        <f>MROUND(40*Animals!AO199*_xlfn.XLOOKUP(Animals!BB199,Leathers!$A$2:$A$99,Leathers!$B$2:$B$99,0)+(140*_xlfn.XLOOKUP(B204,Animals!B:B,Animals!AO:AO)*2),5)</f>
        <v>110</v>
      </c>
      <c r="AX204" s="8">
        <f>IFERROR(ROUND(SQRT(V204-1)*IF(_xlfn.XLOOKUP(E204,Groups!A:A,Groups!BF:BF)=0,2,1)*IF(_xlfn.XLOOKUP('Base stats'!E204,Groups!A:A,Groups!O:O)=0,1,0.1),1),0)</f>
        <v>0</v>
      </c>
      <c r="AY204" s="8">
        <f t="shared" si="234"/>
        <v>0</v>
      </c>
      <c r="AZ204" s="8">
        <f t="shared" si="235"/>
        <v>0</v>
      </c>
      <c r="BA204" s="8">
        <f t="shared" si="236"/>
        <v>1.1000000000000001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0.13191963781682639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37"/>
        <v>0.13191963781682639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0.14655681920647873</v>
      </c>
      <c r="BF204" s="8">
        <f>(0.048*C204^1.01)/IF(_xlfn.XLOOKUP(E204,Groups!A:A,Groups!M:M)=1,0.25,0.8)*C204^-0.25</f>
        <v>0.20387710292659536</v>
      </c>
      <c r="BG204" s="8">
        <f>EXP(1.076*LN(AR204)-4.5397)*IF(_xlfn.XLOOKUP(E204,Groups!A:A,Groups!BC:BC)=1,1.25,IF(_xlfn.XLOOKUP(E204,Groups!A:A,Groups!BD:BD)=1,3.5,2.5))</f>
        <v>4.2458972489703726</v>
      </c>
      <c r="BH204" s="8">
        <f>EXP(1.076*LN(AS204)-4.5397)*IF(_xlfn.XLOOKUP(E204,Groups!A:A,Groups!M:M)=1,0.8,IF(_xlfn.XLOOKUP(E204,Groups!A:A,Groups!BC:BC)=1,1.3,3))</f>
        <v>5.4778166858251804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 t="str">
        <f>IFERROR(EXP(1.076*LN(AT204)-4.5397)*IF(_xlfn.XLOOKUP(E204,Groups!A:A,Groups!N:N)="Insect",1,IF(OR(_xlfn.XLOOKUP(E204,Groups!A:A,Groups!N:N)="Pig",_xlfn.XLOOKUP(E204,Groups!A:A,Groups!N:N)="StrongBitingHerbivore"),3.5,3.75)),"No")</f>
        <v>No</v>
      </c>
      <c r="BK204" s="8">
        <f t="shared" si="238"/>
        <v>8</v>
      </c>
      <c r="BL204" s="8">
        <f t="shared" si="239"/>
        <v>8</v>
      </c>
      <c r="BM204" s="8" t="str">
        <f t="shared" si="240"/>
        <v>No</v>
      </c>
      <c r="BN204" s="8" t="e">
        <f t="shared" si="241"/>
        <v>#VALUE!</v>
      </c>
      <c r="BO204" s="8">
        <f t="shared" si="242"/>
        <v>7</v>
      </c>
      <c r="BP204" s="8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0.34154446358676577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 t="str">
        <f>IF(BJ204="No","No",IF(_xlfn.XLOOKUP(E204,Groups!A:A,Groups!BF:BF)=1,(0.0315*C204+2.1825)*2,(0.7354*C204^0.4078)*2)/IF(_xlfn.XLOOKUP(E204,Groups!A:A,Groups!BM:BM)=1,1000,100))</f>
        <v>No</v>
      </c>
      <c r="BS204" s="8">
        <f t="shared" si="243"/>
        <v>2.6874846603290339E-2</v>
      </c>
      <c r="BT204" s="8">
        <f t="shared" si="244"/>
        <v>16.038370607151123</v>
      </c>
      <c r="BU204" s="8" t="str">
        <f t="shared" si="245"/>
        <v>No</v>
      </c>
      <c r="BV204" s="8" t="str">
        <f t="shared" si="246"/>
        <v>No</v>
      </c>
      <c r="BW204" s="4">
        <v>0</v>
      </c>
      <c r="BX204" s="4">
        <v>1</v>
      </c>
    </row>
    <row r="205" spans="1:76" s="16" customFormat="1" x14ac:dyDescent="0.25">
      <c r="A205" s="26" t="s">
        <v>1354</v>
      </c>
      <c r="B205" s="6" t="s">
        <v>1614</v>
      </c>
      <c r="C205" s="7">
        <v>35</v>
      </c>
      <c r="D205" s="7" t="s">
        <v>528</v>
      </c>
      <c r="E205" s="7" t="str">
        <f>Groups!$A$73</f>
        <v>Butterfly</v>
      </c>
      <c r="F205" s="7" t="str">
        <f t="shared" ref="F205" si="247">"Lay eggs"</f>
        <v>Lay eggs</v>
      </c>
      <c r="G205" s="7" t="s">
        <v>1707</v>
      </c>
      <c r="H205" s="7">
        <v>2</v>
      </c>
      <c r="I205" s="4">
        <v>1</v>
      </c>
      <c r="J205" s="7" t="str">
        <f t="shared" ref="J205" si="248">"Lay eggs"</f>
        <v>Lay eggs</v>
      </c>
      <c r="K205" s="7" t="s">
        <v>528</v>
      </c>
      <c r="L205" s="7">
        <v>26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 t="str">
        <f>IF(AT205="No","No",IF(_xlfn.XLOOKUP(E205,Groups!A:A,Groups!AM:AM)=1,MROUND(EXP(0.3582*LN(C205)-0.2221)*T205,0.05),IF(_xlfn.XLOOKUP(E205,Groups!A:A,Groups!AM:AM)=2,MROUND(EXP(0.3582*LN(C205)-0.2221)*T205,0.05),"Need a formula")))</f>
        <v>No</v>
      </c>
      <c r="W205" s="7" t="str">
        <f>IF(_xlfn.XLOOKUP(E205,Groups!A:A,Groups!V:V)&lt;&gt;"No","Need a formula","No")</f>
        <v>No</v>
      </c>
      <c r="X205" s="7" t="s">
        <v>933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1719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32"/>
        <v>11193.533609727016</v>
      </c>
      <c r="AP205" s="8">
        <f>IFERROR(C205*_xlfn.XLOOKUP(E205,Groups!A:A,Groups!K:K),0.106*C205^0.94)</f>
        <v>11.200000000000001</v>
      </c>
      <c r="AQ205" s="8">
        <f>AP205*10000/(_xlfn.XLOOKUP(E205,Groups!A:A,Groups!J:J)*AO205)</f>
        <v>8.3381474150600727</v>
      </c>
      <c r="AR205" s="8">
        <f t="shared" si="233"/>
        <v>1095.7589503868378</v>
      </c>
      <c r="AS205" s="8">
        <f>IF(_xlfn.XLOOKUP(E205,Groups!A:A,Groups!M:M)=1,EXP(0.7444*LN('Base stats'!C205)+6.5696),EXP(0.7927*LN('Base stats'!C205)+4.28))</f>
        <v>1209.9380129875831</v>
      </c>
      <c r="AT205" s="8" t="str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IF(_xlfn.XLOOKUP(E205,Groups!A:A,Groups!N:N)="Theropod",EXP(0.6966*LN(C205)+4.158)*S205,
"No"))))))))))))))))</f>
        <v>No</v>
      </c>
      <c r="AU205" s="8" t="str">
        <f>IF(_xlfn.XLOOKUP(E205,Groups!A:A,Groups!U:U)=3,AS205,IF(_xlfn.XLOOKUP(E205,Groups!A:A,Groups!U:U)=2,AR205,AT205))</f>
        <v>No</v>
      </c>
      <c r="AV205" s="46">
        <f>IFERROR(AVERAGE(_xlfn.XLOOKUP(B205,Animals!B:B,Animals!N:N),_xlfn.XLOOKUP(B205,Animals!B:B,Animals!O:O)),0)</f>
        <v>0.27500000000000002</v>
      </c>
      <c r="AW205" s="8">
        <f>MROUND(40*Animals!AO202*_xlfn.XLOOKUP(Animals!BB202,Leathers!$A$2:$A$99,Leathers!$B$2:$B$99,0)+(140*_xlfn.XLOOKUP(B205,Animals!B:B,Animals!AO:AO)*2),5)</f>
        <v>235</v>
      </c>
      <c r="AX205" s="8">
        <f>IFERROR(ROUND(SQRT(V205-1)*IF(_xlfn.XLOOKUP(E205,Groups!A:A,Groups!BF:BF)=0,2,1)*IF(_xlfn.XLOOKUP('Base stats'!E205,Groups!A:A,Groups!O:O)=0,1,0.1),1),0)</f>
        <v>0</v>
      </c>
      <c r="AY205" s="8">
        <f t="shared" si="234"/>
        <v>0</v>
      </c>
      <c r="AZ205" s="8">
        <f t="shared" si="235"/>
        <v>0</v>
      </c>
      <c r="BA205" s="8">
        <f t="shared" si="236"/>
        <v>2.9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0.57215457172317086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37"/>
        <v>0.57215457172317086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0.66862483223497027</v>
      </c>
      <c r="BF205" s="8">
        <f>(0.048*C205^1.01)/IF(_xlfn.XLOOKUP(E205,Groups!A:A,Groups!M:M)=1,0.25,0.8)*C205^-0.25</f>
        <v>0.89462898368032151</v>
      </c>
      <c r="BG205" s="8">
        <f>EXP(1.076*LN(AR205)-4.5397)*IF(_xlfn.XLOOKUP(E205,Groups!A:A,Groups!BC:BC)=1,1.25,IF(_xlfn.XLOOKUP(E205,Groups!A:A,Groups!BD:BD)=1,3.5,2.5))</f>
        <v>24.892970376789926</v>
      </c>
      <c r="BH205" s="8">
        <f>EXP(1.076*LN(AS205)-4.5397)*IF(_xlfn.XLOOKUP(E205,Groups!A:A,Groups!M:M)=1,0.8,IF(_xlfn.XLOOKUP(E205,Groups!A:A,Groups!BC:BC)=1,1.3,3))</f>
        <v>28.80247519858462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 t="str">
        <f>IFERROR(EXP(1.076*LN(AT205)-4.5397)*IF(_xlfn.XLOOKUP(E205,Groups!A:A,Groups!N:N)="Insect",1,IF(OR(_xlfn.XLOOKUP(E205,Groups!A:A,Groups!N:N)="Pig",_xlfn.XLOOKUP(E205,Groups!A:A,Groups!N:N)="StrongBitingHerbivore"),3.5,3.75)),"No")</f>
        <v>No</v>
      </c>
      <c r="BK205" s="8">
        <f t="shared" si="238"/>
        <v>9</v>
      </c>
      <c r="BL205" s="8">
        <f t="shared" si="239"/>
        <v>9</v>
      </c>
      <c r="BM205" s="8" t="str">
        <f t="shared" si="240"/>
        <v>No</v>
      </c>
      <c r="BN205" s="8" t="str">
        <f t="shared" si="241"/>
        <v>No</v>
      </c>
      <c r="BO205" s="8">
        <f t="shared" si="24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 t="str">
        <f>IF(BJ205="No","No",IF(_xlfn.XLOOKUP(E205,Groups!A:A,Groups!BF:BF)=1,(0.0315*C205+2.1825)*2,(0.7354*C205^0.4078)*2)/IF(_xlfn.XLOOKUP(E205,Groups!A:A,Groups!BM:BM)=1,1000,100))</f>
        <v>No</v>
      </c>
      <c r="BS205" s="8">
        <f t="shared" si="243"/>
        <v>4.447741212865667E-2</v>
      </c>
      <c r="BT205" s="8" t="str">
        <f t="shared" si="244"/>
        <v>No</v>
      </c>
      <c r="BU205" s="8" t="str">
        <f t="shared" si="245"/>
        <v>No</v>
      </c>
      <c r="BV205" s="8" t="str">
        <f t="shared" si="246"/>
        <v>No</v>
      </c>
      <c r="BW205" s="4">
        <v>0</v>
      </c>
      <c r="BX205" s="4">
        <v>1</v>
      </c>
    </row>
    <row r="206" spans="1:76" s="16" customFormat="1" x14ac:dyDescent="0.25">
      <c r="A206" s="26" t="s">
        <v>1353</v>
      </c>
      <c r="B206" s="6" t="s">
        <v>1615</v>
      </c>
      <c r="C206" s="7">
        <v>0.5</v>
      </c>
      <c r="D206" s="7" t="s">
        <v>528</v>
      </c>
      <c r="E206" s="7" t="str">
        <f>Groups!$A$4</f>
        <v>Beetle (LARVA)</v>
      </c>
      <c r="F206" s="7" t="s">
        <v>1707</v>
      </c>
      <c r="G206" s="7" t="s">
        <v>1707</v>
      </c>
      <c r="H206" s="7">
        <v>1</v>
      </c>
      <c r="I206" s="4">
        <v>1</v>
      </c>
      <c r="J206" s="7" t="s">
        <v>1707</v>
      </c>
      <c r="K206" s="7" t="s">
        <v>528</v>
      </c>
      <c r="L206" s="7">
        <v>16</v>
      </c>
      <c r="M206" s="7" t="s">
        <v>528</v>
      </c>
      <c r="N206" s="4">
        <v>0</v>
      </c>
      <c r="O206" s="4">
        <v>0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 t="str">
        <f>IF(AT206="No","No",IF(_xlfn.XLOOKUP(E206,Groups!A:A,Groups!AM:AM)=1,MROUND(EXP(0.3582*LN(C206)-0.2221)*T206,0.05),IF(_xlfn.XLOOKUP(E206,Groups!A:A,Groups!AM:AM)=2,MROUND(EXP(0.3582*LN(C206)-0.2221)*T206,0.05),"Need a formula")))</f>
        <v>Need a formula</v>
      </c>
      <c r="W206" s="7" t="str">
        <f>IF(_xlfn.XLOOKUP(E206,Groups!A:A,Groups!V:V)&lt;&gt;"No","Need a formula","No")</f>
        <v>No</v>
      </c>
      <c r="X206" s="7" t="s">
        <v>933</v>
      </c>
      <c r="Y206" s="4" t="s">
        <v>42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311</v>
      </c>
      <c r="AG206" s="28" t="s">
        <v>1719</v>
      </c>
      <c r="AH206" s="4" t="str">
        <f>Animals!$C$105</f>
        <v>&lt;li&gt;Megaspider&lt;/li&gt;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32"/>
        <v>707.38114816219058</v>
      </c>
      <c r="AP206" s="8">
        <f>IFERROR(C206*_xlfn.XLOOKUP(E206,Groups!A:A,Groups!K:K),0.106*C206^0.94)</f>
        <v>0.16</v>
      </c>
      <c r="AQ206" s="8">
        <f>AP206*10000/(_xlfn.XLOOKUP(E206,Groups!A:A,Groups!J:J)*AO206)</f>
        <v>1.8848867216738756</v>
      </c>
      <c r="AR206" s="8">
        <f t="shared" si="233"/>
        <v>30.280337563677854</v>
      </c>
      <c r="AS206" s="8">
        <f>IF(_xlfn.XLOOKUP(E206,Groups!A:A,Groups!M:M)=1,EXP(0.7444*LN('Base stats'!C206)+6.5696),EXP(0.7927*LN('Base stats'!C206)+4.28))</f>
        <v>425.65162873628793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IF(_xlfn.XLOOKUP(E206,Groups!A:A,Groups!N:N)="Theropod",EXP(0.6966*LN(C206)+4.158)*S206,
"No"))))))))))))))))</f>
        <v>425.65162873628793</v>
      </c>
      <c r="AU206" s="8">
        <f>IF(_xlfn.XLOOKUP(E206,Groups!A:A,Groups!U:U)=3,AS206,IF(_xlfn.XLOOKUP(E206,Groups!A:A,Groups!U:U)=2,AR206,AT206))</f>
        <v>425.65162873628793</v>
      </c>
      <c r="AV206" s="46">
        <f>IFERROR(AVERAGE(_xlfn.XLOOKUP(B206,Animals!B:B,Animals!N:N),_xlfn.XLOOKUP(B206,Animals!B:B,Animals!O:O)),0)</f>
        <v>0.1</v>
      </c>
      <c r="AW206" s="8">
        <f>MROUND(40*Animals!AO203*_xlfn.XLOOKUP(Animals!BB203,Leathers!$A$2:$A$99,Leathers!$B$2:$B$99,0)+(140*_xlfn.XLOOKUP(B206,Animals!B:B,Animals!AO:AO)*2),5)</f>
        <v>300</v>
      </c>
      <c r="AX206" s="8">
        <f>IFERROR(ROUND(SQRT(V206-1)*IF(_xlfn.XLOOKUP(E206,Groups!A:A,Groups!BF:BF)=0,2,1)*IF(_xlfn.XLOOKUP('Base stats'!E206,Groups!A:A,Groups!O:O)=0,1,0.1),1),0)</f>
        <v>0</v>
      </c>
      <c r="AY206" s="8">
        <f t="shared" si="234"/>
        <v>0</v>
      </c>
      <c r="AZ206" s="8">
        <f t="shared" si="235"/>
        <v>0</v>
      </c>
      <c r="BA206" s="8">
        <f t="shared" si="236"/>
        <v>0.5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5.8109810471136447E-2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37"/>
        <v>2.3243924188454577E-2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4.8644755670153153E-2</v>
      </c>
      <c r="BF206" s="8">
        <f>(0.048*C206^1.01)/IF(_xlfn.XLOOKUP(E206,Groups!A:A,Groups!M:M)=1,0.25,0.8)*C206^-0.25</f>
        <v>0.11337529549723492</v>
      </c>
      <c r="BG206" s="8">
        <f>EXP(1.076*LN(AR206)-4.5397)*IF(_xlfn.XLOOKUP(E206,Groups!A:A,Groups!BC:BC)=1,1.25,IF(_xlfn.XLOOKUP(E206,Groups!A:A,Groups!BD:BD)=1,3.5,2.5))</f>
        <v>0.52368758710181385</v>
      </c>
      <c r="BH206" s="8">
        <f>EXP(1.076*LN(AS206)-4.5397)*IF(_xlfn.XLOOKUP(E206,Groups!A:A,Groups!M:M)=1,0.8,IF(_xlfn.XLOOKUP(E206,Groups!A:A,Groups!BC:BC)=1,1.3,3))</f>
        <v>5.7595128796425588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7.199391099553198</v>
      </c>
      <c r="BK206" s="8">
        <f t="shared" si="238"/>
        <v>6</v>
      </c>
      <c r="BL206" s="8">
        <f t="shared" si="239"/>
        <v>15</v>
      </c>
      <c r="BM206" s="8" t="str">
        <f t="shared" si="240"/>
        <v>No</v>
      </c>
      <c r="BN206" s="8">
        <f t="shared" si="241"/>
        <v>15</v>
      </c>
      <c r="BO206" s="8">
        <f t="shared" si="242"/>
        <v>10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1.1086477730522874E-2</v>
      </c>
      <c r="BS206" s="8">
        <f t="shared" si="243"/>
        <v>1.4806376688504598E-2</v>
      </c>
      <c r="BT206" s="8" t="str">
        <f t="shared" si="244"/>
        <v>No</v>
      </c>
      <c r="BU206" s="8" t="str">
        <f t="shared" si="245"/>
        <v>No</v>
      </c>
      <c r="BV206" s="8">
        <f t="shared" si="246"/>
        <v>649.38488801832023</v>
      </c>
      <c r="BW206" s="4">
        <v>0</v>
      </c>
      <c r="BX206" s="4">
        <v>1</v>
      </c>
    </row>
    <row r="207" spans="1:76" s="16" customFormat="1" x14ac:dyDescent="0.25">
      <c r="A207" s="26" t="s">
        <v>1423</v>
      </c>
      <c r="B207" s="6" t="s">
        <v>1638</v>
      </c>
      <c r="C207" s="7">
        <v>5</v>
      </c>
      <c r="D207" s="7" t="s">
        <v>528</v>
      </c>
      <c r="E207" s="7" t="str">
        <f>Groups!$A$73</f>
        <v>Butterfly</v>
      </c>
      <c r="F207" s="7" t="str">
        <f t="shared" ref="F207" si="249">"Lay eggs"</f>
        <v>Lay eggs</v>
      </c>
      <c r="G207" s="7" t="s">
        <v>1707</v>
      </c>
      <c r="H207" s="7">
        <v>2</v>
      </c>
      <c r="I207" s="4">
        <v>1</v>
      </c>
      <c r="J207" s="7" t="str">
        <f t="shared" ref="J207" si="250">"Lay eggs"</f>
        <v>Lay eggs</v>
      </c>
      <c r="K207" s="7" t="s">
        <v>528</v>
      </c>
      <c r="L207" s="7">
        <v>26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 t="str">
        <f>IF(OR(_xlfn.XLOOKUP(E207,Groups!A:A,Groups!P:P)=1,_xlfn.XLOOKUP(E207,Groups!A:A,Groups!AD:AD)=1),"Need a formula","No")</f>
        <v>No</v>
      </c>
      <c r="V207" s="7" t="str">
        <f>IF(AT207="No","No",IF(_xlfn.XLOOKUP(E207,Groups!A:A,Groups!AM:AM)=1,MROUND(EXP(0.3582*LN(C207)-0.2221)*T207,0.05),IF(_xlfn.XLOOKUP(E207,Groups!A:A,Groups!AM:AM)=2,MROUND(EXP(0.3582*LN(C207)-0.2221)*T207,0.05),"Need a formula")))</f>
        <v>No</v>
      </c>
      <c r="W207" s="7" t="str">
        <f>IF(_xlfn.XLOOKUP(E207,Groups!A:A,Groups!V:V)&lt;&gt;"No","Need a formula","No")</f>
        <v>No</v>
      </c>
      <c r="X207" s="7" t="s">
        <v>933</v>
      </c>
      <c r="Y207" s="4" t="s">
        <v>42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1719</v>
      </c>
      <c r="AH207" s="4" t="str">
        <f>Animals!$C$105</f>
        <v>&lt;li&gt;Megaspider&lt;/li&gt;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ref="AO207:AO208" si="251">(0.111*C207^0.65)*10000</f>
        <v>3159.7555228095994</v>
      </c>
      <c r="AP207" s="8">
        <f>IFERROR(C207*_xlfn.XLOOKUP(E207,Groups!A:A,Groups!K:K),0.106*C207^0.94)</f>
        <v>1.6</v>
      </c>
      <c r="AQ207" s="8">
        <f>AP207*10000/(_xlfn.XLOOKUP(E207,Groups!A:A,Groups!J:J)*AO207)</f>
        <v>4.2197357476180839</v>
      </c>
      <c r="AR207" s="8">
        <f t="shared" ref="AR207:AR208" si="252">EXP(0.8447*LN(C207)+3.996)</f>
        <v>211.76818398634828</v>
      </c>
      <c r="AS207" s="8">
        <f>IF(_xlfn.XLOOKUP(E207,Groups!A:A,Groups!M:M)=1,EXP(0.7444*LN('Base stats'!C207)+6.5696),EXP(0.7927*LN('Base stats'!C207)+4.28))</f>
        <v>258.73423965704086</v>
      </c>
      <c r="AT207" s="8" t="str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IF(_xlfn.XLOOKUP(E207,Groups!A:A,Groups!N:N)="Theropod",EXP(0.6966*LN(C207)+4.158)*S207,
"No"))))))))))))))))</f>
        <v>No</v>
      </c>
      <c r="AU207" s="8" t="str">
        <f>IF(_xlfn.XLOOKUP(E207,Groups!A:A,Groups!U:U)=3,AS207,IF(_xlfn.XLOOKUP(E207,Groups!A:A,Groups!U:U)=2,AR207,AT207))</f>
        <v>No</v>
      </c>
      <c r="AV207" s="46">
        <f>IFERROR(AVERAGE(_xlfn.XLOOKUP(B207,Animals!B:B,Animals!N:N),_xlfn.XLOOKUP(B207,Animals!B:B,Animals!O:O)),0)</f>
        <v>0.17499999999999999</v>
      </c>
      <c r="AW207" s="8">
        <f>MROUND(40*Animals!AO239*_xlfn.XLOOKUP(Animals!BB239,Leathers!$A$2:$A$99,Leathers!$B$2:$B$99,0)+(140*_xlfn.XLOOKUP(B207,Animals!B:B,Animals!AO:AO)*2),5)</f>
        <v>85</v>
      </c>
      <c r="AX207" s="8">
        <f>IFERROR(ROUND(SQRT(V207-1)*IF(_xlfn.XLOOKUP(E207,Groups!A:A,Groups!BF:BF)=0,2,1)*IF(_xlfn.XLOOKUP('Base stats'!E207,Groups!A:A,Groups!O:O)=0,1,0.1),1),0)</f>
        <v>0</v>
      </c>
      <c r="AY207" s="8">
        <f t="shared" ref="AY207:AY208" si="253">IFERROR(ROUND(SQRT(U207-1),1),0)</f>
        <v>0</v>
      </c>
      <c r="AZ207" s="8">
        <f t="shared" ref="AZ207:AZ208" si="254">IFERROR(ROUND(SQRT(W207),1),0)</f>
        <v>0</v>
      </c>
      <c r="BA207" s="8">
        <f t="shared" ref="BA207:BA208" si="255">ROUND(
  EXP(0.3582*LN(C207)-0.2221) *
  (0.75 + 0.25*(C207^4/(C207^4+10^4))),
1)</f>
        <v>1.1000000000000001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0.13191963781682639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ref="BD207:BD208" si="256">(0.0392*C207^IF(OR(Y207="Herbivore",Y207="Dendrovore",Y207="OmnivoreRough"),0.889,0.966))*C207^-0.135</f>
        <v>0.13191963781682639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0.14655681920647873</v>
      </c>
      <c r="BF207" s="8">
        <f>(0.048*C207^1.01)/IF(_xlfn.XLOOKUP(E207,Groups!A:A,Groups!M:M)=1,0.25,0.8)*C207^-0.25</f>
        <v>0.20387710292659536</v>
      </c>
      <c r="BG207" s="8">
        <f>EXP(1.076*LN(AR207)-4.5397)*IF(_xlfn.XLOOKUP(E207,Groups!A:A,Groups!BC:BC)=1,1.25,IF(_xlfn.XLOOKUP(E207,Groups!A:A,Groups!BD:BD)=1,3.5,2.5))</f>
        <v>4.2458972489703726</v>
      </c>
      <c r="BH207" s="8">
        <f>EXP(1.076*LN(AS207)-4.5397)*IF(_xlfn.XLOOKUP(E207,Groups!A:A,Groups!M:M)=1,0.8,IF(_xlfn.XLOOKUP(E207,Groups!A:A,Groups!BC:BC)=1,1.3,3))</f>
        <v>5.4778166858251804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 t="str">
        <f>IFERROR(EXP(1.076*LN(AT207)-4.5397)*IF(_xlfn.XLOOKUP(E207,Groups!A:A,Groups!N:N)="Insect",1,IF(OR(_xlfn.XLOOKUP(E207,Groups!A:A,Groups!N:N)="Pig",_xlfn.XLOOKUP(E207,Groups!A:A,Groups!N:N)="StrongBitingHerbivore"),3.5,3.75)),"No")</f>
        <v>No</v>
      </c>
      <c r="BK207" s="8">
        <f t="shared" ref="BK207:BK208" si="257">ROUNDDOWN(SQRT((2*BG207)/BD207),0)</f>
        <v>8</v>
      </c>
      <c r="BL207" s="8">
        <f t="shared" ref="BL207:BL208" si="258">ROUNDDOWN(SQRT((2*BH207)/BE207),0)</f>
        <v>8</v>
      </c>
      <c r="BM207" s="8" t="str">
        <f t="shared" ref="BM207:BM208" si="259">IF(W207="No","No",ROUNDDOWN(SQRT((2*BI207)/BC207),0))</f>
        <v>No</v>
      </c>
      <c r="BN207" s="8" t="str">
        <f t="shared" ref="BN207:BN208" si="260">IF(V207="No","No",ROUNDDOWN(SQRT((2*BJ207)/BB207),0))</f>
        <v>No</v>
      </c>
      <c r="BO207" s="8">
        <f t="shared" ref="BO207:BO208" si="261">ROUNDDOWN(SQRT((2*BH207)/BF207),0)</f>
        <v>7</v>
      </c>
      <c r="BP207" s="8" t="str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No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 t="str">
        <f>IF(BJ207="No","No",IF(_xlfn.XLOOKUP(E207,Groups!A:A,Groups!BF:BF)=1,(0.0315*C207+2.1825)*2,(0.7354*C207^0.4078)*2)/IF(_xlfn.XLOOKUP(E207,Groups!A:A,Groups!BM:BM)=1,1000,100))</f>
        <v>No</v>
      </c>
      <c r="BS207" s="8">
        <f t="shared" ref="BS207:BS208" si="262">BG207/(AO207*5%)</f>
        <v>2.6874846603290339E-2</v>
      </c>
      <c r="BT207" s="8" t="str">
        <f t="shared" ref="BT207:BT208" si="263">IF(BP207="No","No",BH207/BP207)</f>
        <v>No</v>
      </c>
      <c r="BU207" s="8" t="str">
        <f t="shared" ref="BU207:BU208" si="264">IF(W207="No","No",BI207/BQ207)</f>
        <v>No</v>
      </c>
      <c r="BV207" s="8" t="str">
        <f t="shared" ref="BV207:BV208" si="265">IF(BJ207="No","No",BJ207/BR207)</f>
        <v>No</v>
      </c>
      <c r="BW207" s="4">
        <v>0</v>
      </c>
      <c r="BX207" s="4">
        <v>1</v>
      </c>
    </row>
    <row r="208" spans="1:76" s="16" customFormat="1" x14ac:dyDescent="0.25">
      <c r="A208" s="26" t="s">
        <v>1425</v>
      </c>
      <c r="B208" s="6" t="s">
        <v>1639</v>
      </c>
      <c r="C208" s="7">
        <v>0.5</v>
      </c>
      <c r="D208" s="7" t="s">
        <v>528</v>
      </c>
      <c r="E208" s="7" t="str">
        <f>Groups!$A$4</f>
        <v>Beetle (LARVA)</v>
      </c>
      <c r="F208" s="7" t="s">
        <v>1707</v>
      </c>
      <c r="G208" s="7" t="s">
        <v>1707</v>
      </c>
      <c r="H208" s="7">
        <v>1</v>
      </c>
      <c r="I208" s="4">
        <v>1</v>
      </c>
      <c r="J208" s="7" t="s">
        <v>1707</v>
      </c>
      <c r="K208" s="7" t="s">
        <v>528</v>
      </c>
      <c r="L208" s="7">
        <v>16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 t="str">
        <f>IF(OR(_xlfn.XLOOKUP(E208,Groups!A:A,Groups!P:P)=1,_xlfn.XLOOKUP(E208,Groups!A:A,Groups!AD:AD)=1),"Need a formula","No")</f>
        <v>No</v>
      </c>
      <c r="V208" s="7" t="str">
        <f>IF(AT208="No","No",IF(_xlfn.XLOOKUP(E208,Groups!A:A,Groups!AM:AM)=1,MROUND(EXP(0.3582*LN(C208)-0.2221)*T208,0.05),IF(_xlfn.XLOOKUP(E208,Groups!A:A,Groups!AM:AM)=2,MROUND(EXP(0.3582*LN(C208)-0.2221)*T208,0.05),"Need a formula")))</f>
        <v>Need a formula</v>
      </c>
      <c r="W208" s="7" t="str">
        <f>IF(_xlfn.XLOOKUP(E208,Groups!A:A,Groups!V:V)&lt;&gt;"No","Need a formula","No")</f>
        <v>No</v>
      </c>
      <c r="X208" s="7" t="s">
        <v>933</v>
      </c>
      <c r="Y208" s="4" t="s">
        <v>42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311</v>
      </c>
      <c r="AG208" s="28" t="s">
        <v>1719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si="251"/>
        <v>707.38114816219058</v>
      </c>
      <c r="AP208" s="8">
        <f>IFERROR(C208*_xlfn.XLOOKUP(E208,Groups!A:A,Groups!K:K),0.106*C208^0.94)</f>
        <v>0.16</v>
      </c>
      <c r="AQ208" s="8">
        <f>AP208*10000/(_xlfn.XLOOKUP(E208,Groups!A:A,Groups!J:J)*AO208)</f>
        <v>1.8848867216738756</v>
      </c>
      <c r="AR208" s="8">
        <f t="shared" si="252"/>
        <v>30.280337563677854</v>
      </c>
      <c r="AS208" s="8">
        <f>IF(_xlfn.XLOOKUP(E208,Groups!A:A,Groups!M:M)=1,EXP(0.7444*LN('Base stats'!C208)+6.5696),EXP(0.7927*LN('Base stats'!C208)+4.28))</f>
        <v>425.65162873628793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IF(_xlfn.XLOOKUP(E208,Groups!A:A,Groups!N:N)="Theropod",EXP(0.6966*LN(C208)+4.158)*S208,
"No"))))))))))))))))</f>
        <v>425.65162873628793</v>
      </c>
      <c r="AU208" s="8">
        <f>IF(_xlfn.XLOOKUP(E208,Groups!A:A,Groups!U:U)=3,AS208,IF(_xlfn.XLOOKUP(E208,Groups!A:A,Groups!U:U)=2,AR208,AT208))</f>
        <v>425.65162873628793</v>
      </c>
      <c r="AV208" s="46">
        <f>IFERROR(AVERAGE(_xlfn.XLOOKUP(B208,Animals!B:B,Animals!N:N),_xlfn.XLOOKUP(B208,Animals!B:B,Animals!O:O)),0)</f>
        <v>0.1</v>
      </c>
      <c r="AW208" s="8">
        <f>MROUND(40*Animals!AO240*_xlfn.XLOOKUP(Animals!BB240,Leathers!$A$2:$A$99,Leathers!$B$2:$B$99,0)+(140*_xlfn.XLOOKUP(B208,Animals!B:B,Animals!AO:AO)*2),5)</f>
        <v>30</v>
      </c>
      <c r="AX208" s="8">
        <f>IFERROR(ROUND(SQRT(V208-1)*IF(_xlfn.XLOOKUP(E208,Groups!A:A,Groups!BF:BF)=0,2,1)*IF(_xlfn.XLOOKUP('Base stats'!E208,Groups!A:A,Groups!O:O)=0,1,0.1),1),0)</f>
        <v>0</v>
      </c>
      <c r="AY208" s="8">
        <f t="shared" si="253"/>
        <v>0</v>
      </c>
      <c r="AZ208" s="8">
        <f t="shared" si="254"/>
        <v>0</v>
      </c>
      <c r="BA208" s="8">
        <f t="shared" si="255"/>
        <v>0.5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5.8109810471136447E-2</v>
      </c>
      <c r="BC208" s="8" t="str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No</v>
      </c>
      <c r="BD208" s="8">
        <f t="shared" si="256"/>
        <v>2.3243924188454577E-2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4.8644755670153153E-2</v>
      </c>
      <c r="BF208" s="8">
        <f>(0.048*C208^1.01)/IF(_xlfn.XLOOKUP(E208,Groups!A:A,Groups!M:M)=1,0.25,0.8)*C208^-0.25</f>
        <v>0.11337529549723492</v>
      </c>
      <c r="BG208" s="8">
        <f>EXP(1.076*LN(AR208)-4.5397)*IF(_xlfn.XLOOKUP(E208,Groups!A:A,Groups!BC:BC)=1,1.25,IF(_xlfn.XLOOKUP(E208,Groups!A:A,Groups!BD:BD)=1,3.5,2.5))</f>
        <v>0.52368758710181385</v>
      </c>
      <c r="BH208" s="8">
        <f>EXP(1.076*LN(AS208)-4.5397)*IF(_xlfn.XLOOKUP(E208,Groups!A:A,Groups!M:M)=1,0.8,IF(_xlfn.XLOOKUP(E208,Groups!A:A,Groups!BC:BC)=1,1.3,3))</f>
        <v>5.7595128796425588</v>
      </c>
      <c r="BI208" s="8" t="str">
        <f>IF(W208="No","No",IF(_xlfn.XLOOKUP(E208,Groups!A:A,Groups!U:U)=1,'Base stats'!BJ208,IF(OR(_xlfn.XLOOKUP(E208,Groups!A:A,Groups!BD:BD)=1,_xlfn.XLOOKUP(E208,Groups!A:A,Groups!U:U)=2),BG208,BH208))*1.2)</f>
        <v>No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7.199391099553198</v>
      </c>
      <c r="BK208" s="8">
        <f t="shared" si="257"/>
        <v>6</v>
      </c>
      <c r="BL208" s="8">
        <f t="shared" si="258"/>
        <v>15</v>
      </c>
      <c r="BM208" s="8" t="str">
        <f t="shared" si="259"/>
        <v>No</v>
      </c>
      <c r="BN208" s="8">
        <f t="shared" si="260"/>
        <v>15</v>
      </c>
      <c r="BO208" s="8">
        <f t="shared" si="261"/>
        <v>10</v>
      </c>
      <c r="BP208" s="8" t="str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No</v>
      </c>
      <c r="BQ208" s="8" t="str">
        <f>IF(W208="No","No",IF(_xlfn.XLOOKUP(E208,Groups!A:A,Groups!BD:BD)=1,(AO208*5%),EXP(0.7354*LN(C208)^0.4078)*2/IF(_xlfn.XLOOKUP(E208,Groups!A:A,Groups!BL:BL)=1,1000,100)))</f>
        <v>No</v>
      </c>
      <c r="BR208" s="8">
        <f>IF(BJ208="No","No",IF(_xlfn.XLOOKUP(E208,Groups!A:A,Groups!BF:BF)=1,(0.0315*C208+2.1825)*2,(0.7354*C208^0.4078)*2)/IF(_xlfn.XLOOKUP(E208,Groups!A:A,Groups!BM:BM)=1,1000,100))</f>
        <v>1.1086477730522874E-2</v>
      </c>
      <c r="BS208" s="8">
        <f t="shared" si="262"/>
        <v>1.4806376688504598E-2</v>
      </c>
      <c r="BT208" s="8" t="str">
        <f t="shared" si="263"/>
        <v>No</v>
      </c>
      <c r="BU208" s="8" t="str">
        <f t="shared" si="264"/>
        <v>No</v>
      </c>
      <c r="BV208" s="8">
        <f t="shared" si="265"/>
        <v>649.38488801832023</v>
      </c>
      <c r="BW208" s="4">
        <v>0</v>
      </c>
      <c r="BX208" s="4">
        <v>1</v>
      </c>
    </row>
    <row r="209" spans="1:76" s="16" customFormat="1" x14ac:dyDescent="0.25">
      <c r="A209" s="26" t="s">
        <v>1435</v>
      </c>
      <c r="B209" s="6" t="s">
        <v>1641</v>
      </c>
      <c r="C209" s="7">
        <v>35</v>
      </c>
      <c r="D209" s="7" t="s">
        <v>528</v>
      </c>
      <c r="E209" s="7" t="str">
        <f>Groups!$A$73</f>
        <v>Butterfly</v>
      </c>
      <c r="F209" s="7" t="str">
        <f t="shared" ref="F209" si="266">"Lay eggs"</f>
        <v>Lay eggs</v>
      </c>
      <c r="G209" s="7" t="s">
        <v>1707</v>
      </c>
      <c r="H209" s="7">
        <v>2</v>
      </c>
      <c r="I209" s="4">
        <v>1</v>
      </c>
      <c r="J209" s="7" t="str">
        <f t="shared" ref="J209" si="267">"Lay eggs"</f>
        <v>Lay eggs</v>
      </c>
      <c r="K209" s="7" t="s">
        <v>528</v>
      </c>
      <c r="L209" s="7">
        <v>26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933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45</v>
      </c>
      <c r="AG209" s="28" t="s">
        <v>1719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ref="AO209:AO210" si="268">(0.111*C209^0.65)*10000</f>
        <v>11193.533609727016</v>
      </c>
      <c r="AP209" s="8">
        <f>IFERROR(C209*_xlfn.XLOOKUP(E209,Groups!A:A,Groups!K:K),0.106*C209^0.94)</f>
        <v>11.200000000000001</v>
      </c>
      <c r="AQ209" s="8">
        <f>AP209*10000/(_xlfn.XLOOKUP(E209,Groups!A:A,Groups!J:J)*AO209)</f>
        <v>8.3381474150600727</v>
      </c>
      <c r="AR209" s="8">
        <f t="shared" ref="AR209:AR210" si="269">EXP(0.8447*LN(C209)+3.996)</f>
        <v>1095.7589503868378</v>
      </c>
      <c r="AS209" s="8">
        <f>IF(_xlfn.XLOOKUP(E209,Groups!A:A,Groups!M:M)=1,EXP(0.7444*LN('Base stats'!C209)+6.5696),EXP(0.7927*LN('Base stats'!C209)+4.28))</f>
        <v>1209.9380129875831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IF(_xlfn.XLOOKUP(E209,Groups!A:A,Groups!N:N)="Theropod",EXP(0.6966*LN(C209)+4.158)*S209,
"No"))))))))))))))))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0.27500000000000002</v>
      </c>
      <c r="AW209" s="8">
        <f>MROUND(40*Animals!AO245*_xlfn.XLOOKUP(Animals!BB245,Leathers!$A$2:$A$99,Leathers!$B$2:$B$99,0)+(140*_xlfn.XLOOKUP(B209,Animals!B:B,Animals!AO:AO)*2),5)</f>
        <v>210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ref="AY209:AY210" si="270">IFERROR(ROUND(SQRT(U209-1),1),0)</f>
        <v>0</v>
      </c>
      <c r="AZ209" s="8">
        <f t="shared" ref="AZ209:AZ210" si="271">IFERROR(ROUND(SQRT(W209),1),0)</f>
        <v>0</v>
      </c>
      <c r="BA209" s="8">
        <f t="shared" ref="BA209:BA210" si="272">ROUND(
  EXP(0.3582*LN(C209)-0.2221) *
  (0.75 + 0.25*(C209^4/(C209^4+10^4))),
1)</f>
        <v>2.9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0.57215457172317086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ref="BD209:BD210" si="273">(0.0392*C209^IF(OR(Y209="Herbivore",Y209="Dendrovore",Y209="OmnivoreRough"),0.889,0.966))*C209^-0.135</f>
        <v>0.57215457172317086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0.66862483223497027</v>
      </c>
      <c r="BF209" s="8">
        <f>(0.048*C209^1.01)/IF(_xlfn.XLOOKUP(E209,Groups!A:A,Groups!M:M)=1,0.25,0.8)*C209^-0.25</f>
        <v>0.89462898368032151</v>
      </c>
      <c r="BG209" s="8">
        <f>EXP(1.076*LN(AR209)-4.5397)*IF(_xlfn.XLOOKUP(E209,Groups!A:A,Groups!BC:BC)=1,1.25,IF(_xlfn.XLOOKUP(E209,Groups!A:A,Groups!BD:BD)=1,3.5,2.5))</f>
        <v>24.892970376789926</v>
      </c>
      <c r="BH209" s="8">
        <f>EXP(1.076*LN(AS209)-4.5397)*IF(_xlfn.XLOOKUP(E209,Groups!A:A,Groups!M:M)=1,0.8,IF(_xlfn.XLOOKUP(E209,Groups!A:A,Groups!BC:BC)=1,1.3,3))</f>
        <v>28.80247519858462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ref="BK209:BK210" si="274">ROUNDDOWN(SQRT((2*BG209)/BD209),0)</f>
        <v>9</v>
      </c>
      <c r="BL209" s="8">
        <f t="shared" ref="BL209:BL210" si="275">ROUNDDOWN(SQRT((2*BH209)/BE209),0)</f>
        <v>9</v>
      </c>
      <c r="BM209" s="8" t="str">
        <f t="shared" ref="BM209:BM210" si="276">IF(W209="No","No",ROUNDDOWN(SQRT((2*BI209)/BC209),0))</f>
        <v>No</v>
      </c>
      <c r="BN209" s="8" t="str">
        <f t="shared" ref="BN209:BN210" si="277">IF(V209="No","No",ROUNDDOWN(SQRT((2*BJ209)/BB209),0))</f>
        <v>No</v>
      </c>
      <c r="BO209" s="8">
        <f t="shared" ref="BO209:BO210" si="278">ROUNDDOWN(SQRT((2*BH209)/BF209),0)</f>
        <v>8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ref="BS209:BS210" si="279">BG209/(AO209*5%)</f>
        <v>4.447741212865667E-2</v>
      </c>
      <c r="BT209" s="8" t="str">
        <f t="shared" ref="BT209:BT210" si="280">IF(BP209="No","No",BH209/BP209)</f>
        <v>No</v>
      </c>
      <c r="BU209" s="8" t="str">
        <f t="shared" ref="BU209:BU210" si="281">IF(W209="No","No",BI209/BQ209)</f>
        <v>No</v>
      </c>
      <c r="BV209" s="8" t="str">
        <f t="shared" ref="BV209:BV210" si="282">IF(BJ209="No","No",BJ209/BR209)</f>
        <v>No</v>
      </c>
      <c r="BW209" s="4">
        <v>0</v>
      </c>
      <c r="BX209" s="4">
        <v>1</v>
      </c>
    </row>
    <row r="210" spans="1:76" s="16" customFormat="1" x14ac:dyDescent="0.25">
      <c r="A210" s="26" t="s">
        <v>1437</v>
      </c>
      <c r="B210" s="6" t="s">
        <v>1642</v>
      </c>
      <c r="C210" s="7">
        <v>0.5</v>
      </c>
      <c r="D210" s="7" t="s">
        <v>528</v>
      </c>
      <c r="E210" s="7" t="str">
        <f>Groups!$A$4</f>
        <v>Beetle (LARVA)</v>
      </c>
      <c r="F210" s="7" t="s">
        <v>1707</v>
      </c>
      <c r="G210" s="7" t="s">
        <v>1707</v>
      </c>
      <c r="H210" s="7">
        <v>1</v>
      </c>
      <c r="I210" s="4">
        <v>1</v>
      </c>
      <c r="J210" s="7" t="s">
        <v>1707</v>
      </c>
      <c r="K210" s="7" t="s">
        <v>528</v>
      </c>
      <c r="L210" s="7">
        <v>16</v>
      </c>
      <c r="M210" s="7" t="s">
        <v>528</v>
      </c>
      <c r="N210" s="4">
        <v>0</v>
      </c>
      <c r="O210" s="4">
        <v>0</v>
      </c>
      <c r="P210" s="4">
        <v>0</v>
      </c>
      <c r="Q210" s="4">
        <v>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Need a formula</v>
      </c>
      <c r="W210" s="7" t="str">
        <f>IF(_xlfn.XLOOKUP(E210,Groups!A:A,Groups!V:V)&lt;&gt;"No","Need a formula","No")</f>
        <v>No</v>
      </c>
      <c r="X210" s="7" t="s">
        <v>933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311</v>
      </c>
      <c r="AG210" s="28" t="s">
        <v>1719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68"/>
        <v>707.38114816219058</v>
      </c>
      <c r="AP210" s="8">
        <f>IFERROR(C210*_xlfn.XLOOKUP(E210,Groups!A:A,Groups!K:K),0.106*C210^0.94)</f>
        <v>0.16</v>
      </c>
      <c r="AQ210" s="8">
        <f>AP210*10000/(_xlfn.XLOOKUP(E210,Groups!A:A,Groups!J:J)*AO210)</f>
        <v>1.8848867216738756</v>
      </c>
      <c r="AR210" s="8">
        <f t="shared" si="269"/>
        <v>30.280337563677854</v>
      </c>
      <c r="AS210" s="8">
        <f>IF(_xlfn.XLOOKUP(E210,Groups!A:A,Groups!M:M)=1,EXP(0.7444*LN('Base stats'!C210)+6.5696),EXP(0.7927*LN('Base stats'!C210)+4.28))</f>
        <v>425.65162873628793</v>
      </c>
      <c r="AT210" s="8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IF(_xlfn.XLOOKUP(E210,Groups!A:A,Groups!N:N)="Theropod",EXP(0.6966*LN(C210)+4.158)*S210,
"No"))))))))))))))))</f>
        <v>425.65162873628793</v>
      </c>
      <c r="AU210" s="8">
        <f>IF(_xlfn.XLOOKUP(E210,Groups!A:A,Groups!U:U)=3,AS210,IF(_xlfn.XLOOKUP(E210,Groups!A:A,Groups!U:U)=2,AR210,AT210))</f>
        <v>425.65162873628793</v>
      </c>
      <c r="AV210" s="46">
        <f>IFERROR(AVERAGE(_xlfn.XLOOKUP(B210,Animals!B:B,Animals!N:N),_xlfn.XLOOKUP(B210,Animals!B:B,Animals!O:O)),0)</f>
        <v>0.1</v>
      </c>
      <c r="AW210" s="8">
        <f>MROUND(40*Animals!AO246*_xlfn.XLOOKUP(Animals!BB246,Leathers!$A$2:$A$99,Leathers!$B$2:$B$99,0)+(140*_xlfn.XLOOKUP(B210,Animals!B:B,Animals!AO:AO)*2),5)</f>
        <v>30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70"/>
        <v>0</v>
      </c>
      <c r="AZ210" s="8">
        <f t="shared" si="271"/>
        <v>0</v>
      </c>
      <c r="BA210" s="8">
        <f t="shared" si="272"/>
        <v>0.5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5.8109810471136447E-2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73"/>
        <v>2.3243924188454577E-2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4.8644755670153153E-2</v>
      </c>
      <c r="BF210" s="8">
        <f>(0.048*C210^1.01)/IF(_xlfn.XLOOKUP(E210,Groups!A:A,Groups!M:M)=1,0.25,0.8)*C210^-0.25</f>
        <v>0.11337529549723492</v>
      </c>
      <c r="BG210" s="8">
        <f>EXP(1.076*LN(AR210)-4.5397)*IF(_xlfn.XLOOKUP(E210,Groups!A:A,Groups!BC:BC)=1,1.25,IF(_xlfn.XLOOKUP(E210,Groups!A:A,Groups!BD:BD)=1,3.5,2.5))</f>
        <v>0.52368758710181385</v>
      </c>
      <c r="BH210" s="8">
        <f>EXP(1.076*LN(AS210)-4.5397)*IF(_xlfn.XLOOKUP(E210,Groups!A:A,Groups!M:M)=1,0.8,IF(_xlfn.XLOOKUP(E210,Groups!A:A,Groups!BC:BC)=1,1.3,3))</f>
        <v>5.7595128796425588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>
        <f>IFERROR(EXP(1.076*LN(AT210)-4.5397)*IF(_xlfn.XLOOKUP(E210,Groups!A:A,Groups!N:N)="Insect",1,IF(OR(_xlfn.XLOOKUP(E210,Groups!A:A,Groups!N:N)="Pig",_xlfn.XLOOKUP(E210,Groups!A:A,Groups!N:N)="StrongBitingHerbivore"),3.5,3.75)),"No")</f>
        <v>7.199391099553198</v>
      </c>
      <c r="BK210" s="8">
        <f t="shared" si="274"/>
        <v>6</v>
      </c>
      <c r="BL210" s="8">
        <f t="shared" si="275"/>
        <v>15</v>
      </c>
      <c r="BM210" s="8" t="str">
        <f t="shared" si="276"/>
        <v>No</v>
      </c>
      <c r="BN210" s="8">
        <f t="shared" si="277"/>
        <v>15</v>
      </c>
      <c r="BO210" s="8">
        <f t="shared" si="278"/>
        <v>10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>
        <f>IF(BJ210="No","No",IF(_xlfn.XLOOKUP(E210,Groups!A:A,Groups!BF:BF)=1,(0.0315*C210+2.1825)*2,(0.7354*C210^0.4078)*2)/IF(_xlfn.XLOOKUP(E210,Groups!A:A,Groups!BM:BM)=1,1000,100))</f>
        <v>1.1086477730522874E-2</v>
      </c>
      <c r="BS210" s="8">
        <f t="shared" si="279"/>
        <v>1.4806376688504598E-2</v>
      </c>
      <c r="BT210" s="8" t="str">
        <f t="shared" si="280"/>
        <v>No</v>
      </c>
      <c r="BU210" s="8" t="str">
        <f t="shared" si="281"/>
        <v>No</v>
      </c>
      <c r="BV210" s="8">
        <f t="shared" si="282"/>
        <v>649.38488801832023</v>
      </c>
      <c r="BW210" s="4">
        <v>0</v>
      </c>
      <c r="BX210" s="4">
        <v>1</v>
      </c>
    </row>
    <row r="211" spans="1:76" s="16" customFormat="1" x14ac:dyDescent="0.25">
      <c r="A211" s="26" t="s">
        <v>1511</v>
      </c>
      <c r="B211" s="6" t="s">
        <v>1669</v>
      </c>
      <c r="C211" s="7">
        <v>55</v>
      </c>
      <c r="D211" s="7" t="s">
        <v>528</v>
      </c>
      <c r="E211" s="7" t="str">
        <f>Groups!$A$74</f>
        <v>ArmoredWorm</v>
      </c>
      <c r="F211" s="7">
        <f>ROUND(7.545*(C211*1000)^0.2689,0)</f>
        <v>142</v>
      </c>
      <c r="G211" s="7">
        <v>2</v>
      </c>
      <c r="H211" s="7">
        <v>15</v>
      </c>
      <c r="I211" s="4">
        <v>0</v>
      </c>
      <c r="J211" s="7">
        <v>1</v>
      </c>
      <c r="K211" s="7" t="s">
        <v>528</v>
      </c>
      <c r="L211" s="7">
        <v>22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 t="s">
        <v>45</v>
      </c>
      <c r="V211" s="7">
        <v>6</v>
      </c>
      <c r="W211" s="7" t="s">
        <v>45</v>
      </c>
      <c r="X211" s="7" t="s">
        <v>933</v>
      </c>
      <c r="Y211" s="4" t="s">
        <v>53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1051</v>
      </c>
      <c r="AF211" s="4" t="s">
        <v>45</v>
      </c>
      <c r="AG211" s="28" t="s">
        <v>1812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>(0.111*C211^0.65)*10000</f>
        <v>15016.154461994613</v>
      </c>
      <c r="AP211" s="8">
        <f>IFERROR(C211*_xlfn.XLOOKUP(E211,Groups!A:A,Groups!K:K),0.106*C211^0.94)</f>
        <v>17.600000000000001</v>
      </c>
      <c r="AQ211" s="8">
        <f>AP211*10000/(_xlfn.XLOOKUP(E211,Groups!A:A,Groups!J:J)*AO211)</f>
        <v>13.169337694898505</v>
      </c>
      <c r="AR211" s="8">
        <f>EXP(0.8447*LN(C211)+3.996)</f>
        <v>1605.1850768028401</v>
      </c>
      <c r="AS211" s="8">
        <f>IF(_xlfn.XLOOKUP(E211,Groups!A:A,Groups!M:M)=1,EXP(0.7444*LN('Base stats'!C211)+6.5696),EXP(0.7927*LN('Base stats'!C211)+4.28))</f>
        <v>1731.2743173050442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IF(_xlfn.XLOOKUP(E211,Groups!A:A,Groups!N:N)="Theropod",EXP(0.6966*LN(C211)+4.158)*S211,
"No"))))))))))))))))</f>
        <v>14082.086717335285</v>
      </c>
      <c r="AU211" s="8">
        <f>IF(_xlfn.XLOOKUP(E211,Groups!A:A,Groups!U:U)=3,AS211,IF(_xlfn.XLOOKUP(E211,Groups!A:A,Groups!U:U)=2,AR211,AT211))</f>
        <v>14082.086717335285</v>
      </c>
      <c r="AV211" s="46">
        <f>IFERROR(AVERAGE(_xlfn.XLOOKUP(B211,Animals!B:B,Animals!N:N),_xlfn.XLOOKUP(B211,Animals!B:B,Animals!O:O)),0)</f>
        <v>0</v>
      </c>
      <c r="AW211" s="8">
        <f>MROUND(40*Animals!AO280*_xlfn.XLOOKUP(Animals!BB280,Leathers!$A$2:$A$99,Leathers!$B$2:$B$99,0)+(140*_xlfn.XLOOKUP(B211,Animals!B:B,Animals!AO:AO)*2),5)</f>
        <v>590</v>
      </c>
      <c r="AX211" s="8">
        <f>IFERROR(ROUND(SQRT(V211-1)*IF(_xlfn.XLOOKUP(E211,Groups!A:A,Groups!BF:BF)=0,2,1)*IF(_xlfn.XLOOKUP('Base stats'!E211,Groups!A:A,Groups!O:O)=0,1,0.1),1),0)</f>
        <v>4.5</v>
      </c>
      <c r="AY211" s="8">
        <f>IFERROR(ROUND(SQRT(U211-1),1),0)</f>
        <v>0</v>
      </c>
      <c r="AZ211" s="8">
        <f>IFERROR(ROUND(SQRT(W211),1),0)</f>
        <v>0</v>
      </c>
      <c r="BA211" s="8">
        <f>ROUND(
  EXP(0.3582*LN(C211)-0.2221) *
  (0.75 + 0.25*(C211^4/(C211^4+10^4))),
1)</f>
        <v>3.4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2.7382145300205654</v>
      </c>
      <c r="BC211" s="8" t="str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No</v>
      </c>
      <c r="BD211" s="8">
        <f>(0.0392*C211^IF(OR(Y211="Herbivore",Y211="Dendrovore",Y211="OmnivoreRough"),0.889,0.966))*C211^-0.135</f>
        <v>1.0952858120082261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0.95124486448581658</v>
      </c>
      <c r="BF211" s="8">
        <f>(0.048*C211^1.01)/IF(_xlfn.XLOOKUP(E211,Groups!A:A,Groups!M:M)=1,0.25,0.8)*C211^-0.25</f>
        <v>1.2613246825021767</v>
      </c>
      <c r="BG211" s="8">
        <f>EXP(1.076*LN(AR211)-4.5397)*IF(_xlfn.XLOOKUP(E211,Groups!A:A,Groups!BC:BC)=1,1.25,IF(_xlfn.XLOOKUP(E211,Groups!A:A,Groups!BD:BD)=1,3.5,2.5))</f>
        <v>37.539490648749812</v>
      </c>
      <c r="BH211" s="8">
        <f>EXP(1.076*LN(AS211)-4.5397)*IF(_xlfn.XLOOKUP(E211,Groups!A:A,Groups!M:M)=1,0.8,IF(_xlfn.XLOOKUP(E211,Groups!A:A,Groups!BC:BC)=1,1.3,3))</f>
        <v>42.350484847350685</v>
      </c>
      <c r="BI211" s="8" t="str">
        <f>IF(W211="No","No",IF(_xlfn.XLOOKUP(E211,Groups!A:A,Groups!U:U)=1,'Base stats'!BJ211,IF(OR(_xlfn.XLOOKUP(E211,Groups!A:A,Groups!BD:BD)=1,_xlfn.XLOOKUP(E211,Groups!A:A,Groups!U:U)=2),BG211,BH211))*1.2)</f>
        <v>No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310.74134985059737</v>
      </c>
      <c r="BK211" s="8">
        <f t="shared" ref="BK211:BL214" si="283">ROUNDDOWN(SQRT((2*BG211)/BD211),0)</f>
        <v>8</v>
      </c>
      <c r="BL211" s="8">
        <f t="shared" si="283"/>
        <v>9</v>
      </c>
      <c r="BM211" s="8" t="str">
        <f>IF(W211="No","No",ROUNDDOWN(SQRT((2*BI211)/BC211),0))</f>
        <v>No</v>
      </c>
      <c r="BN211" s="8">
        <f>IF(V211="No","No",ROUNDDOWN(SQRT((2*BJ211)/BB211),0))</f>
        <v>15</v>
      </c>
      <c r="BO211" s="8">
        <f>ROUNDDOWN(SQRT((2*BH211)/BF211),0)</f>
        <v>8</v>
      </c>
      <c r="BP211" s="8" t="str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No</v>
      </c>
      <c r="BQ211" s="8" t="str">
        <f>IF(W211="No","No",IF(_xlfn.XLOOKUP(E211,Groups!A:A,Groups!BD:BD)=1,(AO211*5%),EXP(0.7354*LN(C211)^0.4078)*2/IF(_xlfn.XLOOKUP(E211,Groups!A:A,Groups!BL:BL)=1,1000,100)))</f>
        <v>No</v>
      </c>
      <c r="BR211" s="8">
        <f>IF(BJ211="No","No",IF(_xlfn.XLOOKUP(E211,Groups!A:A,Groups!BF:BF)=1,(0.0315*C211+2.1825)*2,(0.7354*C211^0.4078)*2)/IF(_xlfn.XLOOKUP(E211,Groups!A:A,Groups!BM:BM)=1,1000,100))</f>
        <v>7.5383018919233477E-2</v>
      </c>
      <c r="BS211" s="8">
        <f>BG211/(AO211*5%)</f>
        <v>4.9998807276205121E-2</v>
      </c>
      <c r="BT211" s="8" t="str">
        <f>IF(BP211="No","No",BH211/BP211)</f>
        <v>No</v>
      </c>
      <c r="BU211" s="8" t="str">
        <f>IF(W211="No","No",BI211/BQ211)</f>
        <v>No</v>
      </c>
      <c r="BV211" s="8">
        <f>IF(BJ211="No","No",BJ211/BR211)</f>
        <v>4122.1664282712054</v>
      </c>
      <c r="BW211" s="4">
        <v>0</v>
      </c>
      <c r="BX211" s="4">
        <v>1</v>
      </c>
    </row>
    <row r="212" spans="1:76" s="16" customFormat="1" x14ac:dyDescent="0.25">
      <c r="A212" s="26" t="s">
        <v>1385</v>
      </c>
      <c r="B212" s="6" t="s">
        <v>1623</v>
      </c>
      <c r="C212" s="7">
        <v>70</v>
      </c>
      <c r="D212" s="7" t="s">
        <v>528</v>
      </c>
      <c r="E212" s="7" t="str">
        <f>Groups!$A$79</f>
        <v>MantisSnake (VAMPIRE)</v>
      </c>
      <c r="F212" s="7">
        <v>100</v>
      </c>
      <c r="G212" s="7">
        <v>3</v>
      </c>
      <c r="H212" s="7">
        <v>15</v>
      </c>
      <c r="I212" s="4">
        <v>1</v>
      </c>
      <c r="J212" s="7">
        <v>4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 t="s">
        <v>40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>
        <v>12</v>
      </c>
      <c r="V212" s="7">
        <v>3</v>
      </c>
      <c r="W212" s="7" t="str">
        <f>IF(_xlfn.XLOOKUP(E212,Groups!A:A,Groups!V:V)&lt;&gt;"No","Need a formula","No")</f>
        <v>No</v>
      </c>
      <c r="X212" s="7" t="s">
        <v>933</v>
      </c>
      <c r="Y212" s="4" t="s">
        <v>56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1780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>(0.111*C212^0.65)*10000</f>
        <v>17564.536938929268</v>
      </c>
      <c r="AP212" s="8">
        <f>IFERROR(C212*_xlfn.XLOOKUP(E212,Groups!A:A,Groups!K:K),0.106*C212^0.94)</f>
        <v>22.400000000000002</v>
      </c>
      <c r="AQ212" s="8">
        <f>AP212*10000/(_xlfn.XLOOKUP(E212,Groups!A:A,Groups!J:J)*AO212)</f>
        <v>14.329178966318352</v>
      </c>
      <c r="AR212" s="8">
        <f>EXP(0.8447*LN(C212)+3.996)</f>
        <v>1967.863924091341</v>
      </c>
      <c r="AS212" s="8">
        <f>IF(_xlfn.XLOOKUP(E212,Groups!A:A,Groups!M:M)=1,EXP(0.7444*LN('Base stats'!C212)+6.5696),EXP(0.7927*LN('Base stats'!C212)+4.28))</f>
        <v>16851.245638497156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IF(_xlfn.XLOOKUP(E212,Groups!A:A,Groups!N:N)="Theropod",EXP(0.6966*LN(C212)+4.158)*S212,
"No"))))))))))))))))</f>
        <v>16851.245638497156</v>
      </c>
      <c r="AU212" s="8">
        <f>IF(_xlfn.XLOOKUP(E212,Groups!A:A,Groups!U:U)=3,AS212,IF(_xlfn.XLOOKUP(E212,Groups!A:A,Groups!U:U)=2,AR212,AT212))</f>
        <v>16851.245638497156</v>
      </c>
      <c r="AV212" s="46">
        <f>IFERROR(AVERAGE(_xlfn.XLOOKUP(B212,Animals!B:B,Animals!N:N),_xlfn.XLOOKUP(B212,Animals!B:B,Animals!O:O)),0)</f>
        <v>0.8</v>
      </c>
      <c r="AW212" s="8">
        <f>MROUND(40*Animals!AO220*_xlfn.XLOOKUP(Animals!BB220,Leathers!$A$2:$A$99,Leathers!$B$2:$B$99,0)+(140*_xlfn.XLOOKUP(B212,Animals!B:B,Animals!AO:AO)*2),5)</f>
        <v>1425</v>
      </c>
      <c r="AX212" s="8">
        <f>IFERROR(ROUND(SQRT(V212-1)*IF(_xlfn.XLOOKUP(E212,Groups!A:A,Groups!BF:BF)=0,2,1)*IF(_xlfn.XLOOKUP('Base stats'!E212,Groups!A:A,Groups!O:O)=0,1,0.1),1),0)</f>
        <v>2.8</v>
      </c>
      <c r="AY212" s="8">
        <f>IFERROR(ROUND(SQRT(U212-1),1),0)</f>
        <v>3.3</v>
      </c>
      <c r="AZ212" s="8">
        <f>IFERROR(ROUND(SQRT(W212),1),0)</f>
        <v>0</v>
      </c>
      <c r="BA212" s="8">
        <f>ROUND(
  EXP(0.3582*LN(C212)-0.2221) *
  (0.75 + 0.25*(C212^4/(C212^4+10^4))),
1)</f>
        <v>3.7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3.345819800223309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>(0.0392*C212^IF(OR(Y212="Herbivore",Y212="Dendrovore",Y212="OmnivoreRough"),0.889,0.966))*C212^-0.135</f>
        <v>1.3383279200893237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2.2962326836037485</v>
      </c>
      <c r="BF212" s="8">
        <f>(0.048*C212^1.01)/IF(_xlfn.XLOOKUP(E212,Groups!A:A,Groups!M:M)=1,0.25,0.8)*C212^-0.25</f>
        <v>4.8481465487037703</v>
      </c>
      <c r="BG212" s="8">
        <f>EXP(1.076*LN(AR212)-4.5397)*IF(_xlfn.XLOOKUP(E212,Groups!A:A,Groups!BC:BC)=1,1.25,IF(_xlfn.XLOOKUP(E212,Groups!A:A,Groups!BD:BD)=1,3.5,2.5))</f>
        <v>46.739282636034801</v>
      </c>
      <c r="BH212" s="8">
        <f>EXP(1.076*LN(AS212)-4.5397)*IF(_xlfn.XLOOKUP(E212,Groups!A:A,Groups!M:M)=1,0.8,IF(_xlfn.XLOOKUP(E212,Groups!A:A,Groups!BC:BC)=1,1.3,3))</f>
        <v>301.56391268967485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376.95489086209358</v>
      </c>
      <c r="BK212" s="8">
        <f t="shared" si="283"/>
        <v>8</v>
      </c>
      <c r="BL212" s="8">
        <f t="shared" si="283"/>
        <v>16</v>
      </c>
      <c r="BM212" s="8" t="str">
        <f>IF(W212="No","No",ROUNDDOWN(SQRT((2*BI212)/BC212),0))</f>
        <v>No</v>
      </c>
      <c r="BN212" s="8">
        <f>IF(V212="No","No",ROUNDDOWN(SQRT((2*BJ212)/BB212),0))</f>
        <v>15</v>
      </c>
      <c r="BO212" s="8">
        <f>ROUNDDOWN(SQRT((2*BH212)/BF212),0)</f>
        <v>11</v>
      </c>
      <c r="BP212" s="8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8.3173428110674564E-3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8.3173428110674564E-3</v>
      </c>
      <c r="BS212" s="8">
        <f>BG212/(AO212*5%)</f>
        <v>5.3220056752471406E-2</v>
      </c>
      <c r="BT212" s="8">
        <f>IF(BP212="No","No",BH212/BP212)</f>
        <v>36257.242191388264</v>
      </c>
      <c r="BU212" s="8" t="str">
        <f>IF(W212="No","No",BI212/BQ212)</f>
        <v>No</v>
      </c>
      <c r="BV212" s="8">
        <f>IF(BJ212="No","No",BJ212/BR212)</f>
        <v>45321.552739235332</v>
      </c>
      <c r="BW212" s="4">
        <v>0</v>
      </c>
      <c r="BX212" s="4">
        <v>1</v>
      </c>
    </row>
    <row r="213" spans="1:76" s="16" customFormat="1" x14ac:dyDescent="0.25">
      <c r="A213" s="26" t="s">
        <v>1549</v>
      </c>
      <c r="B213" s="6" t="s">
        <v>1683</v>
      </c>
      <c r="C213" s="7">
        <v>450</v>
      </c>
      <c r="D213" s="7" t="s">
        <v>528</v>
      </c>
      <c r="E213" s="7" t="str">
        <f>Groups!$A$78</f>
        <v>MantisSnake</v>
      </c>
      <c r="F213" s="7">
        <v>150</v>
      </c>
      <c r="G213" s="7">
        <v>4</v>
      </c>
      <c r="H213" s="7">
        <v>20</v>
      </c>
      <c r="I213" s="4">
        <v>1</v>
      </c>
      <c r="J213" s="7">
        <v>3</v>
      </c>
      <c r="K213" s="7" t="s">
        <v>528</v>
      </c>
      <c r="L213" s="7">
        <v>24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48</v>
      </c>
      <c r="V213" s="7">
        <v>8</v>
      </c>
      <c r="W213" s="7" t="str">
        <f>IF(_xlfn.XLOOKUP(E213,Groups!A:A,Groups!V:V)&lt;&gt;"No","Need a formula","No")</f>
        <v>No</v>
      </c>
      <c r="X213" s="7" t="s">
        <v>933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1780</v>
      </c>
      <c r="AH213" s="4" t="str">
        <f>Animals!$C$105</f>
        <v>&lt;li&gt;Megaspider&lt;/li&gt;</v>
      </c>
      <c r="AI213" s="4">
        <v>0</v>
      </c>
      <c r="AJ213" s="4">
        <v>0</v>
      </c>
      <c r="AK213" s="4">
        <v>0</v>
      </c>
      <c r="AL213" s="4">
        <v>0</v>
      </c>
      <c r="AM213" s="4">
        <v>1</v>
      </c>
      <c r="AN213" s="44" t="s">
        <v>40</v>
      </c>
      <c r="AO213" s="8">
        <f>(0.111*C213^0.65)*10000</f>
        <v>58872.314877544653</v>
      </c>
      <c r="AP213" s="8">
        <f>IFERROR(C213*_xlfn.XLOOKUP(E213,Groups!A:A,Groups!K:K),0.106*C213^0.94)</f>
        <v>144</v>
      </c>
      <c r="AQ213" s="8">
        <f>AP213*10000/(_xlfn.XLOOKUP(E213,Groups!A:A,Groups!J:J)*AO213)</f>
        <v>27.482825016398735</v>
      </c>
      <c r="AR213" s="8">
        <f>EXP(0.8447*LN(C213)+3.996)</f>
        <v>9475.6576182389981</v>
      </c>
      <c r="AS213" s="8">
        <f>IF(_xlfn.XLOOKUP(E213,Groups!A:A,Groups!M:M)=1,EXP(0.7444*LN('Base stats'!C213)+6.5696),EXP(0.7927*LN('Base stats'!C213)+4.28))</f>
        <v>67327.489921803863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IF(_xlfn.XLOOKUP(E213,Groups!A:A,Groups!N:N)="Theropod",EXP(0.6966*LN(C213)+4.158)*S213,
"No"))))))))))))))))</f>
        <v>67327.489921803863</v>
      </c>
      <c r="AU213" s="8">
        <f>IF(_xlfn.XLOOKUP(E213,Groups!A:A,Groups!U:U)=3,AS213,IF(_xlfn.XLOOKUP(E213,Groups!A:A,Groups!U:U)=2,AR213,AT213))</f>
        <v>67327.489921803863</v>
      </c>
      <c r="AV213" s="46">
        <f>IFERROR(AVERAGE(_xlfn.XLOOKUP(B213,Animals!B:B,Animals!N:N),_xlfn.XLOOKUP(B213,Animals!B:B,Animals!O:O)),0)</f>
        <v>0.85000000000000009</v>
      </c>
      <c r="AW213" s="8">
        <f>MROUND(40*Animals!AO299*_xlfn.XLOOKUP(Animals!BB299,Leathers!$A$2:$A$99,Leathers!$B$2:$B$99,0)+(140*_xlfn.XLOOKUP(B213,Animals!B:B,Animals!AO:AO)*2),5)</f>
        <v>770</v>
      </c>
      <c r="AX213" s="8">
        <f>IFERROR(ROUND(SQRT(V213-1)*IF(_xlfn.XLOOKUP(E213,Groups!A:A,Groups!BF:BF)=0,2,1)*IF(_xlfn.XLOOKUP('Base stats'!E213,Groups!A:A,Groups!O:O)=0,1,0.1),1),0)</f>
        <v>5.3</v>
      </c>
      <c r="AY213" s="8">
        <f>IFERROR(ROUND(SQRT(U213-1),1),0)</f>
        <v>6.9</v>
      </c>
      <c r="AZ213" s="8">
        <f>IFERROR(ROUND(SQRT(W213),1),0)</f>
        <v>0</v>
      </c>
      <c r="BA213" s="8">
        <f>ROUND(
  EXP(0.3582*LN(C213)-0.2221) *
  (0.75 + 0.25*(C213^4/(C213^4+10^4))),
1)</f>
        <v>7.1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15.705279676737799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>(0.0392*C213^IF(OR(Y213="Herbivore",Y213="Dendrovore",Y213="OmnivoreRough"),0.889,0.966))*C213^-0.135</f>
        <v>6.28211187069512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9.8026880816739972</v>
      </c>
      <c r="BF213" s="8">
        <f>(0.048*C213^1.01)/IF(_xlfn.XLOOKUP(E213,Groups!A:A,Groups!M:M)=1,0.25,0.8)*C213^-0.25</f>
        <v>19.940807415119203</v>
      </c>
      <c r="BG213" s="8">
        <f>EXP(1.076*LN(AR213)-4.5397)*IF(_xlfn.XLOOKUP(E213,Groups!A:A,Groups!BC:BC)=1,1.25,IF(_xlfn.XLOOKUP(E213,Groups!A:A,Groups!BD:BD)=1,3.5,2.5))</f>
        <v>253.61505181777144</v>
      </c>
      <c r="BH213" s="8">
        <f>EXP(1.076*LN(AS213)-4.5397)*IF(_xlfn.XLOOKUP(E213,Groups!A:A,Groups!M:M)=1,0.8,IF(_xlfn.XLOOKUP(E213,Groups!A:A,Groups!BC:BC)=1,1.3,3))</f>
        <v>1338.6232852504363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1673.2791065630452</v>
      </c>
      <c r="BK213" s="8">
        <f t="shared" si="283"/>
        <v>8</v>
      </c>
      <c r="BL213" s="8">
        <f t="shared" si="283"/>
        <v>16</v>
      </c>
      <c r="BM213" s="8" t="str">
        <f>IF(W213="No","No",ROUNDDOWN(SQRT((2*BI213)/BC213),0))</f>
        <v>No</v>
      </c>
      <c r="BN213" s="8">
        <f>IF(V213="No","No",ROUNDDOWN(SQRT((2*BJ213)/BB213),0))</f>
        <v>14</v>
      </c>
      <c r="BO213" s="8">
        <f>ROUNDDOWN(SQRT((2*BH213)/BF213),0)</f>
        <v>11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1.7763710400601547E-2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1.7763710400601547E-2</v>
      </c>
      <c r="BS213" s="8">
        <f>BG213/(AO213*5%)</f>
        <v>8.6157662509209892E-2</v>
      </c>
      <c r="BT213" s="8">
        <f>IF(BP213="No","No",BH213/BP213)</f>
        <v>75357.189183015813</v>
      </c>
      <c r="BU213" s="8" t="str">
        <f>IF(W213="No","No",BI213/BQ213)</f>
        <v>No</v>
      </c>
      <c r="BV213" s="8">
        <f>IF(BJ213="No","No",BJ213/BR213)</f>
        <v>94196.486478769744</v>
      </c>
      <c r="BW213" s="4">
        <v>0</v>
      </c>
      <c r="BX213" s="4">
        <v>1</v>
      </c>
    </row>
    <row r="214" spans="1:76" s="16" customFormat="1" x14ac:dyDescent="0.25">
      <c r="A214" s="26" t="s">
        <v>1513</v>
      </c>
      <c r="B214" s="6" t="s">
        <v>1670</v>
      </c>
      <c r="C214" s="7">
        <v>45</v>
      </c>
      <c r="D214" s="7" t="s">
        <v>528</v>
      </c>
      <c r="E214" s="7" t="str">
        <f>Groups!$A$2</f>
        <v>Beetle</v>
      </c>
      <c r="F214" s="7">
        <f>ROUND(7.545*(C214*1000)^0.2689,0)</f>
        <v>135</v>
      </c>
      <c r="G214" s="7">
        <v>2</v>
      </c>
      <c r="H214" s="7">
        <v>10</v>
      </c>
      <c r="I214" s="4">
        <v>0</v>
      </c>
      <c r="J214" s="7">
        <v>1</v>
      </c>
      <c r="K214" s="7" t="s">
        <v>528</v>
      </c>
      <c r="L214" s="7">
        <v>24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>
        <v>1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">
        <v>45</v>
      </c>
      <c r="V214" s="7">
        <v>3</v>
      </c>
      <c r="W214" s="7" t="s">
        <v>45</v>
      </c>
      <c r="X214" s="7" t="s">
        <v>933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45</v>
      </c>
      <c r="AG214" s="28" t="s">
        <v>1719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>(0.111*C214^0.65)*10000</f>
        <v>13179.869579281049</v>
      </c>
      <c r="AP214" s="8">
        <f>IFERROR(C214*_xlfn.XLOOKUP(E214,Groups!A:A,Groups!K:K),0.106*C214^0.94)</f>
        <v>14.4</v>
      </c>
      <c r="AQ214" s="8">
        <f>AP214*10000/(_xlfn.XLOOKUP(E214,Groups!A:A,Groups!J:J)*AO214)</f>
        <v>9.1047941922461657</v>
      </c>
      <c r="AR214" s="8">
        <f>EXP(0.8447*LN(C214)+3.996)</f>
        <v>1354.9066055012743</v>
      </c>
      <c r="AS214" s="8">
        <f>IF(_xlfn.XLOOKUP(E214,Groups!A:A,Groups!M:M)=1,EXP(0.7444*LN('Base stats'!C214)+6.5696),EXP(0.7927*LN('Base stats'!C214)+4.28))</f>
        <v>12128.090347907375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IF(_xlfn.XLOOKUP(E214,Groups!A:A,Groups!N:N)="Theropod",EXP(0.6966*LN(C214)+4.158)*S214,
"No"))))))))))))))))</f>
        <v>12128.090347907375</v>
      </c>
      <c r="AU214" s="8">
        <f>IF(_xlfn.XLOOKUP(E214,Groups!A:A,Groups!U:U)=3,AS214,IF(_xlfn.XLOOKUP(E214,Groups!A:A,Groups!U:U)=2,AR214,AT214))</f>
        <v>12128.090347907375</v>
      </c>
      <c r="AV214" s="46">
        <f>IFERROR(AVERAGE(_xlfn.XLOOKUP(B214,Animals!B:B,Animals!N:N),_xlfn.XLOOKUP(B214,Animals!B:B,Animals!O:O)),0)</f>
        <v>0.3</v>
      </c>
      <c r="AW214" s="8">
        <f>MROUND(40*Animals!AO281*_xlfn.XLOOKUP(Animals!BB281,Leathers!$A$2:$A$99,Leathers!$B$2:$B$99,0)+(140*_xlfn.XLOOKUP(B214,Animals!B:B,Animals!AO:AO)*2),5)</f>
        <v>375</v>
      </c>
      <c r="AX214" s="8">
        <f>IFERROR(ROUND(SQRT(V214-1)*IF(_xlfn.XLOOKUP(E214,Groups!A:A,Groups!BF:BF)=0,2,1)*IF(_xlfn.XLOOKUP('Base stats'!E214,Groups!A:A,Groups!O:O)=0,1,0.1),1),0)</f>
        <v>2.8</v>
      </c>
      <c r="AY214" s="8">
        <f>IFERROR(ROUND(SQRT(U214-1),1),0)</f>
        <v>0</v>
      </c>
      <c r="AZ214" s="8">
        <f>IFERROR(ROUND(SQRT(W214),1),0)</f>
        <v>0</v>
      </c>
      <c r="BA214" s="8">
        <f>ROUND(
  EXP(0.3582*LN(C214)-0.2221) *
  (0.75 + 0.25*(C214^4/(C214^4+10^4))),
1)</f>
        <v>3.1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1.7288141602520344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>(0.0392*C214^IF(OR(Y214="Herbivore",Y214="Dendrovore",Y214="OmnivoreRough"),0.889,0.966))*C214^-0.135</f>
        <v>0.69152566410081373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1.6268412798040379</v>
      </c>
      <c r="BF214" s="8">
        <f>(0.048*C214^1.01)/IF(_xlfn.XLOOKUP(E214,Groups!A:A,Groups!M:M)=1,0.25,0.8)*C214^-0.25</f>
        <v>3.4653151651925835</v>
      </c>
      <c r="BG214" s="8">
        <f>EXP(1.076*LN(AR214)-4.5397)*IF(_xlfn.XLOOKUP(E214,Groups!A:A,Groups!BC:BC)=1,1.25,IF(_xlfn.XLOOKUP(E214,Groups!A:A,Groups!BD:BD)=1,3.5,2.5))</f>
        <v>31.280798086048279</v>
      </c>
      <c r="BH214" s="8">
        <f>EXP(1.076*LN(AS214)-4.5397)*IF(_xlfn.XLOOKUP(E214,Groups!A:A,Groups!M:M)=1,0.8,IF(_xlfn.XLOOKUP(E214,Groups!A:A,Groups!BC:BC)=1,1.3,3))</f>
        <v>211.68202199086832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264.60252748858539</v>
      </c>
      <c r="BK214" s="8">
        <f t="shared" si="283"/>
        <v>9</v>
      </c>
      <c r="BL214" s="8">
        <f t="shared" si="283"/>
        <v>16</v>
      </c>
      <c r="BM214" s="8" t="str">
        <f>IF(W214="No","No",ROUNDDOWN(SQRT((2*BI214)/BC214),0))</f>
        <v>No</v>
      </c>
      <c r="BN214" s="8">
        <f>IF(V214="No","No",ROUNDDOWN(SQRT((2*BJ214)/BB214),0))</f>
        <v>17</v>
      </c>
      <c r="BO214" s="8">
        <f>ROUNDDOWN(SQRT((2*BH214)/BF214),0)</f>
        <v>11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6.9459824922917246E-2</v>
      </c>
      <c r="BS214" s="8">
        <f>BG214/(AO214*5%)</f>
        <v>4.7467538123779553E-2</v>
      </c>
      <c r="BT214" s="8" t="str">
        <f>IF(BP214="No","No",BH214/BP214)</f>
        <v>No</v>
      </c>
      <c r="BU214" s="8" t="str">
        <f>IF(W214="No","No",BI214/BQ214)</f>
        <v>No</v>
      </c>
      <c r="BV214" s="8">
        <f>IF(BJ214="No","No",BJ214/BR214)</f>
        <v>3809.4326869125707</v>
      </c>
      <c r="BW214" s="4">
        <v>0</v>
      </c>
      <c r="BX214" s="4">
        <v>1</v>
      </c>
    </row>
    <row r="215" spans="1:76" s="16" customFormat="1" x14ac:dyDescent="0.25">
      <c r="A215" s="26" t="s">
        <v>1467</v>
      </c>
      <c r="B215" s="6" t="s">
        <v>1653</v>
      </c>
      <c r="C215" s="7">
        <v>20</v>
      </c>
      <c r="D215" s="7" t="s">
        <v>528</v>
      </c>
      <c r="E215" s="7" t="str">
        <f>Groups!$A$5</f>
        <v>Beetle (CLAWS)</v>
      </c>
      <c r="F215" s="7" t="str">
        <f t="shared" ref="F215" si="284">"Lay eggs"</f>
        <v>Lay eggs</v>
      </c>
      <c r="G215" s="7">
        <v>2</v>
      </c>
      <c r="H215" s="7">
        <v>10</v>
      </c>
      <c r="I215" s="4">
        <v>0</v>
      </c>
      <c r="J215" s="7" t="str">
        <f t="shared" ref="J215" si="285">"Lay eggs"</f>
        <v>Lay eggs</v>
      </c>
      <c r="K215" s="7" t="s">
        <v>528</v>
      </c>
      <c r="L215" s="7">
        <v>24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1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>
        <v>4</v>
      </c>
      <c r="V215" s="7">
        <v>3</v>
      </c>
      <c r="W215" s="7" t="s">
        <v>45</v>
      </c>
      <c r="X215" s="7" t="s">
        <v>933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45</v>
      </c>
      <c r="AF215" s="4" t="s">
        <v>45</v>
      </c>
      <c r="AG215" s="28" t="s">
        <v>1719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ref="AO215" si="286">(0.111*C215^0.65)*10000</f>
        <v>7780.2307188855666</v>
      </c>
      <c r="AP215" s="8">
        <f>IFERROR(C215*_xlfn.XLOOKUP(E215,Groups!A:A,Groups!K:K),0.106*C215^0.94)</f>
        <v>6.4</v>
      </c>
      <c r="AQ215" s="8">
        <f>AP215*10000/(_xlfn.XLOOKUP(E215,Groups!A:A,Groups!J:J)*AO215)</f>
        <v>6.8549809459857185</v>
      </c>
      <c r="AR215" s="8">
        <f t="shared" ref="AR215" si="287">EXP(0.8447*LN(C215)+3.996)</f>
        <v>683.0001310678939</v>
      </c>
      <c r="AS215" s="8">
        <f>IF(_xlfn.XLOOKUP(E215,Groups!A:A,Groups!M:M)=1,EXP(0.7444*LN('Base stats'!C215)+6.5696),EXP(0.7927*LN('Base stats'!C215)+4.28))</f>
        <v>6631.7440602643219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IF(_xlfn.XLOOKUP(E215,Groups!A:A,Groups!N:N)="Theropod",EXP(0.6966*LN(C215)+4.158)*S215,
"No"))))))))))))))))</f>
        <v>6631.7440602643219</v>
      </c>
      <c r="AU215" s="8">
        <f>IF(_xlfn.XLOOKUP(E215,Groups!A:A,Groups!U:U)=3,AS215,IF(_xlfn.XLOOKUP(E215,Groups!A:A,Groups!U:U)=2,AR215,AT215))</f>
        <v>6631.7440602643219</v>
      </c>
      <c r="AV215" s="46">
        <f>IFERROR(AVERAGE(_xlfn.XLOOKUP(B215,Animals!B:B,Animals!N:N),_xlfn.XLOOKUP(B215,Animals!B:B,Animals!O:O)),0)</f>
        <v>0.25</v>
      </c>
      <c r="AW215" s="8">
        <f>MROUND(40*Animals!AO260*_xlfn.XLOOKUP(Animals!BB260,Leathers!$A$2:$A$99,Leathers!$B$2:$B$99,0)+(140*_xlfn.XLOOKUP(B215,Animals!B:B,Animals!AO:AO)*2),5)</f>
        <v>160</v>
      </c>
      <c r="AX215" s="8">
        <f>IFERROR(ROUND(SQRT(V215-1)*IF(_xlfn.XLOOKUP(E215,Groups!A:A,Groups!BF:BF)=0,2,1)*IF(_xlfn.XLOOKUP('Base stats'!E215,Groups!A:A,Groups!O:O)=0,1,0.1),1),0)</f>
        <v>2.8</v>
      </c>
      <c r="AY215" s="8">
        <f t="shared" ref="AY215" si="288">IFERROR(ROUND(SQRT(U215-1),1),0)</f>
        <v>1.7</v>
      </c>
      <c r="AZ215" s="8">
        <f t="shared" ref="AZ215" si="289">IFERROR(ROUND(SQRT(W215),1),0)</f>
        <v>0</v>
      </c>
      <c r="BA215" s="8">
        <f t="shared" ref="BA215" si="290">ROUND(
  EXP(0.3582*LN(C215)-0.2221) *
  (0.75 + 0.25*(C215^4/(C215^4+10^4))),
1)</f>
        <v>2.2999999999999998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1.1813592933442334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ref="BD215" si="291">(0.0392*C215^IF(OR(Y215="Herbivore",Y215="Dendrovore",Y215="OmnivoreRough"),0.889,0.966))*C215^-0.135</f>
        <v>0.4725437173376934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0.8642568285608353</v>
      </c>
      <c r="BF215" s="8">
        <f>(0.048*C215^1.01)/IF(_xlfn.XLOOKUP(E215,Groups!A:A,Groups!M:M)=1,0.25,0.8)*C215^-0.25</f>
        <v>1.8710441068278683</v>
      </c>
      <c r="BG215" s="8">
        <f>EXP(1.076*LN(AR215)-4.5397)*IF(_xlfn.XLOOKUP(E215,Groups!A:A,Groups!BC:BC)=1,1.25,IF(_xlfn.XLOOKUP(E215,Groups!A:A,Groups!BD:BD)=1,3.5,2.5))</f>
        <v>14.968563372073916</v>
      </c>
      <c r="BH215" s="8">
        <f>EXP(1.076*LN(AS215)-4.5397)*IF(_xlfn.XLOOKUP(E215,Groups!A:A,Groups!M:M)=1,0.8,IF(_xlfn.XLOOKUP(E215,Groups!A:A,Groups!BC:BC)=1,1.3,3))</f>
        <v>110.55917622459702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138.19897028074627</v>
      </c>
      <c r="BK215" s="8">
        <f t="shared" ref="BK215" si="292">ROUNDDOWN(SQRT((2*BG215)/BD215),0)</f>
        <v>7</v>
      </c>
      <c r="BL215" s="8">
        <f t="shared" ref="BL215" si="293">ROUNDDOWN(SQRT((2*BH215)/BE215),0)</f>
        <v>15</v>
      </c>
      <c r="BM215" s="8" t="str">
        <f t="shared" ref="BM215" si="294">IF(W215="No","No",ROUNDDOWN(SQRT((2*BI215)/BC215),0))</f>
        <v>No</v>
      </c>
      <c r="BN215" s="8">
        <f t="shared" ref="BN215" si="295">IF(V215="No","No",ROUNDDOWN(SQRT((2*BJ215)/BB215),0))</f>
        <v>15</v>
      </c>
      <c r="BO215" s="8">
        <f t="shared" ref="BO215" si="296">ROUNDDOWN(SQRT((2*BH215)/BF215),0)</f>
        <v>10</v>
      </c>
      <c r="BP215" s="8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4.9901506096388087E-3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4.9901506096388083E-2</v>
      </c>
      <c r="BS215" s="8">
        <f t="shared" ref="BS215" si="297">BG215/(AO215*5%)</f>
        <v>3.8478456264129914E-2</v>
      </c>
      <c r="BT215" s="8">
        <f t="shared" ref="BT215" si="298">IF(BP215="No","No",BH215/BP215)</f>
        <v>22155.478836860075</v>
      </c>
      <c r="BU215" s="8" t="str">
        <f t="shared" ref="BU215" si="299">IF(W215="No","No",BI215/BQ215)</f>
        <v>No</v>
      </c>
      <c r="BV215" s="8">
        <f t="shared" ref="BV215" si="300">IF(BJ215="No","No",BJ215/BR215)</f>
        <v>2769.4348546075094</v>
      </c>
      <c r="BW215" s="4">
        <v>0</v>
      </c>
      <c r="BX215" s="4">
        <v>1</v>
      </c>
    </row>
    <row r="216" spans="1:76" s="16" customFormat="1" x14ac:dyDescent="0.25">
      <c r="A216" s="26" t="s">
        <v>1493</v>
      </c>
      <c r="B216" s="6" t="s">
        <v>1662</v>
      </c>
      <c r="C216" s="7">
        <v>1200</v>
      </c>
      <c r="D216" s="7" t="s">
        <v>528</v>
      </c>
      <c r="E216" s="7" t="str">
        <f>Groups!$A$82</f>
        <v>Beetle (ROAMER, ARMORED)</v>
      </c>
      <c r="F216" s="7" t="str">
        <f t="shared" ref="F216" si="301">"Lay eggs"</f>
        <v>Lay eggs</v>
      </c>
      <c r="G216" s="7">
        <v>5</v>
      </c>
      <c r="H216" s="7">
        <v>50</v>
      </c>
      <c r="I216" s="4">
        <v>1</v>
      </c>
      <c r="J216" s="7" t="str">
        <f t="shared" ref="J216" si="302">"Lay eggs"</f>
        <v>Lay eggs</v>
      </c>
      <c r="K216" s="7" t="s">
        <v>528</v>
      </c>
      <c r="L216" s="7">
        <v>20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 t="s">
        <v>40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 t="str">
        <f>IF(OR(_xlfn.XLOOKUP(E216,Groups!A:A,Groups!P:P)=1,_xlfn.XLOOKUP(E216,Groups!A:A,Groups!AD:AD)=1),"Need a formula","No")</f>
        <v>No</v>
      </c>
      <c r="V216" s="7">
        <v>32</v>
      </c>
      <c r="W216" s="7" t="str">
        <f>IF(_xlfn.XLOOKUP(E216,Groups!A:A,Groups!V:V)&lt;&gt;"No","Need a formula","No")</f>
        <v>No</v>
      </c>
      <c r="X216" s="7" t="s">
        <v>933</v>
      </c>
      <c r="Y216" s="4" t="s">
        <v>1008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45</v>
      </c>
      <c r="AF216" s="4" t="s">
        <v>45</v>
      </c>
      <c r="AG216" s="28" t="s">
        <v>1719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>(0.111*C216^0.65)*10000</f>
        <v>111375.78773451904</v>
      </c>
      <c r="AP216" s="8">
        <f>IFERROR(C216*_xlfn.XLOOKUP(E216,Groups!A:A,Groups!K:K),0.106*C216^0.94)</f>
        <v>384</v>
      </c>
      <c r="AQ216" s="8">
        <f>AP216*10000/(_xlfn.XLOOKUP(E216,Groups!A:A,Groups!J:J)*AO216)</f>
        <v>38.739180474822305</v>
      </c>
      <c r="AR216" s="8">
        <f>EXP(0.8447*LN(C216)+3.996)</f>
        <v>21698.27196004615</v>
      </c>
      <c r="AS216" s="8">
        <f>IF(_xlfn.XLOOKUP(E216,Groups!A:A,Groups!M:M)=1,EXP(0.7444*LN('Base stats'!C216)+6.5696),EXP(0.7927*LN('Base stats'!C216)+4.28))</f>
        <v>139728.0337999569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IF(_xlfn.XLOOKUP(E216,Groups!A:A,Groups!N:N)="Theropod",EXP(0.6966*LN(C216)+4.158)*S216,
"No"))))))))))))))))</f>
        <v>139728.0337999569</v>
      </c>
      <c r="AU216" s="8">
        <f>IF(_xlfn.XLOOKUP(E216,Groups!A:A,Groups!U:U)=3,AS216,IF(_xlfn.XLOOKUP(E216,Groups!A:A,Groups!U:U)=2,AR216,AT216))</f>
        <v>139728.0337999569</v>
      </c>
      <c r="AV216" s="46">
        <f>IFERROR(AVERAGE(_xlfn.XLOOKUP(B216,Animals!B:B,Animals!N:N),_xlfn.XLOOKUP(B216,Animals!B:B,Animals!O:O)),0)</f>
        <v>0.875</v>
      </c>
      <c r="AW216" s="8">
        <f>MROUND(40*Animals!AO272*_xlfn.XLOOKUP(Animals!BB272,Leathers!$A$2:$A$99,Leathers!$B$2:$B$99,0)+(140*_xlfn.XLOOKUP(B216,Animals!B:B,Animals!AO:AO)*2),5)</f>
        <v>980</v>
      </c>
      <c r="AX216" s="8">
        <f>IFERROR(ROUND(SQRT(V216-1)*IF(_xlfn.XLOOKUP(E216,Groups!A:A,Groups!BF:BF)=0,2,1)*IF(_xlfn.XLOOKUP('Base stats'!E216,Groups!A:A,Groups!O:O)=0,1,0.1),1),0)</f>
        <v>11.1</v>
      </c>
      <c r="AY216" s="8">
        <f>IFERROR(ROUND(SQRT(U216-1),1),0)</f>
        <v>0</v>
      </c>
      <c r="AZ216" s="8">
        <f>IFERROR(ROUND(SQRT(W216),1),0)</f>
        <v>0</v>
      </c>
      <c r="BA216" s="8">
        <f>ROUND(
  EXP(0.3582*LN(C216)-0.2221) *
  (0.75 + 0.25*(C216^4/(C216^4+10^4))),
1)</f>
        <v>10.199999999999999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20.555532659176965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>(0.0392*C216^IF(OR(Y216="Herbivore",Y216="Dendrovore",Y216="OmnivoreRough"),0.889,0.966))*C216^-0.135</f>
        <v>8.222213063670786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21.066907817708397</v>
      </c>
      <c r="BF216" s="8">
        <f>(0.048*C216^1.01)/IF(_xlfn.XLOOKUP(E216,Groups!A:A,Groups!M:M)=1,0.25,0.8)*C216^-0.25</f>
        <v>42.022218412796043</v>
      </c>
      <c r="BG216" s="8">
        <f>EXP(1.076*LN(AR216)-4.5397)*IF(_xlfn.XLOOKUP(E216,Groups!A:A,Groups!BC:BC)=1,1.25,IF(_xlfn.XLOOKUP(E216,Groups!A:A,Groups!BD:BD)=1,3.5,2.5))</f>
        <v>618.4958828468674</v>
      </c>
      <c r="BH216" s="8">
        <f>EXP(1.076*LN(AS216)-4.5397)*IF(_xlfn.XLOOKUP(E216,Groups!A:A,Groups!M:M)=1,0.8,IF(_xlfn.XLOOKUP(E216,Groups!A:A,Groups!BC:BC)=1,1.3,3))</f>
        <v>2936.6245490408382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3670.7806863010474</v>
      </c>
      <c r="BK216" s="8">
        <f t="shared" ref="BK216:BL218" si="303">ROUNDDOWN(SQRT((2*BG216)/BD216),0)</f>
        <v>12</v>
      </c>
      <c r="BL216" s="8">
        <f t="shared" si="303"/>
        <v>16</v>
      </c>
      <c r="BM216" s="8" t="str">
        <f>IF(W216="No","No",ROUNDDOWN(SQRT((2*BI216)/BC216),0))</f>
        <v>No</v>
      </c>
      <c r="BN216" s="8">
        <f>IF(V216="No","No",ROUNDDOWN(SQRT((2*BJ216)/BB216),0))</f>
        <v>18</v>
      </c>
      <c r="BO216" s="8">
        <f>ROUNDDOWN(SQRT((2*BH216)/BF216),0)</f>
        <v>11</v>
      </c>
      <c r="BP216" s="8" t="str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No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0.26499869384002678</v>
      </c>
      <c r="BS216" s="8">
        <f>BG216/(AO216*5%)</f>
        <v>0.11106469286145845</v>
      </c>
      <c r="BT216" s="8" t="str">
        <f>IF(BP216="No","No",BH216/BP216)</f>
        <v>No</v>
      </c>
      <c r="BU216" s="8" t="str">
        <f>IF(W216="No","No",BI216/BQ216)</f>
        <v>No</v>
      </c>
      <c r="BV216" s="8">
        <f>IF(BJ216="No","No",BJ216/BR216)</f>
        <v>13852.070865364369</v>
      </c>
      <c r="BW216" s="4">
        <v>0</v>
      </c>
      <c r="BX216" s="4">
        <v>1</v>
      </c>
    </row>
    <row r="217" spans="1:76" s="16" customFormat="1" x14ac:dyDescent="0.25">
      <c r="A217" s="26" t="s">
        <v>1501</v>
      </c>
      <c r="B217" s="6" t="s">
        <v>1664</v>
      </c>
      <c r="C217" s="7">
        <v>10</v>
      </c>
      <c r="D217" s="7" t="s">
        <v>528</v>
      </c>
      <c r="E217" s="7" t="str">
        <f>Groups!$A$81</f>
        <v>Beetle (ROAMER)</v>
      </c>
      <c r="F217" s="7" t="str">
        <f t="shared" ref="F217:F245" si="304">"Lay eggs"</f>
        <v>Lay eggs</v>
      </c>
      <c r="G217" s="7">
        <v>1</v>
      </c>
      <c r="H217" s="7">
        <v>10</v>
      </c>
      <c r="I217" s="4">
        <v>0</v>
      </c>
      <c r="J217" s="7" t="str">
        <f t="shared" ref="J217:J245" si="305">"Lay eggs"</f>
        <v>Lay eggs</v>
      </c>
      <c r="K217" s="7" t="s">
        <v>528</v>
      </c>
      <c r="L217" s="7">
        <v>25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>
        <v>1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 t="s">
        <v>45</v>
      </c>
      <c r="V217" s="7">
        <v>2</v>
      </c>
      <c r="W217" s="7" t="s">
        <v>45</v>
      </c>
      <c r="X217" s="7" t="s">
        <v>933</v>
      </c>
      <c r="Y217" s="4" t="s">
        <v>53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45</v>
      </c>
      <c r="AF217" s="4" t="s">
        <v>45</v>
      </c>
      <c r="AG217" s="28" t="s">
        <v>1719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>(0.111*C217^0.65)*10000</f>
        <v>4958.187872875691</v>
      </c>
      <c r="AP217" s="8">
        <f>IFERROR(C217*_xlfn.XLOOKUP(E217,Groups!A:A,Groups!K:K),0.106*C217^0.94)</f>
        <v>3.2</v>
      </c>
      <c r="AQ217" s="8">
        <f>AP217*10000/(_xlfn.XLOOKUP(E217,Groups!A:A,Groups!J:J)*AO217)</f>
        <v>5.3783090416056201</v>
      </c>
      <c r="AR217" s="8">
        <f>EXP(0.8447*LN(C217)+3.996)</f>
        <v>380.31263115847975</v>
      </c>
      <c r="AS217" s="8">
        <f>IF(_xlfn.XLOOKUP(E217,Groups!A:A,Groups!M:M)=1,EXP(0.7444*LN('Base stats'!C217)+6.5696),EXP(0.7927*LN('Base stats'!C217)+4.28))</f>
        <v>3958.594603791114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IF(_xlfn.XLOOKUP(E217,Groups!A:A,Groups!N:N)="Theropod",EXP(0.6966*LN(C217)+4.158)*S217,
"No"))))))))))))))))</f>
        <v>3958.594603791114</v>
      </c>
      <c r="AU217" s="8">
        <f>IF(_xlfn.XLOOKUP(E217,Groups!A:A,Groups!U:U)=3,AS217,IF(_xlfn.XLOOKUP(E217,Groups!A:A,Groups!U:U)=2,AR217,AT217))</f>
        <v>3958.594603791114</v>
      </c>
      <c r="AV217" s="46">
        <f>IFERROR(AVERAGE(_xlfn.XLOOKUP(B217,Animals!B:B,Animals!N:N),_xlfn.XLOOKUP(B217,Animals!B:B,Animals!O:O)),0)</f>
        <v>0.2</v>
      </c>
      <c r="AW217" s="8">
        <f>MROUND(40*Animals!AO275*_xlfn.XLOOKUP(Animals!BB275,Leathers!$A$2:$A$99,Leathers!$B$2:$B$99,0)+(140*_xlfn.XLOOKUP(B217,Animals!B:B,Animals!AO:AO)*2),5)</f>
        <v>330</v>
      </c>
      <c r="AX217" s="8">
        <f>IFERROR(ROUND(SQRT(V217-1)*IF(_xlfn.XLOOKUP(E217,Groups!A:A,Groups!BF:BF)=0,2,1)*IF(_xlfn.XLOOKUP('Base stats'!E217,Groups!A:A,Groups!O:O)=0,1,0.1),1),0)</f>
        <v>2</v>
      </c>
      <c r="AY217" s="8">
        <f>IFERROR(ROUND(SQRT(U217-1),1),0)</f>
        <v>0</v>
      </c>
      <c r="AZ217" s="8">
        <f>IFERROR(ROUND(SQRT(W217),1),0)</f>
        <v>0</v>
      </c>
      <c r="BA217" s="8">
        <f>ROUND(
  EXP(0.3582*LN(C217)-0.2221) *
  (0.75 + 0.25*(C217^4/(C217^4+10^4))),
1)</f>
        <v>1.6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0.66408867745846145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>(0.0392*C217^IF(OR(Y217="Herbivore",Y217="Dendrovore",Y217="OmnivoreRough"),0.889,0.966))*C217^-0.135</f>
        <v>0.26563547098338458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0.5033144777797578</v>
      </c>
      <c r="BF217" s="8">
        <f>(0.048*C217^1.01)/IF(_xlfn.XLOOKUP(E217,Groups!A:A,Groups!M:M)=1,0.25,0.8)*C217^-0.25</f>
        <v>1.1048446796873415</v>
      </c>
      <c r="BG217" s="8">
        <f>EXP(1.076*LN(AR217)-4.5397)*IF(_xlfn.XLOOKUP(E217,Groups!A:A,Groups!BC:BC)=1,1.25,IF(_xlfn.XLOOKUP(E217,Groups!A:A,Groups!BD:BD)=1,3.5,2.5))</f>
        <v>7.9721378589765637</v>
      </c>
      <c r="BH217" s="8">
        <f>EXP(1.076*LN(AS217)-4.5397)*IF(_xlfn.XLOOKUP(E217,Groups!A:A,Groups!M:M)=1,0.8,IF(_xlfn.XLOOKUP(E217,Groups!A:A,Groups!BC:BC)=1,1.3,3))</f>
        <v>63.456698632720183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79.320873290900224</v>
      </c>
      <c r="BK217" s="8">
        <f t="shared" si="303"/>
        <v>7</v>
      </c>
      <c r="BL217" s="8">
        <f t="shared" si="303"/>
        <v>15</v>
      </c>
      <c r="BM217" s="8" t="str">
        <f>IF(W217="No","No",ROUNDDOWN(SQRT((2*BI217)/BC217),0))</f>
        <v>No</v>
      </c>
      <c r="BN217" s="8">
        <f>IF(V217="No","No",ROUNDDOWN(SQRT((2*BJ217)/BB217),0))</f>
        <v>15</v>
      </c>
      <c r="BO217" s="8">
        <f>ROUNDDOWN(SQRT((2*BH217)/BF217),0)</f>
        <v>10</v>
      </c>
      <c r="BP217" s="8" t="str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No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3.7614355184740135E-2</v>
      </c>
      <c r="BS217" s="8">
        <f>BG217/(AO217*5%)</f>
        <v>3.2157465845895093E-2</v>
      </c>
      <c r="BT217" s="8" t="str">
        <f>IF(BP217="No","No",BH217/BP217)</f>
        <v>No</v>
      </c>
      <c r="BU217" s="8" t="str">
        <f>IF(W217="No","No",BI217/BQ217)</f>
        <v>No</v>
      </c>
      <c r="BV217" s="8">
        <f>IF(BJ217="No","No",BJ217/BR217)</f>
        <v>2108.7925846746966</v>
      </c>
      <c r="BW217" s="4">
        <v>0</v>
      </c>
      <c r="BX217" s="4">
        <v>1</v>
      </c>
    </row>
    <row r="218" spans="1:76" s="16" customFormat="1" x14ac:dyDescent="0.25">
      <c r="A218" s="26" t="s">
        <v>1497</v>
      </c>
      <c r="B218" s="6" t="s">
        <v>1619</v>
      </c>
      <c r="C218" s="7">
        <v>10</v>
      </c>
      <c r="D218" s="7" t="s">
        <v>528</v>
      </c>
      <c r="E218" s="7" t="str">
        <f>Groups!$A$4</f>
        <v>Beetle (LARVA)</v>
      </c>
      <c r="F218" s="7" t="s">
        <v>1707</v>
      </c>
      <c r="G218" s="7" t="s">
        <v>1707</v>
      </c>
      <c r="H218" s="7">
        <v>1</v>
      </c>
      <c r="I218" s="4">
        <v>1</v>
      </c>
      <c r="J218" s="7" t="s">
        <v>1707</v>
      </c>
      <c r="K218" s="7" t="s">
        <v>528</v>
      </c>
      <c r="L218" s="7">
        <v>16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 t="str">
        <f>IF(AT218="No","No",IF(_xlfn.XLOOKUP(E218,Groups!A:A,Groups!AM:AM)=1,MROUND(EXP(0.3582*LN(C218)-0.2221)*T218,0.05),IF(_xlfn.XLOOKUP(E218,Groups!A:A,Groups!AM:AM)=2,MROUND(EXP(0.3582*LN(C218)-0.2221)*T218,0.05),"Need a formula")))</f>
        <v>Need a formula</v>
      </c>
      <c r="W218" s="7" t="str">
        <f>IF(_xlfn.XLOOKUP(E218,Groups!A:A,Groups!V:V)&lt;&gt;"No","Need a formula","No")</f>
        <v>No</v>
      </c>
      <c r="X218" s="7" t="s">
        <v>933</v>
      </c>
      <c r="Y218" s="4" t="s">
        <v>42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399</v>
      </c>
      <c r="AG218" s="28" t="s">
        <v>1719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>(0.111*C218^0.65)*10000</f>
        <v>4958.187872875691</v>
      </c>
      <c r="AP218" s="8">
        <f>IFERROR(C218*_xlfn.XLOOKUP(E218,Groups!A:A,Groups!K:K),0.106*C218^0.94)</f>
        <v>3.2</v>
      </c>
      <c r="AQ218" s="8">
        <f>AP218*10000/(_xlfn.XLOOKUP(E218,Groups!A:A,Groups!J:J)*AO218)</f>
        <v>5.3783090416056201</v>
      </c>
      <c r="AR218" s="8">
        <f>EXP(0.8447*LN(C218)+3.996)</f>
        <v>380.31263115847975</v>
      </c>
      <c r="AS218" s="8">
        <f>IF(_xlfn.XLOOKUP(E218,Groups!A:A,Groups!M:M)=1,EXP(0.7444*LN('Base stats'!C218)+6.5696),EXP(0.7927*LN('Base stats'!C218)+4.28))</f>
        <v>3958.594603791114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IF(_xlfn.XLOOKUP(E218,Groups!A:A,Groups!N:N)="Theropod",EXP(0.6966*LN(C218)+4.158)*S218,
"No"))))))))))))))))</f>
        <v>3958.594603791114</v>
      </c>
      <c r="AU218" s="8">
        <f>IF(_xlfn.XLOOKUP(E218,Groups!A:A,Groups!U:U)=3,AS218,IF(_xlfn.XLOOKUP(E218,Groups!A:A,Groups!U:U)=2,AR218,AT218))</f>
        <v>3958.594603791114</v>
      </c>
      <c r="AV218" s="46">
        <f>IFERROR(AVERAGE(_xlfn.XLOOKUP(B218,Animals!B:B,Animals!N:N),_xlfn.XLOOKUP(B218,Animals!B:B,Animals!O:O)),0)</f>
        <v>0.2</v>
      </c>
      <c r="AW218" s="8">
        <f>MROUND(40*Animals!AO209*_xlfn.XLOOKUP(Animals!BB209,Leathers!$A$2:$A$99,Leathers!$B$2:$B$99,0)+(140*_xlfn.XLOOKUP(B218,Animals!B:B,Animals!AO:AO)*2),5)</f>
        <v>300</v>
      </c>
      <c r="AX218" s="8">
        <f>IFERROR(ROUND(SQRT(V218-1)*IF(_xlfn.XLOOKUP(E218,Groups!A:A,Groups!BF:BF)=0,2,1)*IF(_xlfn.XLOOKUP('Base stats'!E218,Groups!A:A,Groups!O:O)=0,1,0.1),1),0)</f>
        <v>0</v>
      </c>
      <c r="AY218" s="8">
        <f>IFERROR(ROUND(SQRT(U218-1),1),0)</f>
        <v>0</v>
      </c>
      <c r="AZ218" s="8">
        <f>IFERROR(ROUND(SQRT(W218),1),0)</f>
        <v>0</v>
      </c>
      <c r="BA218" s="8">
        <f>ROUND(
  EXP(0.3582*LN(C218)-0.2221) *
  (0.75 + 0.25*(C218^4/(C218^4+10^4))),
1)</f>
        <v>1.6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0.55619371330037626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>(0.0392*C218^IF(OR(Y218="Herbivore",Y218="Dendrovore",Y218="OmnivoreRough"),0.889,0.966))*C218^-0.135</f>
        <v>0.22247748532015049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0.5033144777797578</v>
      </c>
      <c r="BF218" s="8">
        <f>(0.048*C218^1.01)/IF(_xlfn.XLOOKUP(E218,Groups!A:A,Groups!M:M)=1,0.25,0.8)*C218^-0.25</f>
        <v>1.1048446796873415</v>
      </c>
      <c r="BG218" s="8">
        <f>EXP(1.076*LN(AR218)-4.5397)*IF(_xlfn.XLOOKUP(E218,Groups!A:A,Groups!BC:BC)=1,1.25,IF(_xlfn.XLOOKUP(E218,Groups!A:A,Groups!BD:BD)=1,3.5,2.5))</f>
        <v>7.9721378589765637</v>
      </c>
      <c r="BH218" s="8">
        <f>EXP(1.076*LN(AS218)-4.5397)*IF(_xlfn.XLOOKUP(E218,Groups!A:A,Groups!M:M)=1,0.8,IF(_xlfn.XLOOKUP(E218,Groups!A:A,Groups!BC:BC)=1,1.3,3))</f>
        <v>63.456698632720183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79.320873290900224</v>
      </c>
      <c r="BK218" s="8">
        <f t="shared" si="303"/>
        <v>8</v>
      </c>
      <c r="BL218" s="8">
        <f t="shared" si="303"/>
        <v>15</v>
      </c>
      <c r="BM218" s="8" t="str">
        <f>IF(W218="No","No",ROUNDDOWN(SQRT((2*BI218)/BC218),0))</f>
        <v>No</v>
      </c>
      <c r="BN218" s="8">
        <f>IF(V218="No","No",ROUNDDOWN(SQRT((2*BJ218)/BB218),0))</f>
        <v>16</v>
      </c>
      <c r="BO218" s="8">
        <f>ROUNDDOWN(SQRT((2*BH218)/BF218),0)</f>
        <v>10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3.7614355184740135E-2</v>
      </c>
      <c r="BS218" s="8">
        <f>BG218/(AO218*5%)</f>
        <v>3.2157465845895093E-2</v>
      </c>
      <c r="BT218" s="8" t="str">
        <f>IF(BP218="No","No",BH218/BP218)</f>
        <v>No</v>
      </c>
      <c r="BU218" s="8" t="str">
        <f>IF(W218="No","No",BI218/BQ218)</f>
        <v>No</v>
      </c>
      <c r="BV218" s="8">
        <f>IF(BJ218="No","No",BJ218/BR218)</f>
        <v>2108.7925846746966</v>
      </c>
      <c r="BW218" s="4">
        <v>0</v>
      </c>
      <c r="BX218" s="4">
        <v>1</v>
      </c>
    </row>
    <row r="219" spans="1:76" s="16" customFormat="1" x14ac:dyDescent="0.25">
      <c r="A219" s="26" t="s">
        <v>1365</v>
      </c>
      <c r="B219" s="6" t="s">
        <v>1618</v>
      </c>
      <c r="C219" s="7">
        <v>4000</v>
      </c>
      <c r="D219" s="7" t="s">
        <v>528</v>
      </c>
      <c r="E219" s="7" t="str">
        <f>Groups!$A$72</f>
        <v>Wasp</v>
      </c>
      <c r="F219" s="7" t="str">
        <f t="shared" ref="F219" si="306">"Lay eggs"</f>
        <v>Lay eggs</v>
      </c>
      <c r="G219" s="7" t="s">
        <v>1707</v>
      </c>
      <c r="H219" s="7">
        <v>100</v>
      </c>
      <c r="I219" s="4">
        <v>1</v>
      </c>
      <c r="J219" s="7" t="str">
        <f t="shared" ref="J219" si="307">"Lay eggs"</f>
        <v>Lay eggs</v>
      </c>
      <c r="K219" s="7" t="s">
        <v>528</v>
      </c>
      <c r="L219" s="7">
        <v>24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>
        <v>32</v>
      </c>
      <c r="V219" s="7">
        <v>12</v>
      </c>
      <c r="W219" s="7">
        <v>15</v>
      </c>
      <c r="X219" s="7" t="s">
        <v>933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1719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308">(0.111*C219^0.65)*10000</f>
        <v>243591.41216853441</v>
      </c>
      <c r="AP219" s="8">
        <f>IFERROR(C219*_xlfn.XLOOKUP(E219,Groups!A:A,Groups!K:K),0.106*C219^0.94)</f>
        <v>1280</v>
      </c>
      <c r="AQ219" s="8">
        <f>AP219*10000/(_xlfn.XLOOKUP(E219,Groups!A:A,Groups!J:J)*AO219)</f>
        <v>59.041582557760997</v>
      </c>
      <c r="AR219" s="8">
        <f t="shared" ref="AR219" si="309">EXP(0.8447*LN(C219)+3.996)</f>
        <v>59993.033791828515</v>
      </c>
      <c r="AS219" s="8">
        <f>IF(_xlfn.XLOOKUP(E219,Groups!A:A,Groups!M:M)=1,EXP(0.7444*LN('Base stats'!C219)+6.5696),EXP(0.7927*LN('Base stats'!C219)+4.28))</f>
        <v>342384.80765263102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IF(_xlfn.XLOOKUP(E219,Groups!A:A,Groups!N:N)="Theropod",EXP(0.6966*LN(C219)+4.158)*S219,
"No"))))))))))))))))</f>
        <v>342384.80765263102</v>
      </c>
      <c r="AU219" s="8">
        <f>IF(_xlfn.XLOOKUP(E219,Groups!A:A,Groups!U:U)=3,AS219,IF(_xlfn.XLOOKUP(E219,Groups!A:A,Groups!U:U)=2,AR219,AT219))</f>
        <v>342384.80765263102</v>
      </c>
      <c r="AV219" s="46">
        <f>IFERROR(AVERAGE(_xlfn.XLOOKUP(B219,Animals!B:B,Animals!N:N),_xlfn.XLOOKUP(B219,Animals!B:B,Animals!O:O)),0)</f>
        <v>0.95</v>
      </c>
      <c r="AW219" s="8">
        <f>MROUND(40*Animals!AO208*_xlfn.XLOOKUP(Animals!BB208,Leathers!$A$2:$A$99,Leathers!$B$2:$B$99,0)+(140*_xlfn.XLOOKUP(B219,Animals!B:B,Animals!AO:AO)*2),5)</f>
        <v>1400</v>
      </c>
      <c r="AX219" s="8">
        <f>IFERROR(ROUND(SQRT(V219-1)*IF(_xlfn.XLOOKUP(E219,Groups!A:A,Groups!BF:BF)=0,2,1)*IF(_xlfn.XLOOKUP('Base stats'!E219,Groups!A:A,Groups!O:O)=0,1,0.1),1),0)</f>
        <v>6.6</v>
      </c>
      <c r="AY219" s="8">
        <f t="shared" ref="AY219" si="310">IFERROR(ROUND(SQRT(U219-1),1),0)</f>
        <v>5.6</v>
      </c>
      <c r="AZ219" s="8">
        <f t="shared" ref="AZ219" si="311">IFERROR(ROUND(SQRT(W219),1),0)</f>
        <v>3.9</v>
      </c>
      <c r="BA219" s="8">
        <f t="shared" ref="BA219" si="312">ROUND(
  EXP(0.3582*LN(C219)-0.2221) *
  (0.75 + 0.25*(C219^4/(C219^4+10^4))),
1)</f>
        <v>15.6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96.502358707714833</v>
      </c>
      <c r="BC219" s="8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71.761503352641952</v>
      </c>
      <c r="BD219" s="8">
        <f t="shared" ref="BD219" si="313">(0.0392*C219^IF(OR(Y219="Herbivore",Y219="Dendrovore",Y219="OmnivoreRough"),0.889,0.966))*C219^-0.135</f>
        <v>38.600943483085935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53.88231124803125</v>
      </c>
      <c r="BF219" s="8">
        <f>(0.048*C219^1.01)/IF(_xlfn.XLOOKUP(E219,Groups!A:A,Groups!M:M)=1,0.25,0.8)*C219^-0.25</f>
        <v>104.92206322219798</v>
      </c>
      <c r="BG219" s="8">
        <f>EXP(1.076*LN(AR219)-4.5397)*IF(_xlfn.XLOOKUP(E219,Groups!A:A,Groups!BC:BC)=1,1.25,IF(_xlfn.XLOOKUP(E219,Groups!A:A,Groups!BD:BD)=1,3.5,2.5))</f>
        <v>1847.480403748275</v>
      </c>
      <c r="BH219" s="8">
        <f>EXP(1.076*LN(AS219)-4.5397)*IF(_xlfn.XLOOKUP(E219,Groups!A:A,Groups!M:M)=1,0.8,IF(_xlfn.XLOOKUP(E219,Groups!A:A,Groups!BC:BC)=1,1.3,3))</f>
        <v>7703.0180279972064</v>
      </c>
      <c r="BI219" s="8">
        <f>IF(W219="No","No",IF(_xlfn.XLOOKUP(E219,Groups!A:A,Groups!U:U)=1,'Base stats'!BJ219,IF(OR(_xlfn.XLOOKUP(E219,Groups!A:A,Groups!BD:BD)=1,_xlfn.XLOOKUP(E219,Groups!A:A,Groups!U:U)=2),BG219,BH219))*1.2)</f>
        <v>9243.6216335966474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9628.7725349965076</v>
      </c>
      <c r="BK219" s="8">
        <f t="shared" ref="BK219" si="314">ROUNDDOWN(SQRT((2*BG219)/BD219),0)</f>
        <v>9</v>
      </c>
      <c r="BL219" s="8">
        <f t="shared" ref="BL219" si="315">ROUNDDOWN(SQRT((2*BH219)/BE219),0)</f>
        <v>16</v>
      </c>
      <c r="BM219" s="8">
        <f t="shared" ref="BM219" si="316">IF(W219="No","No",ROUNDDOWN(SQRT((2*BI219)/BC219),0))</f>
        <v>16</v>
      </c>
      <c r="BN219" s="8">
        <f t="shared" ref="BN219" si="317">IF(V219="No","No",ROUNDDOWN(SQRT((2*BJ219)/BB219),0))</f>
        <v>14</v>
      </c>
      <c r="BO219" s="8">
        <f t="shared" ref="BO219" si="318">ROUNDDOWN(SQRT((2*BH219)/BF219),0)</f>
        <v>12</v>
      </c>
      <c r="BP219" s="8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4.3298583189597249E-2</v>
      </c>
      <c r="BQ219" s="8">
        <f>IF(W219="No","No",IF(_xlfn.XLOOKUP(E219,Groups!A:A,Groups!BD:BD)=1,(AO219*5%),EXP(0.7354*LN(C219)^0.4078)*2/IF(_xlfn.XLOOKUP(E219,Groups!A:A,Groups!BL:BL)=1,1000,100)))</f>
        <v>1.1424303339940694E-2</v>
      </c>
      <c r="BR219" s="8">
        <f>IF(BJ219="No","No",IF(_xlfn.XLOOKUP(E219,Groups!A:A,Groups!BF:BF)=1,(0.0315*C219+2.1825)*2,(0.7354*C219^0.4078)*2)/IF(_xlfn.XLOOKUP(E219,Groups!A:A,Groups!BM:BM)=1,1000,100))</f>
        <v>4.3298583189597249E-2</v>
      </c>
      <c r="BS219" s="8">
        <f t="shared" ref="BS219" si="319">BG219/(AO219*5%)</f>
        <v>0.15168682568087025</v>
      </c>
      <c r="BT219" s="8">
        <f t="shared" ref="BT219" si="320">IF(BP219="No","No",BH219/BP219)</f>
        <v>177904.6209033441</v>
      </c>
      <c r="BU219" s="8">
        <f t="shared" ref="BU219" si="321">IF(W219="No","No",BI219/BQ219)</f>
        <v>809119.06472930126</v>
      </c>
      <c r="BV219" s="8">
        <f t="shared" ref="BV219" si="322">IF(BJ219="No","No",BJ219/BR219)</f>
        <v>222380.77612918013</v>
      </c>
      <c r="BW219" s="4">
        <v>0</v>
      </c>
      <c r="BX219" s="4">
        <v>1</v>
      </c>
    </row>
    <row r="220" spans="1:76" s="16" customFormat="1" x14ac:dyDescent="0.25">
      <c r="A220" s="26" t="s">
        <v>1449</v>
      </c>
      <c r="B220" s="6" t="s">
        <v>1646</v>
      </c>
      <c r="C220" s="7">
        <v>15</v>
      </c>
      <c r="D220" s="7" t="s">
        <v>528</v>
      </c>
      <c r="E220" s="7" t="str">
        <f>Groups!$A$72</f>
        <v>Wasp</v>
      </c>
      <c r="F220" s="7" t="str">
        <f t="shared" ref="F220:F237" si="323">"Lay eggs"</f>
        <v>Lay eggs</v>
      </c>
      <c r="G220" s="7">
        <v>2</v>
      </c>
      <c r="H220" s="7">
        <v>15</v>
      </c>
      <c r="I220" s="4">
        <v>1</v>
      </c>
      <c r="J220" s="7" t="str">
        <f t="shared" ref="J220:J237" si="324">"Lay eggs"</f>
        <v>Lay eggs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7</v>
      </c>
      <c r="V220" s="7">
        <v>5</v>
      </c>
      <c r="W220" s="7">
        <v>7</v>
      </c>
      <c r="X220" s="7" t="s">
        <v>933</v>
      </c>
      <c r="Y220" s="4" t="s">
        <v>53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1719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35" si="325">(0.111*C220^0.65)*10000</f>
        <v>6453.306570514339</v>
      </c>
      <c r="AP220" s="8">
        <f>IFERROR(C220*_xlfn.XLOOKUP(E220,Groups!A:A,Groups!K:K),0.106*C220^0.94)</f>
        <v>4.8</v>
      </c>
      <c r="AQ220" s="8">
        <f>AP220*10000/(_xlfn.XLOOKUP(E220,Groups!A:A,Groups!J:J)*AO220)</f>
        <v>8.3573566016660514</v>
      </c>
      <c r="AR220" s="8">
        <f t="shared" ref="AR220:AR235" si="326">EXP(0.8447*LN(C220)+3.996)</f>
        <v>535.65484345622485</v>
      </c>
      <c r="AS220" s="8">
        <f>IF(_xlfn.XLOOKUP(E220,Groups!A:A,Groups!M:M)=1,EXP(0.7444*LN('Base stats'!C220)+6.5696),EXP(0.7927*LN('Base stats'!C220)+4.28))</f>
        <v>5353.3219353913164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IF(_xlfn.XLOOKUP(E220,Groups!A:A,Groups!N:N)="Theropod",EXP(0.6966*LN(C220)+4.158)*S220,
"No"))))))))))))))))</f>
        <v>5353.3219353913164</v>
      </c>
      <c r="AU220" s="8">
        <f>IF(_xlfn.XLOOKUP(E220,Groups!A:A,Groups!U:U)=3,AS220,IF(_xlfn.XLOOKUP(E220,Groups!A:A,Groups!U:U)=2,AR220,AT220))</f>
        <v>5353.3219353913164</v>
      </c>
      <c r="AV220" s="46">
        <f>IFERROR(AVERAGE(_xlfn.XLOOKUP(B220,Animals!B:B,Animals!N:N),_xlfn.XLOOKUP(B220,Animals!B:B,Animals!O:O)),0)</f>
        <v>0.67500000000000004</v>
      </c>
      <c r="AW220" s="8">
        <f>MROUND(40*Animals!AO252*_xlfn.XLOOKUP(Animals!BB252,Leathers!$A$2:$A$99,Leathers!$B$2:$B$99,0)+(140*_xlfn.XLOOKUP(B220,Animals!B:B,Animals!AO:AO)*2),5)</f>
        <v>315</v>
      </c>
      <c r="AX220" s="8">
        <f>IFERROR(ROUND(SQRT(V220-1)*IF(_xlfn.XLOOKUP(E220,Groups!A:A,Groups!BF:BF)=0,2,1)*IF(_xlfn.XLOOKUP('Base stats'!E220,Groups!A:A,Groups!O:O)=0,1,0.1),1),0)</f>
        <v>4</v>
      </c>
      <c r="AY220" s="8">
        <f t="shared" ref="AY220:AY235" si="327">IFERROR(ROUND(SQRT(U220-1),1),0)</f>
        <v>2.4</v>
      </c>
      <c r="AZ220" s="8">
        <f t="shared" ref="AZ220:AZ235" si="328">IFERROR(ROUND(SQRT(W220),1),0)</f>
        <v>2.6</v>
      </c>
      <c r="BA220" s="8">
        <f t="shared" ref="BA220:BA235" si="329">ROUND(
  EXP(0.3582*LN(C220)-0.2221) *
  (0.75 + 0.25*(C220^4/(C220^4+10^4))),
1)</f>
        <v>2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0.93016054081951027</v>
      </c>
      <c r="BC220" s="8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1.503594005422539</v>
      </c>
      <c r="BD220" s="8">
        <f t="shared" ref="BD220:BD235" si="330">(0.0392*C220^IF(OR(Y220="Herbivore",Y220="Dendrovore",Y220="OmnivoreRough"),0.889,0.966))*C220^-0.135</f>
        <v>0.37206421632780412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0.69054280580117122</v>
      </c>
      <c r="BF220" s="8">
        <f>(0.048*C220^1.01)/IF(_xlfn.XLOOKUP(E220,Groups!A:A,Groups!M:M)=1,0.25,0.8)*C220^-0.25</f>
        <v>1.503594005422539</v>
      </c>
      <c r="BG220" s="8">
        <f>EXP(1.076*LN(AR220)-4.5397)*IF(_xlfn.XLOOKUP(E220,Groups!A:A,Groups!BC:BC)=1,1.25,IF(_xlfn.XLOOKUP(E220,Groups!A:A,Groups!BD:BD)=1,3.5,2.5))</f>
        <v>11.524541402552655</v>
      </c>
      <c r="BH220" s="8">
        <f>EXP(1.076*LN(AS220)-4.5397)*IF(_xlfn.XLOOKUP(E220,Groups!A:A,Groups!M:M)=1,0.8,IF(_xlfn.XLOOKUP(E220,Groups!A:A,Groups!BC:BC)=1,1.3,3))</f>
        <v>87.805569597772788</v>
      </c>
      <c r="BI220" s="8">
        <f>IF(W220="No","No",IF(_xlfn.XLOOKUP(E220,Groups!A:A,Groups!U:U)=1,'Base stats'!BJ220,IF(OR(_xlfn.XLOOKUP(E220,Groups!A:A,Groups!BD:BD)=1,_xlfn.XLOOKUP(E220,Groups!A:A,Groups!U:U)=2),BG220,BH220))*1.2)</f>
        <v>105.36668351732735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109.75696199721598</v>
      </c>
      <c r="BK220" s="8">
        <f t="shared" ref="BK220:BK235" si="331">ROUNDDOWN(SQRT((2*BG220)/BD220),0)</f>
        <v>7</v>
      </c>
      <c r="BL220" s="8">
        <f t="shared" ref="BL220:BL235" si="332">ROUNDDOWN(SQRT((2*BH220)/BE220),0)</f>
        <v>15</v>
      </c>
      <c r="BM220" s="8">
        <f t="shared" ref="BM220:BM235" si="333">IF(W220="No","No",ROUNDDOWN(SQRT((2*BI220)/BC220),0))</f>
        <v>11</v>
      </c>
      <c r="BN220" s="8">
        <f t="shared" ref="BN220:BN235" si="334">IF(V220="No","No",ROUNDDOWN(SQRT((2*BJ220)/BB220),0))</f>
        <v>15</v>
      </c>
      <c r="BO220" s="8">
        <f t="shared" ref="BO220:BO235" si="335">ROUNDDOWN(SQRT((2*BH220)/BF220),0)</f>
        <v>10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4.4377582152222601E-3</v>
      </c>
      <c r="BQ220" s="8">
        <f>IF(W220="No","No",IF(_xlfn.XLOOKUP(E220,Groups!A:A,Groups!BD:BD)=1,(AO220*5%),EXP(0.7354*LN(C220)^0.4078)*2/IF(_xlfn.XLOOKUP(E220,Groups!A:A,Groups!BL:BL)=1,1000,100)))</f>
        <v>6.0322902005597199E-3</v>
      </c>
      <c r="BR220" s="8">
        <f>IF(BJ220="No","No",IF(_xlfn.XLOOKUP(E220,Groups!A:A,Groups!BF:BF)=1,(0.0315*C220+2.1825)*2,(0.7354*C220^0.4078)*2)/IF(_xlfn.XLOOKUP(E220,Groups!A:A,Groups!BM:BM)=1,1000,100))</f>
        <v>4.4377582152222601E-3</v>
      </c>
      <c r="BS220" s="8">
        <f t="shared" ref="BS220:BS235" si="336">BG220/(AO220*5%)</f>
        <v>3.5716702055374784E-2</v>
      </c>
      <c r="BT220" s="8">
        <f t="shared" ref="BT220:BT235" si="337">IF(BP220="No","No",BH220/BP220)</f>
        <v>19786.019278063606</v>
      </c>
      <c r="BU220" s="8">
        <f t="shared" ref="BU220:BU235" si="338">IF(W220="No","No",BI220/BQ220)</f>
        <v>17467.111165764316</v>
      </c>
      <c r="BV220" s="8">
        <f t="shared" ref="BV220:BV235" si="339">IF(BJ220="No","No",BJ220/BR220)</f>
        <v>24732.52409757951</v>
      </c>
      <c r="BW220" s="4">
        <v>0</v>
      </c>
      <c r="BX220" s="4">
        <v>1</v>
      </c>
    </row>
    <row r="221" spans="1:76" s="16" customFormat="1" x14ac:dyDescent="0.25">
      <c r="A221" s="26" t="s">
        <v>1391</v>
      </c>
      <c r="B221" s="6" t="s">
        <v>1624</v>
      </c>
      <c r="C221" s="7">
        <v>15</v>
      </c>
      <c r="D221" s="7" t="s">
        <v>528</v>
      </c>
      <c r="E221" s="7" t="str">
        <f>Groups!$A$72</f>
        <v>Wasp</v>
      </c>
      <c r="F221" s="7" t="s">
        <v>1707</v>
      </c>
      <c r="G221" s="7">
        <v>1</v>
      </c>
      <c r="H221" s="7">
        <v>12</v>
      </c>
      <c r="I221" s="4">
        <v>1</v>
      </c>
      <c r="J221" s="7" t="s">
        <v>1707</v>
      </c>
      <c r="K221" s="7" t="s">
        <v>528</v>
      </c>
      <c r="L221" s="7">
        <v>24</v>
      </c>
      <c r="M221" s="7" t="s">
        <v>528</v>
      </c>
      <c r="N221" s="4">
        <v>0</v>
      </c>
      <c r="O221" s="4">
        <v>0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>
        <v>4</v>
      </c>
      <c r="V221" s="7">
        <v>2</v>
      </c>
      <c r="W221" s="7">
        <v>4</v>
      </c>
      <c r="X221" s="7" t="s">
        <v>933</v>
      </c>
      <c r="Y221" s="4" t="s">
        <v>56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45</v>
      </c>
      <c r="AG221" s="28" t="s">
        <v>1719</v>
      </c>
      <c r="AH221" s="4" t="str">
        <f>Animals!$C$105</f>
        <v>&lt;li&gt;Megaspider&lt;/li&gt;</v>
      </c>
      <c r="AI221" s="4">
        <v>0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325"/>
        <v>6453.306570514339</v>
      </c>
      <c r="AP221" s="8">
        <f>IFERROR(C221*_xlfn.XLOOKUP(E221,Groups!A:A,Groups!K:K),0.106*C221^0.94)</f>
        <v>4.8</v>
      </c>
      <c r="AQ221" s="8">
        <f>AP221*10000/(_xlfn.XLOOKUP(E221,Groups!A:A,Groups!J:J)*AO221)</f>
        <v>8.3573566016660514</v>
      </c>
      <c r="AR221" s="8">
        <f t="shared" si="326"/>
        <v>535.65484345622485</v>
      </c>
      <c r="AS221" s="8">
        <f>IF(_xlfn.XLOOKUP(E221,Groups!A:A,Groups!M:M)=1,EXP(0.7444*LN('Base stats'!C221)+6.5696),EXP(0.7927*LN('Base stats'!C221)+4.28))</f>
        <v>5353.3219353913164</v>
      </c>
      <c r="AT221" s="8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IF(_xlfn.XLOOKUP(E221,Groups!A:A,Groups!N:N)="Theropod",EXP(0.6966*LN(C221)+4.158)*S221,
"No"))))))))))))))))</f>
        <v>5353.3219353913164</v>
      </c>
      <c r="AU221" s="8">
        <f>IF(_xlfn.XLOOKUP(E221,Groups!A:A,Groups!U:U)=3,AS221,IF(_xlfn.XLOOKUP(E221,Groups!A:A,Groups!U:U)=2,AR221,AT221))</f>
        <v>5353.3219353913164</v>
      </c>
      <c r="AV221" s="46">
        <f>IFERROR(AVERAGE(_xlfn.XLOOKUP(B221,Animals!B:B,Animals!N:N),_xlfn.XLOOKUP(B221,Animals!B:B,Animals!O:O)),0)</f>
        <v>0.67500000000000004</v>
      </c>
      <c r="AW221" s="8">
        <f>MROUND(40*Animals!AO223*_xlfn.XLOOKUP(Animals!BB223,Leathers!$A$2:$A$99,Leathers!$B$2:$B$99,0)+(140*_xlfn.XLOOKUP(B221,Animals!B:B,Animals!AO:AO)*2),5)</f>
        <v>140</v>
      </c>
      <c r="AX221" s="8">
        <f>IFERROR(ROUND(SQRT(V221-1)*IF(_xlfn.XLOOKUP(E221,Groups!A:A,Groups!BF:BF)=0,2,1)*IF(_xlfn.XLOOKUP('Base stats'!E221,Groups!A:A,Groups!O:O)=0,1,0.1),1),0)</f>
        <v>2</v>
      </c>
      <c r="AY221" s="8">
        <f t="shared" si="327"/>
        <v>1.7</v>
      </c>
      <c r="AZ221" s="8">
        <f t="shared" si="328"/>
        <v>2</v>
      </c>
      <c r="BA221" s="8">
        <f t="shared" si="329"/>
        <v>2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0.93016054081951027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1.503594005422539</v>
      </c>
      <c r="BD221" s="8">
        <f t="shared" si="330"/>
        <v>0.37206421632780412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0.69054280580117122</v>
      </c>
      <c r="BF221" s="8">
        <f>(0.048*C221^1.01)/IF(_xlfn.XLOOKUP(E221,Groups!A:A,Groups!M:M)=1,0.25,0.8)*C221^-0.25</f>
        <v>1.503594005422539</v>
      </c>
      <c r="BG221" s="8">
        <f>EXP(1.076*LN(AR221)-4.5397)*IF(_xlfn.XLOOKUP(E221,Groups!A:A,Groups!BC:BC)=1,1.25,IF(_xlfn.XLOOKUP(E221,Groups!A:A,Groups!BD:BD)=1,3.5,2.5))</f>
        <v>11.524541402552655</v>
      </c>
      <c r="BH221" s="8">
        <f>EXP(1.076*LN(AS221)-4.5397)*IF(_xlfn.XLOOKUP(E221,Groups!A:A,Groups!M:M)=1,0.8,IF(_xlfn.XLOOKUP(E221,Groups!A:A,Groups!BC:BC)=1,1.3,3))</f>
        <v>87.805569597772788</v>
      </c>
      <c r="BI221" s="8">
        <f>IF(W221="No","No",IF(_xlfn.XLOOKUP(E221,Groups!A:A,Groups!U:U)=1,'Base stats'!BJ221,IF(OR(_xlfn.XLOOKUP(E221,Groups!A:A,Groups!BD:BD)=1,_xlfn.XLOOKUP(E221,Groups!A:A,Groups!U:U)=2),BG221,BH221))*1.2)</f>
        <v>105.36668351732735</v>
      </c>
      <c r="BJ221" s="8">
        <f>IFERROR(EXP(1.076*LN(AT221)-4.5397)*IF(_xlfn.XLOOKUP(E221,Groups!A:A,Groups!N:N)="Insect",1,IF(OR(_xlfn.XLOOKUP(E221,Groups!A:A,Groups!N:N)="Pig",_xlfn.XLOOKUP(E221,Groups!A:A,Groups!N:N)="StrongBitingHerbivore"),3.5,3.75)),"No")</f>
        <v>109.75696199721598</v>
      </c>
      <c r="BK221" s="8">
        <f t="shared" si="331"/>
        <v>7</v>
      </c>
      <c r="BL221" s="8">
        <f t="shared" si="332"/>
        <v>15</v>
      </c>
      <c r="BM221" s="8">
        <f t="shared" si="333"/>
        <v>11</v>
      </c>
      <c r="BN221" s="8">
        <f t="shared" si="334"/>
        <v>15</v>
      </c>
      <c r="BO221" s="8">
        <f t="shared" si="335"/>
        <v>10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4.4377582152222601E-3</v>
      </c>
      <c r="BQ221" s="8">
        <f>IF(W221="No","No",IF(_xlfn.XLOOKUP(E221,Groups!A:A,Groups!BD:BD)=1,(AO221*5%),EXP(0.7354*LN(C221)^0.4078)*2/IF(_xlfn.XLOOKUP(E221,Groups!A:A,Groups!BL:BL)=1,1000,100)))</f>
        <v>6.0322902005597199E-3</v>
      </c>
      <c r="BR221" s="8">
        <f>IF(BJ221="No","No",IF(_xlfn.XLOOKUP(E221,Groups!A:A,Groups!BF:BF)=1,(0.0315*C221+2.1825)*2,(0.7354*C221^0.4078)*2)/IF(_xlfn.XLOOKUP(E221,Groups!A:A,Groups!BM:BM)=1,1000,100))</f>
        <v>4.4377582152222601E-3</v>
      </c>
      <c r="BS221" s="8">
        <f t="shared" si="336"/>
        <v>3.5716702055374784E-2</v>
      </c>
      <c r="BT221" s="8">
        <f t="shared" si="337"/>
        <v>19786.019278063606</v>
      </c>
      <c r="BU221" s="8">
        <f t="shared" si="338"/>
        <v>17467.111165764316</v>
      </c>
      <c r="BV221" s="8">
        <f t="shared" si="339"/>
        <v>24732.52409757951</v>
      </c>
      <c r="BW221" s="4">
        <v>0</v>
      </c>
      <c r="BX221" s="4">
        <v>1</v>
      </c>
    </row>
    <row r="222" spans="1:76" s="16" customFormat="1" x14ac:dyDescent="0.25">
      <c r="A222" s="26" t="s">
        <v>1393</v>
      </c>
      <c r="B222" s="6" t="s">
        <v>1625</v>
      </c>
      <c r="C222" s="7">
        <v>20</v>
      </c>
      <c r="D222" s="7" t="s">
        <v>528</v>
      </c>
      <c r="E222" s="7" t="str">
        <f>Groups!$A$72</f>
        <v>Wasp</v>
      </c>
      <c r="F222" s="7" t="s">
        <v>1707</v>
      </c>
      <c r="G222" s="7">
        <v>1</v>
      </c>
      <c r="H222" s="7">
        <v>12</v>
      </c>
      <c r="I222" s="4">
        <v>1</v>
      </c>
      <c r="J222" s="7" t="s">
        <v>1707</v>
      </c>
      <c r="K222" s="7" t="s">
        <v>528</v>
      </c>
      <c r="L222" s="7">
        <v>24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6</v>
      </c>
      <c r="V222" s="7">
        <v>4</v>
      </c>
      <c r="W222" s="7">
        <v>6</v>
      </c>
      <c r="X222" s="7" t="s">
        <v>933</v>
      </c>
      <c r="Y222" s="4" t="s">
        <v>56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1719</v>
      </c>
      <c r="AH222" s="4" t="str">
        <f>Animals!$C$105</f>
        <v>&lt;li&gt;Megaspider&lt;/li&gt;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325"/>
        <v>7780.2307188855666</v>
      </c>
      <c r="AP222" s="8">
        <f>IFERROR(C222*_xlfn.XLOOKUP(E222,Groups!A:A,Groups!K:K),0.106*C222^0.94)</f>
        <v>6.4</v>
      </c>
      <c r="AQ222" s="8">
        <f>AP222*10000/(_xlfn.XLOOKUP(E222,Groups!A:A,Groups!J:J)*AO222)</f>
        <v>9.242670938407711</v>
      </c>
      <c r="AR222" s="8">
        <f t="shared" si="326"/>
        <v>683.0001310678939</v>
      </c>
      <c r="AS222" s="8">
        <f>IF(_xlfn.XLOOKUP(E222,Groups!A:A,Groups!M:M)=1,EXP(0.7444*LN('Base stats'!C222)+6.5696),EXP(0.7927*LN('Base stats'!C222)+4.28))</f>
        <v>6631.7440602643219</v>
      </c>
      <c r="AT222" s="8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IF(_xlfn.XLOOKUP(E222,Groups!A:A,Groups!N:N)="Theropod",EXP(0.6966*LN(C222)+4.158)*S222,
"No"))))))))))))))))</f>
        <v>6631.7440602643219</v>
      </c>
      <c r="AU222" s="8">
        <f>IF(_xlfn.XLOOKUP(E222,Groups!A:A,Groups!U:U)=3,AS222,IF(_xlfn.XLOOKUP(E222,Groups!A:A,Groups!U:U)=2,AR222,AT222))</f>
        <v>6631.7440602643219</v>
      </c>
      <c r="AV222" s="46">
        <f>IFERROR(AVERAGE(_xlfn.XLOOKUP(B222,Animals!B:B,Animals!N:N),_xlfn.XLOOKUP(B222,Animals!B:B,Animals!O:O)),0)</f>
        <v>0.70000000000000007</v>
      </c>
      <c r="AW222" s="8">
        <f>MROUND(40*Animals!AO224*_xlfn.XLOOKUP(Animals!BB224,Leathers!$A$2:$A$99,Leathers!$B$2:$B$99,0)+(140*_xlfn.XLOOKUP(B222,Animals!B:B,Animals!AO:AO)*2),5)</f>
        <v>155</v>
      </c>
      <c r="AX222" s="8">
        <f>IFERROR(ROUND(SQRT(V222-1)*IF(_xlfn.XLOOKUP(E222,Groups!A:A,Groups!BF:BF)=0,2,1)*IF(_xlfn.XLOOKUP('Base stats'!E222,Groups!A:A,Groups!O:O)=0,1,0.1),1),0)</f>
        <v>3.5</v>
      </c>
      <c r="AY222" s="8">
        <f t="shared" si="327"/>
        <v>2.2000000000000002</v>
      </c>
      <c r="AZ222" s="8">
        <f t="shared" si="328"/>
        <v>2.4</v>
      </c>
      <c r="BA222" s="8">
        <f t="shared" si="329"/>
        <v>2.2999999999999998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1.1813592933442334</v>
      </c>
      <c r="BC222" s="8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1.8710441068278683</v>
      </c>
      <c r="BD222" s="8">
        <f t="shared" si="330"/>
        <v>0.4725437173376934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0.8642568285608353</v>
      </c>
      <c r="BF222" s="8">
        <f>(0.048*C222^1.01)/IF(_xlfn.XLOOKUP(E222,Groups!A:A,Groups!M:M)=1,0.25,0.8)*C222^-0.25</f>
        <v>1.8710441068278683</v>
      </c>
      <c r="BG222" s="8">
        <f>EXP(1.076*LN(AR222)-4.5397)*IF(_xlfn.XLOOKUP(E222,Groups!A:A,Groups!BC:BC)=1,1.25,IF(_xlfn.XLOOKUP(E222,Groups!A:A,Groups!BD:BD)=1,3.5,2.5))</f>
        <v>14.968563372073916</v>
      </c>
      <c r="BH222" s="8">
        <f>EXP(1.076*LN(AS222)-4.5397)*IF(_xlfn.XLOOKUP(E222,Groups!A:A,Groups!M:M)=1,0.8,IF(_xlfn.XLOOKUP(E222,Groups!A:A,Groups!BC:BC)=1,1.3,3))</f>
        <v>110.55917622459702</v>
      </c>
      <c r="BI222" s="8">
        <f>IF(W222="No","No",IF(_xlfn.XLOOKUP(E222,Groups!A:A,Groups!U:U)=1,'Base stats'!BJ222,IF(OR(_xlfn.XLOOKUP(E222,Groups!A:A,Groups!BD:BD)=1,_xlfn.XLOOKUP(E222,Groups!A:A,Groups!U:U)=2),BG222,BH222))*1.2)</f>
        <v>132.67101146951643</v>
      </c>
      <c r="BJ222" s="8">
        <f>IFERROR(EXP(1.076*LN(AT222)-4.5397)*IF(_xlfn.XLOOKUP(E222,Groups!A:A,Groups!N:N)="Insect",1,IF(OR(_xlfn.XLOOKUP(E222,Groups!A:A,Groups!N:N)="Pig",_xlfn.XLOOKUP(E222,Groups!A:A,Groups!N:N)="StrongBitingHerbivore"),3.5,3.75)),"No")</f>
        <v>138.19897028074627</v>
      </c>
      <c r="BK222" s="8">
        <f t="shared" si="331"/>
        <v>7</v>
      </c>
      <c r="BL222" s="8">
        <f t="shared" si="332"/>
        <v>15</v>
      </c>
      <c r="BM222" s="8">
        <f t="shared" si="333"/>
        <v>11</v>
      </c>
      <c r="BN222" s="8">
        <f t="shared" si="334"/>
        <v>15</v>
      </c>
      <c r="BO222" s="8">
        <f t="shared" si="335"/>
        <v>10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4.9901506096388087E-3</v>
      </c>
      <c r="BQ222" s="8">
        <f>IF(W222="No","No",IF(_xlfn.XLOOKUP(E222,Groups!A:A,Groups!BD:BD)=1,(AO222*5%),EXP(0.7354*LN(C222)^0.4078)*2/IF(_xlfn.XLOOKUP(E222,Groups!A:A,Groups!BL:BL)=1,1000,100)))</f>
        <v>6.3187902770166955E-3</v>
      </c>
      <c r="BR222" s="8">
        <f>IF(BJ222="No","No",IF(_xlfn.XLOOKUP(E222,Groups!A:A,Groups!BF:BF)=1,(0.0315*C222+2.1825)*2,(0.7354*C222^0.4078)*2)/IF(_xlfn.XLOOKUP(E222,Groups!A:A,Groups!BM:BM)=1,1000,100))</f>
        <v>4.9901506096388087E-3</v>
      </c>
      <c r="BS222" s="8">
        <f t="shared" si="336"/>
        <v>3.8478456264129914E-2</v>
      </c>
      <c r="BT222" s="8">
        <f t="shared" si="337"/>
        <v>22155.478836860075</v>
      </c>
      <c r="BU222" s="8">
        <f t="shared" si="338"/>
        <v>20996.267584964804</v>
      </c>
      <c r="BV222" s="8">
        <f t="shared" si="339"/>
        <v>27694.348546075089</v>
      </c>
      <c r="BW222" s="4">
        <v>0</v>
      </c>
      <c r="BX222" s="4">
        <v>1</v>
      </c>
    </row>
    <row r="223" spans="1:76" s="16" customFormat="1" x14ac:dyDescent="0.25">
      <c r="A223" s="26" t="s">
        <v>1395</v>
      </c>
      <c r="B223" s="6" t="s">
        <v>1626</v>
      </c>
      <c r="C223" s="7">
        <v>35</v>
      </c>
      <c r="D223" s="7" t="s">
        <v>528</v>
      </c>
      <c r="E223" s="7" t="str">
        <f>Groups!$A$72</f>
        <v>Wasp</v>
      </c>
      <c r="F223" s="7" t="str">
        <f t="shared" ref="F223" si="340">"Lay eggs"</f>
        <v>Lay eggs</v>
      </c>
      <c r="G223" s="7">
        <v>1</v>
      </c>
      <c r="H223" s="7">
        <v>12</v>
      </c>
      <c r="I223" s="4">
        <v>1</v>
      </c>
      <c r="J223" s="7" t="str">
        <f t="shared" ref="J223" si="341">"Lay eggs"</f>
        <v>Lay eggs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7</v>
      </c>
      <c r="V223" s="7">
        <v>5</v>
      </c>
      <c r="W223" s="7">
        <v>7</v>
      </c>
      <c r="X223" s="7" t="s">
        <v>933</v>
      </c>
      <c r="Y223" s="4" t="s">
        <v>56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1719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325"/>
        <v>11193.533609727016</v>
      </c>
      <c r="AP223" s="8">
        <f>IFERROR(C223*_xlfn.XLOOKUP(E223,Groups!A:A,Groups!K:K),0.106*C223^0.94)</f>
        <v>11.200000000000001</v>
      </c>
      <c r="AQ223" s="8">
        <f>AP223*10000/(_xlfn.XLOOKUP(E223,Groups!A:A,Groups!J:J)*AO223)</f>
        <v>11.242445952889984</v>
      </c>
      <c r="AR223" s="8">
        <f t="shared" si="326"/>
        <v>1095.7589503868378</v>
      </c>
      <c r="AS223" s="8">
        <f>IF(_xlfn.XLOOKUP(E223,Groups!A:A,Groups!M:M)=1,EXP(0.7444*LN('Base stats'!C223)+6.5696),EXP(0.7927*LN('Base stats'!C223)+4.28))</f>
        <v>10058.779326452872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IF(_xlfn.XLOOKUP(E223,Groups!A:A,Groups!N:N)="Theropod",EXP(0.6966*LN(C223)+4.158)*S223,
"No"))))))))))))))))</f>
        <v>10058.779326452872</v>
      </c>
      <c r="AU223" s="8">
        <f>IF(_xlfn.XLOOKUP(E223,Groups!A:A,Groups!U:U)=3,AS223,IF(_xlfn.XLOOKUP(E223,Groups!A:A,Groups!U:U)=2,AR223,AT223))</f>
        <v>10058.779326452872</v>
      </c>
      <c r="AV223" s="46">
        <f>IFERROR(AVERAGE(_xlfn.XLOOKUP(B223,Animals!B:B,Animals!N:N),_xlfn.XLOOKUP(B223,Animals!B:B,Animals!O:O)),0)</f>
        <v>0.75</v>
      </c>
      <c r="AW223" s="8">
        <f>MROUND(40*Animals!AO225*_xlfn.XLOOKUP(Animals!BB225,Leathers!$A$2:$A$99,Leathers!$B$2:$B$99,0)+(140*_xlfn.XLOOKUP(B223,Animals!B:B,Animals!AO:AO)*2),5)</f>
        <v>210</v>
      </c>
      <c r="AX223" s="8">
        <f>IFERROR(ROUND(SQRT(V223-1)*IF(_xlfn.XLOOKUP(E223,Groups!A:A,Groups!BF:BF)=0,2,1)*IF(_xlfn.XLOOKUP('Base stats'!E223,Groups!A:A,Groups!O:O)=0,1,0.1),1),0)</f>
        <v>4</v>
      </c>
      <c r="AY223" s="8">
        <f t="shared" si="327"/>
        <v>2.4</v>
      </c>
      <c r="AZ223" s="8">
        <f t="shared" si="328"/>
        <v>2.6</v>
      </c>
      <c r="BA223" s="8">
        <f t="shared" si="329"/>
        <v>2.9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1.8808173420761245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2.8628127477770291</v>
      </c>
      <c r="BD223" s="8">
        <f t="shared" si="330"/>
        <v>0.75232693683044982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1.3372496644699405</v>
      </c>
      <c r="BF223" s="8">
        <f>(0.048*C223^1.01)/IF(_xlfn.XLOOKUP(E223,Groups!A:A,Groups!M:M)=1,0.25,0.8)*C223^-0.25</f>
        <v>2.8628127477770291</v>
      </c>
      <c r="BG223" s="8">
        <f>EXP(1.076*LN(AR223)-4.5397)*IF(_xlfn.XLOOKUP(E223,Groups!A:A,Groups!BC:BC)=1,1.25,IF(_xlfn.XLOOKUP(E223,Groups!A:A,Groups!BD:BD)=1,3.5,2.5))</f>
        <v>24.892970376789926</v>
      </c>
      <c r="BH223" s="8">
        <f>EXP(1.076*LN(AS223)-4.5397)*IF(_xlfn.XLOOKUP(E223,Groups!A:A,Groups!M:M)=1,0.8,IF(_xlfn.XLOOKUP(E223,Groups!A:A,Groups!BC:BC)=1,1.3,3))</f>
        <v>173.08604296379735</v>
      </c>
      <c r="BI223" s="8">
        <f>IF(W223="No","No",IF(_xlfn.XLOOKUP(E223,Groups!A:A,Groups!U:U)=1,'Base stats'!BJ223,IF(OR(_xlfn.XLOOKUP(E223,Groups!A:A,Groups!BD:BD)=1,_xlfn.XLOOKUP(E223,Groups!A:A,Groups!U:U)=2),BG223,BH223))*1.2)</f>
        <v>207.70325155655681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216.35755370474666</v>
      </c>
      <c r="BK223" s="8">
        <f t="shared" si="331"/>
        <v>8</v>
      </c>
      <c r="BL223" s="8">
        <f t="shared" si="332"/>
        <v>16</v>
      </c>
      <c r="BM223" s="8">
        <f t="shared" si="333"/>
        <v>12</v>
      </c>
      <c r="BN223" s="8">
        <f t="shared" si="334"/>
        <v>15</v>
      </c>
      <c r="BO223" s="8">
        <f t="shared" si="335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6.2693796472684154E-3</v>
      </c>
      <c r="BQ223" s="8">
        <f>IF(W223="No","No",IF(_xlfn.XLOOKUP(E223,Groups!A:A,Groups!BD:BD)=1,(AO223*5%),EXP(0.7354*LN(C223)^0.4078)*2/IF(_xlfn.XLOOKUP(E223,Groups!A:A,Groups!BL:BL)=1,1000,100)))</f>
        <v>6.8671167118340192E-3</v>
      </c>
      <c r="BR223" s="8">
        <f>IF(BJ223="No","No",IF(_xlfn.XLOOKUP(E223,Groups!A:A,Groups!BF:BF)=1,(0.0315*C223+2.1825)*2,(0.7354*C223^0.4078)*2)/IF(_xlfn.XLOOKUP(E223,Groups!A:A,Groups!BM:BM)=1,1000,100))</f>
        <v>6.2693796472684154E-3</v>
      </c>
      <c r="BS223" s="8">
        <f t="shared" si="336"/>
        <v>4.447741212865667E-2</v>
      </c>
      <c r="BT223" s="8">
        <f t="shared" si="337"/>
        <v>27608.161046557674</v>
      </c>
      <c r="BU223" s="8">
        <f t="shared" si="338"/>
        <v>30246.063999265414</v>
      </c>
      <c r="BV223" s="8">
        <f t="shared" si="339"/>
        <v>34510.201308197087</v>
      </c>
      <c r="BW223" s="4">
        <v>0</v>
      </c>
      <c r="BX223" s="4">
        <v>1</v>
      </c>
    </row>
    <row r="224" spans="1:76" s="16" customFormat="1" x14ac:dyDescent="0.25">
      <c r="A224" s="26" t="s">
        <v>1369</v>
      </c>
      <c r="B224" s="6" t="s">
        <v>1621</v>
      </c>
      <c r="C224" s="7">
        <v>75</v>
      </c>
      <c r="D224" s="7" t="s">
        <v>528</v>
      </c>
      <c r="E224" s="7" t="str">
        <f>Groups!$A$76</f>
        <v>Scorpion</v>
      </c>
      <c r="F224" s="7">
        <v>65</v>
      </c>
      <c r="G224" s="7">
        <v>3</v>
      </c>
      <c r="H224" s="7">
        <v>10</v>
      </c>
      <c r="I224" s="4">
        <v>0</v>
      </c>
      <c r="J224" s="7">
        <v>5</v>
      </c>
      <c r="K224" s="7" t="s">
        <v>528</v>
      </c>
      <c r="L224" s="7">
        <v>23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>
        <v>1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9</v>
      </c>
      <c r="V224" s="7">
        <v>3</v>
      </c>
      <c r="W224" s="7">
        <v>9</v>
      </c>
      <c r="X224" s="7" t="s">
        <v>933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1050</v>
      </c>
      <c r="AF224" s="4" t="s">
        <v>45</v>
      </c>
      <c r="AG224" s="28" t="s">
        <v>1719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1</v>
      </c>
      <c r="AN224" s="44" t="s">
        <v>40</v>
      </c>
      <c r="AO224" s="8">
        <f t="shared" si="325"/>
        <v>18370.154123032575</v>
      </c>
      <c r="AP224" s="8">
        <f>IFERROR(C224*_xlfn.XLOOKUP(E224,Groups!A:A,Groups!K:K),0.106*C224^0.94)</f>
        <v>24</v>
      </c>
      <c r="AQ224" s="8">
        <f>AP224*10000/(_xlfn.XLOOKUP(E224,Groups!A:A,Groups!J:J)*AO224)</f>
        <v>10.887224933471799</v>
      </c>
      <c r="AR224" s="8">
        <f t="shared" si="326"/>
        <v>2085.9553057247513</v>
      </c>
      <c r="AS224" s="8">
        <f>IF(_xlfn.XLOOKUP(E224,Groups!A:A,Groups!M:M)=1,EXP(0.7444*LN('Base stats'!C224)+6.5696),EXP(0.7927*LN('Base stats'!C224)+4.28))</f>
        <v>17739.306305992966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IF(_xlfn.XLOOKUP(E224,Groups!A:A,Groups!N:N)="Theropod",EXP(0.6966*LN(C224)+4.158)*S224,
"No"))))))))))))))))</f>
        <v>17739.306305992966</v>
      </c>
      <c r="AU224" s="8">
        <f>IF(_xlfn.XLOOKUP(E224,Groups!A:A,Groups!U:U)=3,AS224,IF(_xlfn.XLOOKUP(E224,Groups!A:A,Groups!U:U)=2,AR224,AT224))</f>
        <v>17739.306305992966</v>
      </c>
      <c r="AV224" s="46">
        <f>IFERROR(AVERAGE(_xlfn.XLOOKUP(B224,Animals!B:B,Animals!N:N),_xlfn.XLOOKUP(B224,Animals!B:B,Animals!O:O)),0)</f>
        <v>0.35000000000000003</v>
      </c>
      <c r="AW224" s="8">
        <f>MROUND(40*Animals!AO211*_xlfn.XLOOKUP(Animals!BB211,Leathers!$A$2:$A$99,Leathers!$B$2:$B$99,0)+(140*_xlfn.XLOOKUP(B224,Animals!B:B,Animals!AO:AO)*2),5)</f>
        <v>295</v>
      </c>
      <c r="AX224" s="8">
        <f>IFERROR(ROUND(SQRT(V224-1)*IF(_xlfn.XLOOKUP(E224,Groups!A:A,Groups!BF:BF)=0,2,1)*IF(_xlfn.XLOOKUP('Base stats'!E224,Groups!A:A,Groups!O:O)=0,1,0.1),1),0)</f>
        <v>2.8</v>
      </c>
      <c r="AY224" s="8">
        <f t="shared" si="327"/>
        <v>2.8</v>
      </c>
      <c r="AZ224" s="8">
        <f t="shared" si="328"/>
        <v>3</v>
      </c>
      <c r="BA224" s="8">
        <f t="shared" si="329"/>
        <v>3.8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3.5432515483021945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5.1091398300557112</v>
      </c>
      <c r="BD224" s="8">
        <f t="shared" si="330"/>
        <v>1.4173006193208777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2.4231885513384861</v>
      </c>
      <c r="BF224" s="8">
        <f>(0.048*C224^1.01)/IF(_xlfn.XLOOKUP(E224,Groups!A:A,Groups!M:M)=1,0.25,0.8)*C224^-0.25</f>
        <v>5.1091398300557112</v>
      </c>
      <c r="BG224" s="8">
        <f>EXP(1.076*LN(AR224)-4.5397)*IF(_xlfn.XLOOKUP(E224,Groups!A:A,Groups!BC:BC)=1,1.25,IF(_xlfn.XLOOKUP(E224,Groups!A:A,Groups!BD:BD)=1,3.5,2.5))</f>
        <v>49.764028748093814</v>
      </c>
      <c r="BH224" s="8">
        <f>EXP(1.076*LN(AS224)-4.5397)*IF(_xlfn.XLOOKUP(E224,Groups!A:A,Groups!M:M)=1,0.8,IF(_xlfn.XLOOKUP(E224,Groups!A:A,Groups!BC:BC)=1,1.3,3))</f>
        <v>318.69785786813804</v>
      </c>
      <c r="BI224" s="8">
        <f>IF(W224="No","No",IF(_xlfn.XLOOKUP(E224,Groups!A:A,Groups!U:U)=1,'Base stats'!BJ224,IF(OR(_xlfn.XLOOKUP(E224,Groups!A:A,Groups!BD:BD)=1,_xlfn.XLOOKUP(E224,Groups!A:A,Groups!U:U)=2),BG224,BH224))*1.2)</f>
        <v>382.43742944176563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398.37232233517256</v>
      </c>
      <c r="BK224" s="8">
        <f t="shared" si="331"/>
        <v>8</v>
      </c>
      <c r="BL224" s="8">
        <f t="shared" si="332"/>
        <v>16</v>
      </c>
      <c r="BM224" s="8">
        <f t="shared" si="333"/>
        <v>12</v>
      </c>
      <c r="BN224" s="8">
        <f t="shared" si="334"/>
        <v>14</v>
      </c>
      <c r="BO224" s="8">
        <f t="shared" si="335"/>
        <v>11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8.5546767622836379E-3</v>
      </c>
      <c r="BQ224" s="8">
        <f>IF(W224="No","No",IF(_xlfn.XLOOKUP(E224,Groups!A:A,Groups!BD:BD)=1,(AO224*5%),EXP(0.7354*LN(C224)^0.4078)*2/IF(_xlfn.XLOOKUP(E224,Groups!A:A,Groups!BL:BL)=1,1000,100)))</f>
        <v>7.6020861711933743E-2</v>
      </c>
      <c r="BR224" s="8">
        <f>IF(BJ224="No","No",IF(_xlfn.XLOOKUP(E224,Groups!A:A,Groups!BF:BF)=1,(0.0315*C224+2.1825)*2,(0.7354*C224^0.4078)*2)/IF(_xlfn.XLOOKUP(E224,Groups!A:A,Groups!BM:BM)=1,1000,100))</f>
        <v>8.5546767622836375E-2</v>
      </c>
      <c r="BS224" s="8">
        <f t="shared" si="336"/>
        <v>5.4179217457625432E-2</v>
      </c>
      <c r="BT224" s="8">
        <f t="shared" si="337"/>
        <v>37254.225580238388</v>
      </c>
      <c r="BU224" s="8">
        <f t="shared" si="338"/>
        <v>5030.6905345395562</v>
      </c>
      <c r="BV224" s="8">
        <f t="shared" si="339"/>
        <v>4656.7781975297994</v>
      </c>
      <c r="BW224" s="4">
        <v>0</v>
      </c>
      <c r="BX224" s="4">
        <v>1</v>
      </c>
    </row>
    <row r="225" spans="1:76" s="16" customFormat="1" x14ac:dyDescent="0.25">
      <c r="A225" s="26" t="s">
        <v>1401</v>
      </c>
      <c r="B225" s="6" t="s">
        <v>1629</v>
      </c>
      <c r="C225" s="7">
        <v>250</v>
      </c>
      <c r="D225" s="7" t="s">
        <v>528</v>
      </c>
      <c r="E225" s="7" t="str">
        <f>Groups!$A$81</f>
        <v>Beetle (ROAMER)</v>
      </c>
      <c r="F225" s="7">
        <v>150</v>
      </c>
      <c r="G225" s="7">
        <v>4</v>
      </c>
      <c r="H225" s="7">
        <v>10</v>
      </c>
      <c r="I225" s="4">
        <v>1</v>
      </c>
      <c r="J225" s="7">
        <v>1</v>
      </c>
      <c r="K225" s="7" t="s">
        <v>528</v>
      </c>
      <c r="L225" s="7">
        <v>25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 t="str">
        <f>IF(OR(_xlfn.XLOOKUP(E225,Groups!A:A,Groups!P:P)=1,_xlfn.XLOOKUP(E225,Groups!A:A,Groups!AD:AD)=1),"Need a formula","No")</f>
        <v>No</v>
      </c>
      <c r="V225" s="7">
        <v>12</v>
      </c>
      <c r="W225" s="7" t="str">
        <f>IF(_xlfn.XLOOKUP(E225,Groups!A:A,Groups!V:V)&lt;&gt;"No","Need a formula","No")</f>
        <v>No</v>
      </c>
      <c r="X225" s="7" t="s">
        <v>933</v>
      </c>
      <c r="Y225" s="4" t="s">
        <v>1008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1719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1</v>
      </c>
      <c r="AL225" s="4">
        <v>0</v>
      </c>
      <c r="AM225" s="4">
        <v>1</v>
      </c>
      <c r="AN225" s="44" t="s">
        <v>40</v>
      </c>
      <c r="AO225" s="8">
        <f t="shared" si="325"/>
        <v>40177.59941909022</v>
      </c>
      <c r="AP225" s="8">
        <f>IFERROR(C225*_xlfn.XLOOKUP(E225,Groups!A:A,Groups!K:K),0.106*C225^0.94)</f>
        <v>80</v>
      </c>
      <c r="AQ225" s="8">
        <f>AP225*10000/(_xlfn.XLOOKUP(E225,Groups!A:A,Groups!J:J)*AO225)</f>
        <v>16.592994014219347</v>
      </c>
      <c r="AR225" s="8">
        <f t="shared" si="326"/>
        <v>5767.4079933655148</v>
      </c>
      <c r="AS225" s="8">
        <f>IF(_xlfn.XLOOKUP(E225,Groups!A:A,Groups!M:M)=1,EXP(0.7444*LN('Base stats'!C225)+6.5696),EXP(0.7927*LN('Base stats'!C225)+4.28))</f>
        <v>43467.791053039065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IF(_xlfn.XLOOKUP(E225,Groups!A:A,Groups!N:N)="Theropod",EXP(0.6966*LN(C225)+4.158)*S225,
"No"))))))))))))))))</f>
        <v>43467.791053039065</v>
      </c>
      <c r="AU225" s="8">
        <f>IF(_xlfn.XLOOKUP(E225,Groups!A:A,Groups!U:U)=3,AS225,IF(_xlfn.XLOOKUP(E225,Groups!A:A,Groups!U:U)=2,AR225,AT225))</f>
        <v>43467.791053039065</v>
      </c>
      <c r="AV225" s="46">
        <f>IFERROR(AVERAGE(_xlfn.XLOOKUP(B225,Animals!B:B,Animals!N:N),_xlfn.XLOOKUP(B225,Animals!B:B,Animals!O:O)),0)</f>
        <v>0.47500000000000003</v>
      </c>
      <c r="AW225" s="8">
        <f>MROUND(40*Animals!AO228*_xlfn.XLOOKUP(Animals!BB228,Leathers!$A$2:$A$99,Leathers!$B$2:$B$99,0)+(140*_xlfn.XLOOKUP(B225,Animals!B:B,Animals!AO:AO)*2),5)</f>
        <v>590</v>
      </c>
      <c r="AX225" s="8">
        <f>IFERROR(ROUND(SQRT(V225-1)*IF(_xlfn.XLOOKUP(E225,Groups!A:A,Groups!BF:BF)=0,2,1)*IF(_xlfn.XLOOKUP('Base stats'!E225,Groups!A:A,Groups!O:O)=0,1,0.1),1),0)</f>
        <v>6.6</v>
      </c>
      <c r="AY225" s="8">
        <f t="shared" si="327"/>
        <v>0</v>
      </c>
      <c r="AZ225" s="8">
        <f t="shared" si="328"/>
        <v>0</v>
      </c>
      <c r="BA225" s="8">
        <f t="shared" si="329"/>
        <v>5.8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6.2990178962199987</v>
      </c>
      <c r="BC225" s="8" t="str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No</v>
      </c>
      <c r="BD225" s="8">
        <f t="shared" si="330"/>
        <v>2.5196071584879993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6.1977296746955153</v>
      </c>
      <c r="BF225" s="8">
        <f>(0.048*C225^1.01)/IF(_xlfn.XLOOKUP(E225,Groups!A:A,Groups!M:M)=1,0.25,0.8)*C225^-0.25</f>
        <v>12.756620485721925</v>
      </c>
      <c r="BG225" s="8">
        <f>EXP(1.076*LN(AR225)-4.5397)*IF(_xlfn.XLOOKUP(E225,Groups!A:A,Groups!BC:BC)=1,1.25,IF(_xlfn.XLOOKUP(E225,Groups!A:A,Groups!BD:BD)=1,3.5,2.5))</f>
        <v>148.64782527005457</v>
      </c>
      <c r="BH225" s="8">
        <f>EXP(1.076*LN(AS225)-4.5397)*IF(_xlfn.XLOOKUP(E225,Groups!A:A,Groups!M:M)=1,0.8,IF(_xlfn.XLOOKUP(E225,Groups!A:A,Groups!BC:BC)=1,1.3,3))</f>
        <v>835.97181173337106</v>
      </c>
      <c r="BI225" s="8" t="str">
        <f>IF(W225="No","No",IF(_xlfn.XLOOKUP(E225,Groups!A:A,Groups!U:U)=1,'Base stats'!BJ225,IF(OR(_xlfn.XLOOKUP(E225,Groups!A:A,Groups!BD:BD)=1,_xlfn.XLOOKUP(E225,Groups!A:A,Groups!U:U)=2),BG225,BH225))*1.2)</f>
        <v>No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1044.9647646667138</v>
      </c>
      <c r="BK225" s="8">
        <f t="shared" si="331"/>
        <v>10</v>
      </c>
      <c r="BL225" s="8">
        <f t="shared" si="332"/>
        <v>16</v>
      </c>
      <c r="BM225" s="8" t="str">
        <f t="shared" si="333"/>
        <v>No</v>
      </c>
      <c r="BN225" s="8">
        <f t="shared" si="334"/>
        <v>18</v>
      </c>
      <c r="BO225" s="8">
        <f t="shared" si="335"/>
        <v>11</v>
      </c>
      <c r="BP225" s="8" t="str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No</v>
      </c>
      <c r="BQ225" s="8" t="str">
        <f>IF(W225="No","No",IF(_xlfn.XLOOKUP(E225,Groups!A:A,Groups!BD:BD)=1,(AO225*5%),EXP(0.7354*LN(C225)^0.4078)*2/IF(_xlfn.XLOOKUP(E225,Groups!A:A,Groups!BL:BL)=1,1000,100)))</f>
        <v>No</v>
      </c>
      <c r="BR225" s="8">
        <f>IF(BJ225="No","No",IF(_xlfn.XLOOKUP(E225,Groups!A:A,Groups!BF:BF)=1,(0.0315*C225+2.1825)*2,(0.7354*C225^0.4078)*2)/IF(_xlfn.XLOOKUP(E225,Groups!A:A,Groups!BM:BM)=1,1000,100))</f>
        <v>0.13977630534113397</v>
      </c>
      <c r="BS225" s="8">
        <f t="shared" si="336"/>
        <v>7.3995374247982151E-2</v>
      </c>
      <c r="BT225" s="8" t="str">
        <f t="shared" si="337"/>
        <v>No</v>
      </c>
      <c r="BU225" s="8" t="str">
        <f t="shared" si="338"/>
        <v>No</v>
      </c>
      <c r="BV225" s="8">
        <f t="shared" si="339"/>
        <v>7475.9792950343281</v>
      </c>
      <c r="BW225" s="4">
        <v>0</v>
      </c>
      <c r="BX225" s="4">
        <v>1</v>
      </c>
    </row>
    <row r="226" spans="1:76" s="16" customFormat="1" x14ac:dyDescent="0.25">
      <c r="A226" s="26" t="s">
        <v>1371</v>
      </c>
      <c r="B226" s="6" t="s">
        <v>1622</v>
      </c>
      <c r="C226" s="7">
        <v>40</v>
      </c>
      <c r="D226" s="7" t="s">
        <v>528</v>
      </c>
      <c r="E226" s="7" t="str">
        <f>Groups!$A$83</f>
        <v>Beetle (PARALYSIS)</v>
      </c>
      <c r="F226" s="7" t="str">
        <f t="shared" ref="F226" si="342">"Lay eggs"</f>
        <v>Lay eggs</v>
      </c>
      <c r="G226" s="7">
        <v>2</v>
      </c>
      <c r="H226" s="7">
        <v>10</v>
      </c>
      <c r="I226" s="4">
        <v>0</v>
      </c>
      <c r="J226" s="7" t="str">
        <f t="shared" ref="J226" si="343">"Lay eggs"</f>
        <v>Lay eggs</v>
      </c>
      <c r="K226" s="7" t="s">
        <v>528</v>
      </c>
      <c r="L226" s="7">
        <v>24</v>
      </c>
      <c r="M226" s="7" t="s">
        <v>528</v>
      </c>
      <c r="N226" s="4">
        <v>0</v>
      </c>
      <c r="O226" s="4">
        <v>0</v>
      </c>
      <c r="P226" s="4">
        <v>0</v>
      </c>
      <c r="Q226" s="4">
        <v>0</v>
      </c>
      <c r="R226" s="4">
        <v>1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</v>
      </c>
      <c r="W226" s="7" t="s">
        <v>45</v>
      </c>
      <c r="X226" s="7" t="s">
        <v>933</v>
      </c>
      <c r="Y226" s="4" t="s">
        <v>53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1719</v>
      </c>
      <c r="AH226" s="4" t="str">
        <f>Animals!$C$105</f>
        <v>&lt;li&gt;Megaspider&lt;/li&gt;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325"/>
        <v>12208.490600010842</v>
      </c>
      <c r="AP226" s="8">
        <f>IFERROR(C226*_xlfn.XLOOKUP(E226,Groups!A:A,Groups!K:K),0.106*C226^0.94)</f>
        <v>12.8</v>
      </c>
      <c r="AQ226" s="8">
        <f>AP226*10000/(_xlfn.XLOOKUP(E226,Groups!A:A,Groups!J:J)*AO226)</f>
        <v>8.737088814777147</v>
      </c>
      <c r="AR226" s="8">
        <f t="shared" si="326"/>
        <v>1226.5939672257964</v>
      </c>
      <c r="AS226" s="8">
        <f>IF(_xlfn.XLOOKUP(E226,Groups!A:A,Groups!M:M)=1,EXP(0.7444*LN('Base stats'!C226)+6.5696),EXP(0.7927*LN('Base stats'!C226)+4.28))</f>
        <v>11110.010921232448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IF(_xlfn.XLOOKUP(E226,Groups!A:A,Groups!N:N)="Theropod",EXP(0.6966*LN(C226)+4.158)*S226,
"No"))))))))))))))))</f>
        <v>11110.010921232448</v>
      </c>
      <c r="AU226" s="8">
        <f>IF(_xlfn.XLOOKUP(E226,Groups!A:A,Groups!U:U)=3,AS226,IF(_xlfn.XLOOKUP(E226,Groups!A:A,Groups!U:U)=2,AR226,AT226))</f>
        <v>11110.010921232448</v>
      </c>
      <c r="AV226" s="46">
        <f>IFERROR(AVERAGE(_xlfn.XLOOKUP(B226,Animals!B:B,Animals!N:N),_xlfn.XLOOKUP(B226,Animals!B:B,Animals!O:O)),0)</f>
        <v>0.27500000000000002</v>
      </c>
      <c r="AW226" s="8">
        <f>MROUND(40*Animals!AO212*_xlfn.XLOOKUP(Animals!BB212,Leathers!$A$2:$A$99,Leathers!$B$2:$B$99,0)+(140*_xlfn.XLOOKUP(B226,Animals!B:B,Animals!AO:AO)*2),5)</f>
        <v>225</v>
      </c>
      <c r="AX226" s="8">
        <f>IFERROR(ROUND(SQRT(V226-1)*IF(_xlfn.XLOOKUP(E226,Groups!A:A,Groups!BF:BF)=0,2,1)*IF(_xlfn.XLOOKUP('Base stats'!E226,Groups!A:A,Groups!O:O)=0,1,0.1),1),0)</f>
        <v>3.5</v>
      </c>
      <c r="AY226" s="8">
        <f t="shared" si="327"/>
        <v>0</v>
      </c>
      <c r="AZ226" s="8">
        <f t="shared" si="328"/>
        <v>0</v>
      </c>
      <c r="BA226" s="8">
        <f t="shared" si="329"/>
        <v>3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2.101541296129207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330"/>
        <v>0.84061651845168284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1.4840420824152849</v>
      </c>
      <c r="BF226" s="8">
        <f>(0.048*C226^1.01)/IF(_xlfn.XLOOKUP(E226,Groups!A:A,Groups!M:M)=1,0.25,0.8)*C226^-0.25</f>
        <v>3.1685956533600574</v>
      </c>
      <c r="BG226" s="8">
        <f>EXP(1.076*LN(AR226)-4.5397)*IF(_xlfn.XLOOKUP(E226,Groups!A:A,Groups!BC:BC)=1,1.25,IF(_xlfn.XLOOKUP(E226,Groups!A:A,Groups!BD:BD)=1,3.5,2.5))</f>
        <v>28.105119779320624</v>
      </c>
      <c r="BH226" s="8">
        <f>EXP(1.076*LN(AS226)-4.5397)*IF(_xlfn.XLOOKUP(E226,Groups!A:A,Groups!M:M)=1,0.8,IF(_xlfn.XLOOKUP(E226,Groups!A:A,Groups!BC:BC)=1,1.3,3))</f>
        <v>192.62476162223132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240.78095202778914</v>
      </c>
      <c r="BK226" s="8">
        <f t="shared" si="331"/>
        <v>8</v>
      </c>
      <c r="BL226" s="8">
        <f t="shared" si="332"/>
        <v>16</v>
      </c>
      <c r="BM226" s="8" t="str">
        <f t="shared" si="333"/>
        <v>No</v>
      </c>
      <c r="BN226" s="8">
        <f t="shared" si="334"/>
        <v>15</v>
      </c>
      <c r="BO226" s="8">
        <f t="shared" si="335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6.6202392635939605E-2</v>
      </c>
      <c r="BS226" s="8">
        <f t="shared" si="336"/>
        <v>4.6041923936601406E-2</v>
      </c>
      <c r="BT226" s="8" t="str">
        <f t="shared" si="337"/>
        <v>No</v>
      </c>
      <c r="BU226" s="8" t="str">
        <f t="shared" si="338"/>
        <v>No</v>
      </c>
      <c r="BV226" s="8">
        <f t="shared" si="339"/>
        <v>3637.0430499678837</v>
      </c>
      <c r="BW226" s="4">
        <v>0</v>
      </c>
      <c r="BX226" s="4">
        <v>1</v>
      </c>
    </row>
    <row r="227" spans="1:76" s="16" customFormat="1" x14ac:dyDescent="0.25">
      <c r="A227" s="26" t="s">
        <v>1405</v>
      </c>
      <c r="B227" s="6" t="s">
        <v>1630</v>
      </c>
      <c r="C227" s="7">
        <v>1500</v>
      </c>
      <c r="D227" s="7" t="s">
        <v>528</v>
      </c>
      <c r="E227" s="7" t="str">
        <f>Groups!$A$82</f>
        <v>Beetle (ROAMER, ARMORED)</v>
      </c>
      <c r="F227" s="7" t="str">
        <f t="shared" ref="F227:F305" si="344">"Lay eggs"</f>
        <v>Lay eggs</v>
      </c>
      <c r="G227" s="7">
        <v>5</v>
      </c>
      <c r="H227" s="7">
        <v>50</v>
      </c>
      <c r="I227" s="4">
        <v>1</v>
      </c>
      <c r="J227" s="7" t="str">
        <f t="shared" ref="J227:J305" si="345">"Lay eggs"</f>
        <v>Lay eggs</v>
      </c>
      <c r="K227" s="7" t="s">
        <v>528</v>
      </c>
      <c r="L227" s="7">
        <v>20</v>
      </c>
      <c r="M227" s="7" t="s">
        <v>528</v>
      </c>
      <c r="N227" s="4">
        <v>0</v>
      </c>
      <c r="O227" s="4">
        <v>0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tr">
        <f>IF(OR(_xlfn.XLOOKUP(E227,Groups!A:A,Groups!P:P)=1,_xlfn.XLOOKUP(E227,Groups!A:A,Groups!AD:AD)=1),"Need a formula","No")</f>
        <v>No</v>
      </c>
      <c r="V227" s="7">
        <v>32</v>
      </c>
      <c r="W227" s="7" t="str">
        <f>IF(_xlfn.XLOOKUP(E227,Groups!A:A,Groups!V:V)&lt;&gt;"No","Need a formula","No")</f>
        <v>No</v>
      </c>
      <c r="X227" s="7" t="s">
        <v>933</v>
      </c>
      <c r="Y227" s="4" t="s">
        <v>1008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45</v>
      </c>
      <c r="AG227" s="28" t="s">
        <v>1719</v>
      </c>
      <c r="AH227" s="4" t="str">
        <f>Animals!$C$105</f>
        <v>&lt;li&gt;Megaspider&lt;/li&gt;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325"/>
        <v>128760.39407088321</v>
      </c>
      <c r="AP227" s="8">
        <f>IFERROR(C227*_xlfn.XLOOKUP(E227,Groups!A:A,Groups!K:K),0.106*C227^0.94)</f>
        <v>480</v>
      </c>
      <c r="AQ227" s="8">
        <f>AP227*10000/(_xlfn.XLOOKUP(E227,Groups!A:A,Groups!J:J)*AO227)</f>
        <v>41.886004356256301</v>
      </c>
      <c r="AR227" s="8">
        <f t="shared" si="326"/>
        <v>26199.019384472653</v>
      </c>
      <c r="AS227" s="8">
        <f>IF(_xlfn.XLOOKUP(E227,Groups!A:A,Groups!M:M)=1,EXP(0.7444*LN('Base stats'!C227)+6.5696),EXP(0.7927*LN('Base stats'!C227)+4.28))</f>
        <v>164976.9846444256</v>
      </c>
      <c r="AT227" s="8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IF(_xlfn.XLOOKUP(E227,Groups!A:A,Groups!N:N)="Theropod",EXP(0.6966*LN(C227)+4.158)*S227,
"No"))))))))))))))))</f>
        <v>164976.9846444256</v>
      </c>
      <c r="AU227" s="8">
        <f>IF(_xlfn.XLOOKUP(E227,Groups!A:A,Groups!U:U)=3,AS227,IF(_xlfn.XLOOKUP(E227,Groups!A:A,Groups!U:U)=2,AR227,AT227))</f>
        <v>164976.9846444256</v>
      </c>
      <c r="AV227" s="46">
        <f>IFERROR(AVERAGE(_xlfn.XLOOKUP(B227,Animals!B:B,Animals!N:N),_xlfn.XLOOKUP(B227,Animals!B:B,Animals!O:O)),0)</f>
        <v>0.875</v>
      </c>
      <c r="AW227" s="8">
        <f>MROUND(40*Animals!AO230*_xlfn.XLOOKUP(Animals!BB230,Leathers!$A$2:$A$99,Leathers!$B$2:$B$99,0)+(140*_xlfn.XLOOKUP(B227,Animals!B:B,Animals!AO:AO)*2),5)</f>
        <v>1050</v>
      </c>
      <c r="AX227" s="8">
        <f>IFERROR(ROUND(SQRT(V227-1)*IF(_xlfn.XLOOKUP(E227,Groups!A:A,Groups!BF:BF)=0,2,1)*IF(_xlfn.XLOOKUP('Base stats'!E227,Groups!A:A,Groups!O:O)=0,1,0.1),1),0)</f>
        <v>11.1</v>
      </c>
      <c r="AY227" s="8">
        <f t="shared" si="327"/>
        <v>0</v>
      </c>
      <c r="AZ227" s="8">
        <f t="shared" si="328"/>
        <v>0</v>
      </c>
      <c r="BA227" s="8">
        <f t="shared" si="329"/>
        <v>11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24.321977647988035</v>
      </c>
      <c r="BC227" s="8" t="str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No</v>
      </c>
      <c r="BD227" s="8">
        <f t="shared" si="330"/>
        <v>9.7287910591952134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25.07209386657771</v>
      </c>
      <c r="BF227" s="8">
        <f>(0.048*C227^1.01)/IF(_xlfn.XLOOKUP(E227,Groups!A:A,Groups!M:M)=1,0.25,0.8)*C227^-0.25</f>
        <v>49.788676927006655</v>
      </c>
      <c r="BG227" s="8">
        <f>EXP(1.076*LN(AR227)-4.5397)*IF(_xlfn.XLOOKUP(E227,Groups!A:A,Groups!BC:BC)=1,1.25,IF(_xlfn.XLOOKUP(E227,Groups!A:A,Groups!BD:BD)=1,3.5,2.5))</f>
        <v>757.56177417424044</v>
      </c>
      <c r="BH227" s="8">
        <f>EXP(1.076*LN(AS227)-4.5397)*IF(_xlfn.XLOOKUP(E227,Groups!A:A,Groups!M:M)=1,0.8,IF(_xlfn.XLOOKUP(E227,Groups!A:A,Groups!BC:BC)=1,1.3,3))</f>
        <v>3511.3236734157599</v>
      </c>
      <c r="BI227" s="8" t="str">
        <f>IF(W227="No","No",IF(_xlfn.XLOOKUP(E227,Groups!A:A,Groups!U:U)=1,'Base stats'!BJ227,IF(OR(_xlfn.XLOOKUP(E227,Groups!A:A,Groups!BD:BD)=1,_xlfn.XLOOKUP(E227,Groups!A:A,Groups!U:U)=2),BG227,BH227))*1.2)</f>
        <v>No</v>
      </c>
      <c r="BJ227" s="8">
        <f>IFERROR(EXP(1.076*LN(AT227)-4.5397)*IF(_xlfn.XLOOKUP(E227,Groups!A:A,Groups!N:N)="Insect",1,IF(OR(_xlfn.XLOOKUP(E227,Groups!A:A,Groups!N:N)="Pig",_xlfn.XLOOKUP(E227,Groups!A:A,Groups!N:N)="StrongBitingHerbivore"),3.5,3.75)),"No")</f>
        <v>4389.1545917696994</v>
      </c>
      <c r="BK227" s="8">
        <f t="shared" si="331"/>
        <v>12</v>
      </c>
      <c r="BL227" s="8">
        <f t="shared" si="332"/>
        <v>16</v>
      </c>
      <c r="BM227" s="8" t="str">
        <f t="shared" si="333"/>
        <v>No</v>
      </c>
      <c r="BN227" s="8">
        <f t="shared" si="334"/>
        <v>18</v>
      </c>
      <c r="BO227" s="8">
        <f t="shared" si="335"/>
        <v>11</v>
      </c>
      <c r="BP227" s="8" t="str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No</v>
      </c>
      <c r="BQ227" s="8" t="str">
        <f>IF(W227="No","No",IF(_xlfn.XLOOKUP(E227,Groups!A:A,Groups!BD:BD)=1,(AO227*5%),EXP(0.7354*LN(C227)^0.4078)*2/IF(_xlfn.XLOOKUP(E227,Groups!A:A,Groups!BL:BL)=1,1000,100)))</f>
        <v>No</v>
      </c>
      <c r="BR227" s="8">
        <f>IF(BJ227="No","No",IF(_xlfn.XLOOKUP(E227,Groups!A:A,Groups!BF:BF)=1,(0.0315*C227+2.1825)*2,(0.7354*C227^0.4078)*2)/IF(_xlfn.XLOOKUP(E227,Groups!A:A,Groups!BM:BM)=1,1000,100))</f>
        <v>0.29024425795874792</v>
      </c>
      <c r="BS227" s="8">
        <f t="shared" si="336"/>
        <v>0.11766999932559993</v>
      </c>
      <c r="BT227" s="8" t="str">
        <f t="shared" si="337"/>
        <v>No</v>
      </c>
      <c r="BU227" s="8" t="str">
        <f t="shared" si="338"/>
        <v>No</v>
      </c>
      <c r="BV227" s="8">
        <f t="shared" si="339"/>
        <v>15122.278809710422</v>
      </c>
      <c r="BW227" s="4">
        <v>0</v>
      </c>
      <c r="BX227" s="4">
        <v>1</v>
      </c>
    </row>
    <row r="228" spans="1:76" s="16" customFormat="1" x14ac:dyDescent="0.25">
      <c r="A228" s="26" t="s">
        <v>1463</v>
      </c>
      <c r="B228" s="6" t="s">
        <v>1762</v>
      </c>
      <c r="C228" s="7">
        <v>1500</v>
      </c>
      <c r="D228" s="7" t="s">
        <v>528</v>
      </c>
      <c r="E228" s="7" t="str">
        <f>Groups!$A$74</f>
        <v>ArmoredWorm</v>
      </c>
      <c r="F228" s="7">
        <f>ROUND(7.545*(C228*1000)^0.2689,0)</f>
        <v>345</v>
      </c>
      <c r="G228" s="7">
        <v>5</v>
      </c>
      <c r="H228" s="7">
        <v>40</v>
      </c>
      <c r="I228" s="4">
        <v>0</v>
      </c>
      <c r="J228" s="7">
        <v>1</v>
      </c>
      <c r="K228" s="7" t="s">
        <v>528</v>
      </c>
      <c r="L228" s="7">
        <v>16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16</v>
      </c>
      <c r="W228" s="7" t="str">
        <f>IF(_xlfn.XLOOKUP(E228,Groups!A:A,Groups!V:V)&lt;&gt;"No","Need a formula","No")</f>
        <v>No</v>
      </c>
      <c r="X228" s="7" t="s">
        <v>933</v>
      </c>
      <c r="Y228" s="4" t="s">
        <v>42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311</v>
      </c>
      <c r="AG228" s="28" t="s">
        <v>1719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0</v>
      </c>
      <c r="AL228" s="4">
        <v>0</v>
      </c>
      <c r="AM228" s="4">
        <v>1</v>
      </c>
      <c r="AN228" s="44" t="s">
        <v>40</v>
      </c>
      <c r="AO228" s="8">
        <f t="shared" si="325"/>
        <v>128760.39407088321</v>
      </c>
      <c r="AP228" s="8">
        <f>IFERROR(C228*_xlfn.XLOOKUP(E228,Groups!A:A,Groups!K:K),0.106*C228^0.94)</f>
        <v>480</v>
      </c>
      <c r="AQ228" s="8">
        <f>AP228*10000/(_xlfn.XLOOKUP(E228,Groups!A:A,Groups!J:J)*AO228)</f>
        <v>41.886004356256301</v>
      </c>
      <c r="AR228" s="8">
        <f t="shared" si="326"/>
        <v>26199.019384472653</v>
      </c>
      <c r="AS228" s="8">
        <f>IF(_xlfn.XLOOKUP(E228,Groups!A:A,Groups!M:M)=1,EXP(0.7444*LN('Base stats'!C228)+6.5696),EXP(0.7927*LN('Base stats'!C228)+4.28))</f>
        <v>23794.025550249138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IF(_xlfn.XLOOKUP(E228,Groups!A:A,Groups!N:N)="Theropod",EXP(0.6966*LN(C228)+4.158)*S228,
"No"))))))))))))))))</f>
        <v>164976.9846444256</v>
      </c>
      <c r="AU228" s="8">
        <f>IF(_xlfn.XLOOKUP(E228,Groups!A:A,Groups!U:U)=3,AS228,IF(_xlfn.XLOOKUP(E228,Groups!A:A,Groups!U:U)=2,AR228,AT228))</f>
        <v>164976.9846444256</v>
      </c>
      <c r="AV228" s="46">
        <f>IFERROR(AVERAGE(_xlfn.XLOOKUP(B228,Animals!B:B,Animals!N:N),_xlfn.XLOOKUP(B228,Animals!B:B,Animals!O:O)),0)</f>
        <v>0</v>
      </c>
      <c r="AW228" s="8">
        <f>MROUND(40*Animals!AO214*_xlfn.XLOOKUP(Animals!BB214,Leathers!$A$2:$A$99,Leathers!$B$2:$B$99,0)+(140*_xlfn.XLOOKUP(B228,Animals!B:B,Animals!AO:AO)*2),5)</f>
        <v>1050</v>
      </c>
      <c r="AX228" s="8">
        <f>IFERROR(ROUND(SQRT(V228-1)*IF(_xlfn.XLOOKUP(E228,Groups!A:A,Groups!BF:BF)=0,2,1)*IF(_xlfn.XLOOKUP('Base stats'!E228,Groups!A:A,Groups!O:O)=0,1,0.1),1),0)</f>
        <v>7.7</v>
      </c>
      <c r="AY228" s="8">
        <f t="shared" si="327"/>
        <v>0</v>
      </c>
      <c r="AZ228" s="8">
        <f t="shared" si="328"/>
        <v>0</v>
      </c>
      <c r="BA228" s="8">
        <f t="shared" si="329"/>
        <v>11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24.321977647988035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si="330"/>
        <v>9.7287910591952134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12.536046933288855</v>
      </c>
      <c r="BF228" s="8">
        <f>(0.048*C228^1.01)/IF(_xlfn.XLOOKUP(E228,Groups!A:A,Groups!M:M)=1,0.25,0.8)*C228^-0.25</f>
        <v>15.558961539689577</v>
      </c>
      <c r="BG228" s="8">
        <f>EXP(1.076*LN(AR228)-4.5397)*IF(_xlfn.XLOOKUP(E228,Groups!A:A,Groups!BC:BC)=1,1.25,IF(_xlfn.XLOOKUP(E228,Groups!A:A,Groups!BD:BD)=1,3.5,2.5))</f>
        <v>757.56177417424044</v>
      </c>
      <c r="BH228" s="8">
        <f>EXP(1.076*LN(AS228)-4.5397)*IF(_xlfn.XLOOKUP(E228,Groups!A:A,Groups!M:M)=1,0.8,IF(_xlfn.XLOOKUP(E228,Groups!A:A,Groups!BC:BC)=1,1.3,3))</f>
        <v>710.32349297468113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4389.1545917696994</v>
      </c>
      <c r="BK228" s="8">
        <f t="shared" si="331"/>
        <v>12</v>
      </c>
      <c r="BL228" s="8">
        <f t="shared" si="332"/>
        <v>10</v>
      </c>
      <c r="BM228" s="8" t="str">
        <f t="shared" si="333"/>
        <v>No</v>
      </c>
      <c r="BN228" s="8">
        <f t="shared" si="334"/>
        <v>18</v>
      </c>
      <c r="BO228" s="8">
        <f t="shared" si="335"/>
        <v>9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0.29024425795874792</v>
      </c>
      <c r="BS228" s="8">
        <f t="shared" si="336"/>
        <v>0.11766999932559993</v>
      </c>
      <c r="BT228" s="8" t="str">
        <f t="shared" si="337"/>
        <v>No</v>
      </c>
      <c r="BU228" s="8" t="str">
        <f t="shared" si="338"/>
        <v>No</v>
      </c>
      <c r="BV228" s="8">
        <f t="shared" si="339"/>
        <v>15122.278809710422</v>
      </c>
      <c r="BW228" s="4">
        <v>0</v>
      </c>
      <c r="BX228" s="4">
        <v>1</v>
      </c>
    </row>
    <row r="229" spans="1:76" s="16" customFormat="1" x14ac:dyDescent="0.25">
      <c r="A229" s="26" t="s">
        <v>1481</v>
      </c>
      <c r="B229" s="6" t="s">
        <v>1658</v>
      </c>
      <c r="C229" s="7">
        <v>1300</v>
      </c>
      <c r="D229" s="7" t="s">
        <v>528</v>
      </c>
      <c r="E229" s="7" t="str">
        <f>Groups!$A$74</f>
        <v>ArmoredWorm</v>
      </c>
      <c r="F229" s="7">
        <f>ROUND(7.545*(C229*1000)^0.2689,0)</f>
        <v>332</v>
      </c>
      <c r="G229" s="7">
        <v>6</v>
      </c>
      <c r="H229" s="7">
        <v>40</v>
      </c>
      <c r="I229" s="4">
        <v>0</v>
      </c>
      <c r="J229" s="7">
        <v>1</v>
      </c>
      <c r="K229" s="7" t="s">
        <v>528</v>
      </c>
      <c r="L229" s="7">
        <v>16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12</v>
      </c>
      <c r="W229" s="7" t="str">
        <f>IF(_xlfn.XLOOKUP(E229,Groups!A:A,Groups!V:V)&lt;&gt;"No","Need a formula","No")</f>
        <v>No</v>
      </c>
      <c r="X229" s="7" t="s">
        <v>933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311</v>
      </c>
      <c r="AG229" s="28" t="s">
        <v>1719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325"/>
        <v>117323.80996518758</v>
      </c>
      <c r="AP229" s="8">
        <f>IFERROR(C229*_xlfn.XLOOKUP(E229,Groups!A:A,Groups!K:K),0.106*C229^0.94)</f>
        <v>416</v>
      </c>
      <c r="AQ229" s="8">
        <f>AP229*10000/(_xlfn.XLOOKUP(E229,Groups!A:A,Groups!J:J)*AO229)</f>
        <v>39.839801526712321</v>
      </c>
      <c r="AR229" s="8">
        <f t="shared" si="326"/>
        <v>23216.069723044377</v>
      </c>
      <c r="AS229" s="8">
        <f>IF(_xlfn.XLOOKUP(E229,Groups!A:A,Groups!M:M)=1,EXP(0.7444*LN('Base stats'!C229)+6.5696),EXP(0.7927*LN('Base stats'!C229)+4.28))</f>
        <v>21242.385104191602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IF(_xlfn.XLOOKUP(E229,Groups!A:A,Groups!N:N)="Theropod",EXP(0.6966*LN(C229)+4.158)*S229,
"No"))))))))))))))))</f>
        <v>148306.59356722567</v>
      </c>
      <c r="AU229" s="8">
        <f>IF(_xlfn.XLOOKUP(E229,Groups!A:A,Groups!U:U)=3,AS229,IF(_xlfn.XLOOKUP(E229,Groups!A:A,Groups!U:U)=2,AR229,AT229))</f>
        <v>148306.59356722567</v>
      </c>
      <c r="AV229" s="46">
        <f>IFERROR(AVERAGE(_xlfn.XLOOKUP(B229,Animals!B:B,Animals!N:N),_xlfn.XLOOKUP(B229,Animals!B:B,Animals!O:O)),0)</f>
        <v>0</v>
      </c>
      <c r="AW229" s="8">
        <f>MROUND(40*Animals!AO267*_xlfn.XLOOKUP(Animals!BB267,Leathers!$A$2:$A$99,Leathers!$B$2:$B$99,0)+(140*_xlfn.XLOOKUP(B229,Animals!B:B,Animals!AO:AO)*2),5)</f>
        <v>1050</v>
      </c>
      <c r="AX229" s="8">
        <f>IFERROR(ROUND(SQRT(V229-1)*IF(_xlfn.XLOOKUP(E229,Groups!A:A,Groups!BF:BF)=0,2,1)*IF(_xlfn.XLOOKUP('Base stats'!E229,Groups!A:A,Groups!O:O)=0,1,0.1),1),0)</f>
        <v>6.6</v>
      </c>
      <c r="AY229" s="8">
        <f t="shared" si="327"/>
        <v>0</v>
      </c>
      <c r="AZ229" s="8">
        <f t="shared" si="328"/>
        <v>0</v>
      </c>
      <c r="BA229" s="8">
        <f t="shared" si="329"/>
        <v>10.4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37.923900762099436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330"/>
        <v>15.169560304839775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11.212055584582782</v>
      </c>
      <c r="BF229" s="8">
        <f>(0.048*C229^1.01)/IF(_xlfn.XLOOKUP(E229,Groups!A:A,Groups!M:M)=1,0.25,0.8)*C229^-0.25</f>
        <v>13.955589880177047</v>
      </c>
      <c r="BG229" s="8">
        <f>EXP(1.076*LN(AR229)-4.5397)*IF(_xlfn.XLOOKUP(E229,Groups!A:A,Groups!BC:BC)=1,1.25,IF(_xlfn.XLOOKUP(E229,Groups!A:A,Groups!BD:BD)=1,3.5,2.5))</f>
        <v>665.1689895658742</v>
      </c>
      <c r="BH229" s="8">
        <f>EXP(1.076*LN(AS229)-4.5397)*IF(_xlfn.XLOOKUP(E229,Groups!A:A,Groups!M:M)=1,0.8,IF(_xlfn.XLOOKUP(E229,Groups!A:A,Groups!BC:BC)=1,1.3,3))</f>
        <v>628.70573194062922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3913.8303368139841</v>
      </c>
      <c r="BK229" s="8">
        <f t="shared" si="331"/>
        <v>9</v>
      </c>
      <c r="BL229" s="8">
        <f t="shared" si="332"/>
        <v>10</v>
      </c>
      <c r="BM229" s="8" t="str">
        <f t="shared" si="333"/>
        <v>No</v>
      </c>
      <c r="BN229" s="8">
        <f t="shared" si="334"/>
        <v>14</v>
      </c>
      <c r="BO229" s="8">
        <f t="shared" si="335"/>
        <v>9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0.27379134816715855</v>
      </c>
      <c r="BS229" s="8">
        <f t="shared" si="336"/>
        <v>0.11339028109694761</v>
      </c>
      <c r="BT229" s="8" t="str">
        <f t="shared" si="337"/>
        <v>No</v>
      </c>
      <c r="BU229" s="8" t="str">
        <f t="shared" si="338"/>
        <v>No</v>
      </c>
      <c r="BV229" s="8">
        <f t="shared" si="339"/>
        <v>14294.937962847764</v>
      </c>
      <c r="BW229" s="4">
        <v>0</v>
      </c>
      <c r="BX229" s="4">
        <v>1</v>
      </c>
    </row>
    <row r="230" spans="1:76" s="16" customFormat="1" x14ac:dyDescent="0.25">
      <c r="A230" s="26" t="s">
        <v>1587</v>
      </c>
      <c r="B230" s="6" t="s">
        <v>1695</v>
      </c>
      <c r="C230" s="7">
        <v>4.5</v>
      </c>
      <c r="D230" s="7" t="s">
        <v>528</v>
      </c>
      <c r="E230" s="7" t="str">
        <f>Groups!$A$122</f>
        <v>Beetle (CLAWS, SWARMLING)</v>
      </c>
      <c r="F230" s="7" t="str">
        <f t="shared" ref="F230" si="346">"Lay eggs"</f>
        <v>Lay eggs</v>
      </c>
      <c r="G230" s="7">
        <v>1</v>
      </c>
      <c r="H230" s="7">
        <v>10</v>
      </c>
      <c r="I230" s="4">
        <v>0</v>
      </c>
      <c r="J230" s="7" t="str">
        <f t="shared" ref="J230" si="347">"Lay eggs"</f>
        <v>Lay eggs</v>
      </c>
      <c r="K230" s="7" t="s">
        <v>528</v>
      </c>
      <c r="L230" s="7">
        <v>25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>
        <v>1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">
        <v>45</v>
      </c>
      <c r="V230" s="7">
        <v>2</v>
      </c>
      <c r="W230" s="7" t="s">
        <v>45</v>
      </c>
      <c r="X230" s="7" t="s">
        <v>933</v>
      </c>
      <c r="Y230" s="4" t="s">
        <v>53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1051</v>
      </c>
      <c r="AF230" s="4" t="s">
        <v>398</v>
      </c>
      <c r="AG230" s="28" t="s">
        <v>1719</v>
      </c>
      <c r="AH230" s="4" t="str">
        <f>Animals!$C$105</f>
        <v>&lt;li&gt;Megaspider&lt;/li&gt;</v>
      </c>
      <c r="AI230" s="4">
        <v>0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si="325"/>
        <v>2950.6052630710305</v>
      </c>
      <c r="AP230" s="8">
        <f>IFERROR(C230*_xlfn.XLOOKUP(E230,Groups!A:A,Groups!K:K),0.106*C230^0.94)</f>
        <v>1.44</v>
      </c>
      <c r="AQ230" s="8">
        <f>AP230*10000/(_xlfn.XLOOKUP(E230,Groups!A:A,Groups!J:J)*AO230)</f>
        <v>4.0669621755877419</v>
      </c>
      <c r="AR230" s="8">
        <f t="shared" si="326"/>
        <v>193.73556787208551</v>
      </c>
      <c r="AS230" s="8">
        <f>IF(_xlfn.XLOOKUP(E230,Groups!A:A,Groups!M:M)=1,EXP(0.7444*LN('Base stats'!C230)+6.5696),EXP(0.7927*LN('Base stats'!C230)+4.28))</f>
        <v>2184.703093162083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IF(_xlfn.XLOOKUP(E230,Groups!A:A,Groups!N:N)="Theropod",EXP(0.6966*LN(C230)+4.158)*S230,
"No"))))))))))))))))</f>
        <v>2184.703093162083</v>
      </c>
      <c r="AU230" s="8">
        <f>IF(_xlfn.XLOOKUP(E230,Groups!A:A,Groups!U:U)=3,AS230,IF(_xlfn.XLOOKUP(E230,Groups!A:A,Groups!U:U)=2,AR230,AT230))</f>
        <v>2184.703093162083</v>
      </c>
      <c r="AV230" s="46">
        <f>IFERROR(AVERAGE(_xlfn.XLOOKUP(B230,Animals!B:B,Animals!N:N),_xlfn.XLOOKUP(B230,Animals!B:B,Animals!O:O)),0)</f>
        <v>0.17499999999999999</v>
      </c>
      <c r="AW230" s="8">
        <f>MROUND(40*Animals!AO205*_xlfn.XLOOKUP(Animals!BB205,Leathers!$A$2:$A$99,Leathers!$B$2:$B$99,0)+(140*_xlfn.XLOOKUP(B230,Animals!B:B,Animals!AO:AO)*2),5)</f>
        <v>195</v>
      </c>
      <c r="AX230" s="8">
        <f>IFERROR(ROUND(SQRT(V230-1)*IF(_xlfn.XLOOKUP(E230,Groups!A:A,Groups!BF:BF)=0,2,1)*IF(_xlfn.XLOOKUP('Base stats'!E230,Groups!A:A,Groups!O:O)=0,1,0.1),1),0)</f>
        <v>2</v>
      </c>
      <c r="AY230" s="8">
        <f t="shared" si="327"/>
        <v>0</v>
      </c>
      <c r="AZ230" s="8">
        <f t="shared" si="328"/>
        <v>0</v>
      </c>
      <c r="BA230" s="8">
        <f t="shared" si="329"/>
        <v>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0.34201541029571375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si="330"/>
        <v>0.1368061641182855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0.26998844884417478</v>
      </c>
      <c r="BF230" s="8">
        <f>(0.048*C230^1.01)/IF(_xlfn.XLOOKUP(E230,Groups!A:A,Groups!M:M)=1,0.25,0.8)*C230^-0.25</f>
        <v>0.60220275659494538</v>
      </c>
      <c r="BG230" s="8">
        <f>EXP(1.076*LN(AR230)-4.5397)*IF(_xlfn.XLOOKUP(E230,Groups!A:A,Groups!BC:BC)=1,1.25,IF(_xlfn.XLOOKUP(E230,Groups!A:A,Groups!BD:BD)=1,3.5,2.5))</f>
        <v>3.858163472108072</v>
      </c>
      <c r="BH230" s="8">
        <f>EXP(1.076*LN(AS230)-4.5397)*IF(_xlfn.XLOOKUP(E230,Groups!A:A,Groups!M:M)=1,0.8,IF(_xlfn.XLOOKUP(E230,Groups!A:A,Groups!BC:BC)=1,1.3,3))</f>
        <v>33.474151337326525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41.842689171658151</v>
      </c>
      <c r="BK230" s="8">
        <f t="shared" si="331"/>
        <v>7</v>
      </c>
      <c r="BL230" s="8">
        <f t="shared" si="332"/>
        <v>15</v>
      </c>
      <c r="BM230" s="8" t="str">
        <f t="shared" si="333"/>
        <v>No</v>
      </c>
      <c r="BN230" s="8">
        <f t="shared" si="334"/>
        <v>15</v>
      </c>
      <c r="BO230" s="8">
        <f t="shared" si="335"/>
        <v>10</v>
      </c>
      <c r="BP230" s="8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0.31396756576768964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2.7160245069965436E-2</v>
      </c>
      <c r="BS230" s="8">
        <f t="shared" si="336"/>
        <v>2.6151674847162999E-2</v>
      </c>
      <c r="BT230" s="8">
        <f t="shared" si="337"/>
        <v>106.61659033307492</v>
      </c>
      <c r="BU230" s="8" t="str">
        <f t="shared" si="338"/>
        <v>No</v>
      </c>
      <c r="BV230" s="8">
        <f t="shared" si="339"/>
        <v>1540.5858475823907</v>
      </c>
      <c r="BW230" s="4">
        <v>0</v>
      </c>
      <c r="BX230" s="4">
        <v>1</v>
      </c>
    </row>
    <row r="231" spans="1:76" s="16" customFormat="1" x14ac:dyDescent="0.25">
      <c r="A231" s="26" t="s">
        <v>1360</v>
      </c>
      <c r="B231" s="6" t="s">
        <v>1853</v>
      </c>
      <c r="C231" s="7">
        <v>400</v>
      </c>
      <c r="D231" s="7" t="s">
        <v>528</v>
      </c>
      <c r="E231" s="7" t="str">
        <f>Groups!$A$75</f>
        <v>Arachnid</v>
      </c>
      <c r="F231" s="7" t="str">
        <f t="shared" ref="F231" si="348">"Lay eggs"</f>
        <v>Lay eggs</v>
      </c>
      <c r="G231" s="7">
        <v>5</v>
      </c>
      <c r="H231" s="7">
        <v>15</v>
      </c>
      <c r="I231" s="4">
        <v>1</v>
      </c>
      <c r="J231" s="7" t="str">
        <f t="shared" ref="J231" si="349">"Lay eggs"</f>
        <v>Lay eggs</v>
      </c>
      <c r="K231" s="7" t="s">
        <v>528</v>
      </c>
      <c r="L231" s="7">
        <v>32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 t="str">
        <f>IF(OR(_xlfn.XLOOKUP(E231,Groups!A:A,Groups!P:P)=1,_xlfn.XLOOKUP(E231,Groups!A:A,Groups!AD:AD)=1),"Need a formula","No")</f>
        <v>No</v>
      </c>
      <c r="V231" s="7">
        <v>4</v>
      </c>
      <c r="W231" s="7" t="str">
        <f>IF(_xlfn.XLOOKUP(E231,Groups!A:A,Groups!V:V)&lt;&gt;"No","Need a formula","No")</f>
        <v>No</v>
      </c>
      <c r="X231" s="7" t="s">
        <v>933</v>
      </c>
      <c r="Y231" s="4" t="s">
        <v>42</v>
      </c>
      <c r="Z231" s="4">
        <v>1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1719</v>
      </c>
      <c r="AH231" s="4" t="str">
        <f>Animals!$C$105</f>
        <v>&lt;li&gt;Megaspider&lt;/li&gt;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25"/>
        <v>54533.324359541104</v>
      </c>
      <c r="AP231" s="8">
        <f>IFERROR(C231*_xlfn.XLOOKUP(E231,Groups!A:A,Groups!K:K),0.106*C231^0.94)</f>
        <v>128</v>
      </c>
      <c r="AQ231" s="8">
        <f>AP231*10000/(_xlfn.XLOOKUP(E231,Groups!A:A,Groups!J:J)*AO231)</f>
        <v>19.559905419190599</v>
      </c>
      <c r="AR231" s="8">
        <f t="shared" si="326"/>
        <v>8578.2919817776201</v>
      </c>
      <c r="AS231" s="8">
        <f>IF(_xlfn.XLOOKUP(E231,Groups!A:A,Groups!M:M)=1,EXP(0.7444*LN('Base stats'!C231)+6.5696),EXP(0.7927*LN('Base stats'!C231)+4.28))</f>
        <v>8345.1344423422543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IF(_xlfn.XLOOKUP(E231,Groups!A:A,Groups!N:N)="Theropod",EXP(0.6966*LN(C231)+4.158)*S231,
"No"))))))))))))))))</f>
        <v>61675.756600829809</v>
      </c>
      <c r="AU231" s="8">
        <f>IF(_xlfn.XLOOKUP(E231,Groups!A:A,Groups!U:U)=3,AS231,IF(_xlfn.XLOOKUP(E231,Groups!A:A,Groups!U:U)=2,AR231,AT231))</f>
        <v>61675.756600829809</v>
      </c>
      <c r="AV231" s="46">
        <f>IFERROR(AVERAGE(_xlfn.XLOOKUP(B231,Animals!B:B,Animals!N:N),_xlfn.XLOOKUP(B231,Animals!B:B,Animals!O:O)),0)</f>
        <v>0.47500000000000003</v>
      </c>
      <c r="AW231" s="8">
        <f>MROUND(40*Animals!AO205*_xlfn.XLOOKUP(Animals!BB205,Leathers!$A$2:$A$99,Leathers!$B$2:$B$99,0)+(140*_xlfn.XLOOKUP(B231,Animals!B:B,Animals!AO:AO)*2),5)</f>
        <v>880</v>
      </c>
      <c r="AX231" s="8">
        <f>IFERROR(ROUND(SQRT(V231-1)*IF(_xlfn.XLOOKUP(E231,Groups!A:A,Groups!BF:BF)=0,2,1)*IF(_xlfn.XLOOKUP('Base stats'!E231,Groups!A:A,Groups!O:O)=0,1,0.1),1),0)</f>
        <v>3.5</v>
      </c>
      <c r="AY231" s="8">
        <f t="shared" si="327"/>
        <v>0</v>
      </c>
      <c r="AZ231" s="8">
        <f t="shared" si="328"/>
        <v>0</v>
      </c>
      <c r="BA231" s="8">
        <f t="shared" si="329"/>
        <v>6.8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8.9779939654223888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30"/>
        <v>3.5911975861689553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4.4711189144854107</v>
      </c>
      <c r="BF231" s="8">
        <f>(0.048*C231^1.01)/IF(_xlfn.XLOOKUP(E231,Groups!A:A,Groups!M:M)=1,0.25,0.8)*C231^-0.25</f>
        <v>5.6979265131759371</v>
      </c>
      <c r="BG231" s="8">
        <f>EXP(1.076*LN(AR231)-4.5397)*IF(_xlfn.XLOOKUP(E231,Groups!A:A,Groups!BC:BC)=1,1.25,IF(_xlfn.XLOOKUP(E231,Groups!A:A,Groups!BD:BD)=1,3.5,2.5))</f>
        <v>227.86763271095117</v>
      </c>
      <c r="BH231" s="8">
        <f>EXP(1.076*LN(AS231)-4.5397)*IF(_xlfn.XLOOKUP(E231,Groups!A:A,Groups!M:M)=1,0.8,IF(_xlfn.XLOOKUP(E231,Groups!A:A,Groups!BC:BC)=1,1.3,3))</f>
        <v>230.05886038348521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1522.6375201719823</v>
      </c>
      <c r="BK231" s="8">
        <f t="shared" si="331"/>
        <v>11</v>
      </c>
      <c r="BL231" s="8">
        <f t="shared" si="332"/>
        <v>10</v>
      </c>
      <c r="BM231" s="8" t="str">
        <f t="shared" si="333"/>
        <v>No</v>
      </c>
      <c r="BN231" s="8">
        <f t="shared" si="334"/>
        <v>18</v>
      </c>
      <c r="BO231" s="8">
        <f t="shared" si="335"/>
        <v>8</v>
      </c>
      <c r="BP231" s="8" t="str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No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1.6930652098775201E-2</v>
      </c>
      <c r="BS231" s="8">
        <f t="shared" si="336"/>
        <v>8.3570050198519985E-2</v>
      </c>
      <c r="BT231" s="8" t="str">
        <f t="shared" si="337"/>
        <v>No</v>
      </c>
      <c r="BU231" s="8" t="str">
        <f t="shared" si="338"/>
        <v>No</v>
      </c>
      <c r="BV231" s="8">
        <f t="shared" si="339"/>
        <v>89933.778763437775</v>
      </c>
      <c r="BW231" s="4">
        <v>0</v>
      </c>
      <c r="BX231" s="4">
        <v>1</v>
      </c>
    </row>
    <row r="232" spans="1:76" s="16" customFormat="1" x14ac:dyDescent="0.25">
      <c r="A232" s="26" t="s">
        <v>1445</v>
      </c>
      <c r="B232" s="6" t="s">
        <v>1708</v>
      </c>
      <c r="C232" s="7">
        <v>300</v>
      </c>
      <c r="D232" s="7" t="s">
        <v>528</v>
      </c>
      <c r="E232" s="7" t="str">
        <f>Groups!$A$75</f>
        <v>Arachnid</v>
      </c>
      <c r="F232" s="7" t="str">
        <f t="shared" ref="F232" si="350">"Lay eggs"</f>
        <v>Lay eggs</v>
      </c>
      <c r="G232" s="7">
        <v>5</v>
      </c>
      <c r="H232" s="7">
        <v>15</v>
      </c>
      <c r="I232" s="4">
        <v>1</v>
      </c>
      <c r="J232" s="7" t="str">
        <f t="shared" ref="J232" si="351">"Lay eggs"</f>
        <v>Lay eggs</v>
      </c>
      <c r="K232" s="7" t="s">
        <v>528</v>
      </c>
      <c r="L232" s="7">
        <v>32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 t="str">
        <f>IF(OR(_xlfn.XLOOKUP(E232,Groups!A:A,Groups!P:P)=1,_xlfn.XLOOKUP(E232,Groups!A:A,Groups!AD:AD)=1),"Need a formula","No")</f>
        <v>No</v>
      </c>
      <c r="V232" s="7">
        <v>4</v>
      </c>
      <c r="W232" s="7" t="str">
        <f>IF(_xlfn.XLOOKUP(E232,Groups!A:A,Groups!V:V)&lt;&gt;"No","Need a formula","No")</f>
        <v>No</v>
      </c>
      <c r="X232" s="7" t="s">
        <v>933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1719</v>
      </c>
      <c r="AH232" s="4" t="str">
        <f>Animals!$C$105</f>
        <v>&lt;li&gt;Megaspider&lt;/li&gt;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325"/>
        <v>45232.625241713278</v>
      </c>
      <c r="AP232" s="8">
        <f>IFERROR(C232*_xlfn.XLOOKUP(E232,Groups!A:A,Groups!K:K),0.106*C232^0.94)</f>
        <v>96</v>
      </c>
      <c r="AQ232" s="8">
        <f>AP232*10000/(_xlfn.XLOOKUP(E232,Groups!A:A,Groups!J:J)*AO232)</f>
        <v>17.686349083763645</v>
      </c>
      <c r="AR232" s="8">
        <f t="shared" si="326"/>
        <v>6727.6760861471967</v>
      </c>
      <c r="AS232" s="8">
        <f>IF(_xlfn.XLOOKUP(E232,Groups!A:A,Groups!M:M)=1,EXP(0.7444*LN('Base stats'!C232)+6.5696),EXP(0.7927*LN('Base stats'!C232)+4.28))</f>
        <v>6643.4611730321203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IF(_xlfn.XLOOKUP(E232,Groups!A:A,Groups!N:N)="Theropod",EXP(0.6966*LN(C232)+4.158)*S232,
"No"))))))))))))))))</f>
        <v>49786.327351106935</v>
      </c>
      <c r="AU232" s="8">
        <f>IF(_xlfn.XLOOKUP(E232,Groups!A:A,Groups!U:U)=3,AS232,IF(_xlfn.XLOOKUP(E232,Groups!A:A,Groups!U:U)=2,AR232,AT232))</f>
        <v>49786.327351106935</v>
      </c>
      <c r="AV232" s="46">
        <f>IFERROR(AVERAGE(_xlfn.XLOOKUP(B232,Animals!B:B,Animals!N:N),_xlfn.XLOOKUP(B232,Animals!B:B,Animals!O:O)),0)</f>
        <v>0.47500000000000003</v>
      </c>
      <c r="AW232" s="8">
        <f>MROUND(40*Animals!AO250*_xlfn.XLOOKUP(Animals!BB250,Leathers!$A$2:$A$99,Leathers!$B$2:$B$99,0)+(140*_xlfn.XLOOKUP(B232,Animals!B:B,Animals!AO:AO)*2),5)</f>
        <v>1890</v>
      </c>
      <c r="AX232" s="8">
        <f>IFERROR(ROUND(SQRT(V232-1)*IF(_xlfn.XLOOKUP(E232,Groups!A:A,Groups!BF:BF)=0,2,1)*IF(_xlfn.XLOOKUP('Base stats'!E232,Groups!A:A,Groups!O:O)=0,1,0.1),1),0)</f>
        <v>3.5</v>
      </c>
      <c r="AY232" s="8">
        <f t="shared" si="327"/>
        <v>0</v>
      </c>
      <c r="AZ232" s="8">
        <f t="shared" si="328"/>
        <v>0</v>
      </c>
      <c r="BA232" s="8">
        <f t="shared" si="329"/>
        <v>6.2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11.212793869379865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330"/>
        <v>4.4851175477519458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3.5724322889305471</v>
      </c>
      <c r="BF232" s="8">
        <f>(0.048*C232^1.01)/IF(_xlfn.XLOOKUP(E232,Groups!A:A,Groups!M:M)=1,0.25,0.8)*C232^-0.25</f>
        <v>4.5789236700969242</v>
      </c>
      <c r="BG232" s="8">
        <f>EXP(1.076*LN(AR232)-4.5397)*IF(_xlfn.XLOOKUP(E232,Groups!A:A,Groups!BC:BC)=1,1.25,IF(_xlfn.XLOOKUP(E232,Groups!A:A,Groups!BD:BD)=1,3.5,2.5))</f>
        <v>175.43901189464424</v>
      </c>
      <c r="BH232" s="8">
        <f>EXP(1.076*LN(AS232)-4.5397)*IF(_xlfn.XLOOKUP(E232,Groups!A:A,Groups!M:M)=1,0.8,IF(_xlfn.XLOOKUP(E232,Groups!A:A,Groups!BC:BC)=1,1.3,3))</f>
        <v>180.0002334924454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1209.271444624758</v>
      </c>
      <c r="BK232" s="8">
        <f t="shared" si="331"/>
        <v>8</v>
      </c>
      <c r="BL232" s="8">
        <f t="shared" si="332"/>
        <v>10</v>
      </c>
      <c r="BM232" s="8" t="str">
        <f t="shared" si="333"/>
        <v>No</v>
      </c>
      <c r="BN232" s="8">
        <f t="shared" si="334"/>
        <v>14</v>
      </c>
      <c r="BO232" s="8">
        <f t="shared" si="335"/>
        <v>8</v>
      </c>
      <c r="BP232" s="8" t="str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No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1.5056487532717558E-2</v>
      </c>
      <c r="BS232" s="8">
        <f t="shared" si="336"/>
        <v>7.7571890181981018E-2</v>
      </c>
      <c r="BT232" s="8" t="str">
        <f t="shared" si="337"/>
        <v>No</v>
      </c>
      <c r="BU232" s="8" t="str">
        <f t="shared" si="338"/>
        <v>No</v>
      </c>
      <c r="BV232" s="8">
        <f t="shared" si="339"/>
        <v>80315.640815763065</v>
      </c>
      <c r="BW232" s="4">
        <v>0</v>
      </c>
      <c r="BX232" s="4">
        <v>1</v>
      </c>
    </row>
    <row r="233" spans="1:76" s="16" customFormat="1" x14ac:dyDescent="0.25">
      <c r="A233" s="26" t="s">
        <v>1447</v>
      </c>
      <c r="B233" s="6" t="s">
        <v>1714</v>
      </c>
      <c r="C233" s="7">
        <v>1000</v>
      </c>
      <c r="D233" s="7" t="s">
        <v>528</v>
      </c>
      <c r="E233" s="7" t="str">
        <f>Groups!$A$75</f>
        <v>Arachnid</v>
      </c>
      <c r="F233" s="7" t="str">
        <f t="shared" si="323"/>
        <v>Lay eggs</v>
      </c>
      <c r="G233" s="7" t="s">
        <v>1707</v>
      </c>
      <c r="H233" s="7">
        <v>15</v>
      </c>
      <c r="I233" s="4">
        <v>1</v>
      </c>
      <c r="J233" s="7" t="str">
        <f t="shared" si="324"/>
        <v>Lay eggs</v>
      </c>
      <c r="K233" s="7" t="s">
        <v>528</v>
      </c>
      <c r="L233" s="7">
        <v>32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 t="str">
        <f>IF(OR(_xlfn.XLOOKUP(E233,Groups!A:A,Groups!P:P)=1,_xlfn.XLOOKUP(E233,Groups!A:A,Groups!AD:AD)=1),"Need a formula","No")</f>
        <v>No</v>
      </c>
      <c r="V233" s="7">
        <v>4</v>
      </c>
      <c r="W233" s="7" t="str">
        <f>IF(_xlfn.XLOOKUP(E233,Groups!A:A,Groups!V:V)&lt;&gt;"No","Need a formula","No")</f>
        <v>No</v>
      </c>
      <c r="X233" s="7" t="s">
        <v>933</v>
      </c>
      <c r="Y233" s="4" t="s">
        <v>56</v>
      </c>
      <c r="Z233" s="4">
        <v>1</v>
      </c>
      <c r="AA233" s="4">
        <v>0</v>
      </c>
      <c r="AB233" s="4">
        <v>1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1719</v>
      </c>
      <c r="AH233" s="4" t="str">
        <f>Animals!$C$105</f>
        <v>&lt;li&gt;Megaspider&lt;/li&gt;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si="325"/>
        <v>98928.854132845765</v>
      </c>
      <c r="AP233" s="8">
        <f>IFERROR(C233*_xlfn.XLOOKUP(E233,Groups!A:A,Groups!K:K),0.106*C233^0.94)</f>
        <v>320</v>
      </c>
      <c r="AQ233" s="8">
        <f>AP233*10000/(_xlfn.XLOOKUP(E233,Groups!A:A,Groups!J:J)*AO233)</f>
        <v>26.955398301548669</v>
      </c>
      <c r="AR233" s="8">
        <f t="shared" si="326"/>
        <v>18601.190892984225</v>
      </c>
      <c r="AS233" s="8">
        <f>IF(_xlfn.XLOOKUP(E233,Groups!A:A,Groups!M:M)=1,EXP(0.7444*LN('Base stats'!C233)+6.5696),EXP(0.7927*LN('Base stats'!C233)+4.28))</f>
        <v>17253.62611008879</v>
      </c>
      <c r="AT233" s="8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IF(_xlfn.XLOOKUP(E233,Groups!A:A,Groups!N:N)="Theropod",EXP(0.6966*LN(C233)+4.158)*S233,
"No"))))))))))))))))</f>
        <v>121994.71824132207</v>
      </c>
      <c r="AU233" s="8">
        <f>IF(_xlfn.XLOOKUP(E233,Groups!A:A,Groups!U:U)=3,AS233,IF(_xlfn.XLOOKUP(E233,Groups!A:A,Groups!U:U)=2,AR233,AT233))</f>
        <v>121994.71824132207</v>
      </c>
      <c r="AV233" s="46">
        <f>IFERROR(AVERAGE(_xlfn.XLOOKUP(B233,Animals!B:B,Animals!N:N),_xlfn.XLOOKUP(B233,Animals!B:B,Animals!O:O)),0)</f>
        <v>0.5</v>
      </c>
      <c r="AW233" s="8">
        <f>MROUND(40*Animals!AO251*_xlfn.XLOOKUP(Animals!BB251,Leathers!$A$2:$A$99,Leathers!$B$2:$B$99,0)+(140*_xlfn.XLOOKUP(B233,Animals!B:B,Animals!AO:AO)*2),5)</f>
        <v>980</v>
      </c>
      <c r="AX233" s="8">
        <f>IFERROR(ROUND(SQRT(V233-1)*IF(_xlfn.XLOOKUP(E233,Groups!A:A,Groups!BF:BF)=0,2,1)*IF(_xlfn.XLOOKUP('Base stats'!E233,Groups!A:A,Groups!O:O)=0,1,0.1),1),0)</f>
        <v>3.5</v>
      </c>
      <c r="AY233" s="8">
        <f t="shared" si="327"/>
        <v>0</v>
      </c>
      <c r="AZ233" s="8">
        <f t="shared" si="328"/>
        <v>0</v>
      </c>
      <c r="BA233" s="8">
        <f t="shared" si="329"/>
        <v>9.5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30.494820103638951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si="330"/>
        <v>12.19792804145558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9.1371220764951868</v>
      </c>
      <c r="BF233" s="8">
        <f>(0.048*C233^1.01)/IF(_xlfn.XLOOKUP(E233,Groups!A:A,Groups!M:M)=1,0.25,0.8)*C233^-0.25</f>
        <v>11.432764307779475</v>
      </c>
      <c r="BG233" s="8">
        <f>EXP(1.076*LN(AR233)-4.5397)*IF(_xlfn.XLOOKUP(E233,Groups!A:A,Groups!BC:BC)=1,1.25,IF(_xlfn.XLOOKUP(E233,Groups!A:A,Groups!BD:BD)=1,3.5,2.5))</f>
        <v>524.04574632967251</v>
      </c>
      <c r="BH233" s="8">
        <f>EXP(1.076*LN(AS233)-4.5397)*IF(_xlfn.XLOOKUP(E233,Groups!A:A,Groups!M:M)=1,0.8,IF(_xlfn.XLOOKUP(E233,Groups!A:A,Groups!BC:BC)=1,1.3,3))</f>
        <v>502.64340004703536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>
        <f>IFERROR(EXP(1.076*LN(AT233)-4.5397)*IF(_xlfn.XLOOKUP(E233,Groups!A:A,Groups!N:N)="Insect",1,IF(OR(_xlfn.XLOOKUP(E233,Groups!A:A,Groups!N:N)="Pig",_xlfn.XLOOKUP(E233,Groups!A:A,Groups!N:N)="StrongBitingHerbivore"),3.5,3.75)),"No")</f>
        <v>3172.0227026397488</v>
      </c>
      <c r="BK233" s="8">
        <f t="shared" si="331"/>
        <v>9</v>
      </c>
      <c r="BL233" s="8">
        <f t="shared" si="332"/>
        <v>10</v>
      </c>
      <c r="BM233" s="8" t="str">
        <f t="shared" si="333"/>
        <v>No</v>
      </c>
      <c r="BN233" s="8">
        <f t="shared" si="334"/>
        <v>14</v>
      </c>
      <c r="BO233" s="8">
        <f t="shared" si="335"/>
        <v>9</v>
      </c>
      <c r="BP233" s="8" t="str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No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>
        <f>IF(BJ233="No","No",IF(_xlfn.XLOOKUP(E233,Groups!A:A,Groups!BF:BF)=1,(0.0315*C233+2.1825)*2,(0.7354*C233^0.4078)*2)/IF(_xlfn.XLOOKUP(E233,Groups!A:A,Groups!BM:BM)=1,1000,100))</f>
        <v>2.460104872713283E-2</v>
      </c>
      <c r="BS233" s="8">
        <f t="shared" si="336"/>
        <v>0.10594396365411493</v>
      </c>
      <c r="BT233" s="8" t="str">
        <f t="shared" si="337"/>
        <v>No</v>
      </c>
      <c r="BU233" s="8" t="str">
        <f t="shared" si="338"/>
        <v>No</v>
      </c>
      <c r="BV233" s="8">
        <f t="shared" si="339"/>
        <v>128938.51550081611</v>
      </c>
      <c r="BW233" s="4">
        <v>0</v>
      </c>
      <c r="BX233" s="4">
        <v>1</v>
      </c>
    </row>
    <row r="234" spans="1:76" s="16" customFormat="1" x14ac:dyDescent="0.25">
      <c r="A234" s="26" t="s">
        <v>1427</v>
      </c>
      <c r="B234" s="6" t="s">
        <v>1712</v>
      </c>
      <c r="C234" s="7">
        <v>300</v>
      </c>
      <c r="D234" s="7" t="s">
        <v>528</v>
      </c>
      <c r="E234" s="7" t="str">
        <f>Groups!$A$75</f>
        <v>Arachnid</v>
      </c>
      <c r="F234" s="7" t="str">
        <f t="shared" ref="F234:F235" si="352">"Lay eggs"</f>
        <v>Lay eggs</v>
      </c>
      <c r="G234" s="7">
        <v>5</v>
      </c>
      <c r="H234" s="7">
        <v>15</v>
      </c>
      <c r="I234" s="4">
        <v>1</v>
      </c>
      <c r="J234" s="7" t="str">
        <f t="shared" ref="J234:J235" si="353">"Lay eggs"</f>
        <v>Lay eggs</v>
      </c>
      <c r="K234" s="7" t="s">
        <v>528</v>
      </c>
      <c r="L234" s="7">
        <v>32</v>
      </c>
      <c r="M234" s="7" t="s">
        <v>528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tr">
        <f>IF(OR(_xlfn.XLOOKUP(E234,Groups!A:A,Groups!P:P)=1,_xlfn.XLOOKUP(E234,Groups!A:A,Groups!AD:AD)=1),"Need a formula","No")</f>
        <v>No</v>
      </c>
      <c r="V234" s="7">
        <v>4</v>
      </c>
      <c r="W234" s="7" t="str">
        <f>IF(_xlfn.XLOOKUP(E234,Groups!A:A,Groups!V:V)&lt;&gt;"No","Need a formula","No")</f>
        <v>No</v>
      </c>
      <c r="X234" s="7" t="s">
        <v>933</v>
      </c>
      <c r="Y234" s="4" t="s">
        <v>56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1719</v>
      </c>
      <c r="AH234" s="4" t="str">
        <f>Animals!$C$105</f>
        <v>&lt;li&gt;Megaspider&lt;/li&gt;</v>
      </c>
      <c r="AI234" s="4">
        <v>0</v>
      </c>
      <c r="AJ234" s="4">
        <v>0</v>
      </c>
      <c r="AK234" s="4">
        <v>0</v>
      </c>
      <c r="AL234" s="4">
        <v>0</v>
      </c>
      <c r="AM234" s="4">
        <v>1</v>
      </c>
      <c r="AN234" s="44" t="s">
        <v>40</v>
      </c>
      <c r="AO234" s="8">
        <f t="shared" si="325"/>
        <v>45232.625241713278</v>
      </c>
      <c r="AP234" s="8">
        <f>IFERROR(C234*_xlfn.XLOOKUP(E234,Groups!A:A,Groups!K:K),0.106*C234^0.94)</f>
        <v>96</v>
      </c>
      <c r="AQ234" s="8">
        <f>AP234*10000/(_xlfn.XLOOKUP(E234,Groups!A:A,Groups!J:J)*AO234)</f>
        <v>17.686349083763645</v>
      </c>
      <c r="AR234" s="8">
        <f t="shared" si="326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IF(_xlfn.XLOOKUP(E234,Groups!A:A,Groups!N:N)="Theropod",EXP(0.6966*LN(C234)+4.158)*S234,
"No"))))))))))))))))</f>
        <v>49786.327351106935</v>
      </c>
      <c r="AU234" s="8">
        <f>IF(_xlfn.XLOOKUP(E234,Groups!A:A,Groups!U:U)=3,AS234,IF(_xlfn.XLOOKUP(E234,Groups!A:A,Groups!U:U)=2,AR234,AT234))</f>
        <v>49786.327351106935</v>
      </c>
      <c r="AV234" s="46">
        <f>IFERROR(AVERAGE(_xlfn.XLOOKUP(B234,Animals!B:B,Animals!N:N),_xlfn.XLOOKUP(B234,Animals!B:B,Animals!O:O)),0)</f>
        <v>0.47500000000000003</v>
      </c>
      <c r="AW234" s="8">
        <f>MROUND(40*Animals!AO241*_xlfn.XLOOKUP(Animals!BB241,Leathers!$A$2:$A$99,Leathers!$B$2:$B$99,0)+(140*_xlfn.XLOOKUP(B234,Animals!B:B,Animals!AO:AO)*2),5)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3.5</v>
      </c>
      <c r="AY234" s="8">
        <f t="shared" si="327"/>
        <v>0</v>
      </c>
      <c r="AZ234" s="8">
        <f t="shared" si="328"/>
        <v>0</v>
      </c>
      <c r="BA234" s="8">
        <f t="shared" si="329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11.212793869379865</v>
      </c>
      <c r="BC234" s="8" t="str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No</v>
      </c>
      <c r="BD234" s="8">
        <f t="shared" si="330"/>
        <v>4.4851175477519458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 t="str">
        <f>IF(W234="No","No",IF(_xlfn.XLOOKUP(E234,Groups!A:A,Groups!U:U)=1,'Base stats'!BJ234,IF(OR(_xlfn.XLOOKUP(E234,Groups!A:A,Groups!BD:BD)=1,_xlfn.XLOOKUP(E234,Groups!A:A,Groups!U:U)=2),BG234,BH234))*1.2)</f>
        <v>No</v>
      </c>
      <c r="BJ234" s="8">
        <f>IFERROR(EXP(1.076*LN(AT234)-4.5397)*IF(_xlfn.XLOOKUP(E234,Groups!A:A,Groups!N:N)="Insect",1,IF(OR(_xlfn.XLOOKUP(E234,Groups!A:A,Groups!N:N)="Pig",_xlfn.XLOOKUP(E234,Groups!A:A,Groups!N:N)="StrongBitingHerbivore"),3.5,3.75)),"No")</f>
        <v>1209.271444624758</v>
      </c>
      <c r="BK234" s="8">
        <f t="shared" si="331"/>
        <v>8</v>
      </c>
      <c r="BL234" s="8">
        <f t="shared" si="332"/>
        <v>10</v>
      </c>
      <c r="BM234" s="8" t="str">
        <f t="shared" si="333"/>
        <v>No</v>
      </c>
      <c r="BN234" s="8">
        <f t="shared" si="334"/>
        <v>14</v>
      </c>
      <c r="BO234" s="8">
        <f t="shared" si="335"/>
        <v>8</v>
      </c>
      <c r="BP234" s="8" t="str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No</v>
      </c>
      <c r="BQ234" s="8" t="str">
        <f>IF(W234="No","No",IF(_xlfn.XLOOKUP(E234,Groups!A:A,Groups!BD:BD)=1,(AO234*5%),EXP(0.7354*LN(C234)^0.4078)*2/IF(_xlfn.XLOOKUP(E234,Groups!A:A,Groups!BL:BL)=1,1000,100)))</f>
        <v>No</v>
      </c>
      <c r="BR234" s="8">
        <f>IF(BJ234="No","No",IF(_xlfn.XLOOKUP(E234,Groups!A:A,Groups!BF:BF)=1,(0.0315*C234+2.1825)*2,(0.7354*C234^0.4078)*2)/IF(_xlfn.XLOOKUP(E234,Groups!A:A,Groups!BM:BM)=1,1000,100))</f>
        <v>1.5056487532717558E-2</v>
      </c>
      <c r="BS234" s="8">
        <f t="shared" si="336"/>
        <v>7.7571890181981018E-2</v>
      </c>
      <c r="BT234" s="8" t="str">
        <f t="shared" si="337"/>
        <v>No</v>
      </c>
      <c r="BU234" s="8" t="str">
        <f t="shared" si="338"/>
        <v>No</v>
      </c>
      <c r="BV234" s="8">
        <f t="shared" si="339"/>
        <v>80315.640815763065</v>
      </c>
      <c r="BW234" s="4">
        <v>0</v>
      </c>
      <c r="BX234" s="4">
        <v>1</v>
      </c>
    </row>
    <row r="235" spans="1:76" s="16" customFormat="1" x14ac:dyDescent="0.25">
      <c r="A235" s="26" t="s">
        <v>1429</v>
      </c>
      <c r="B235" s="6" t="s">
        <v>1713</v>
      </c>
      <c r="C235" s="7">
        <v>1000</v>
      </c>
      <c r="D235" s="7" t="s">
        <v>528</v>
      </c>
      <c r="E235" s="7" t="str">
        <f>Groups!$A$75</f>
        <v>Arachnid</v>
      </c>
      <c r="F235" s="7" t="str">
        <f t="shared" si="323"/>
        <v>Lay eggs</v>
      </c>
      <c r="G235" s="7" t="s">
        <v>1707</v>
      </c>
      <c r="H235" s="7">
        <v>15</v>
      </c>
      <c r="I235" s="4">
        <v>1</v>
      </c>
      <c r="J235" s="7" t="str">
        <f t="shared" si="324"/>
        <v>Lay eggs</v>
      </c>
      <c r="K235" s="7" t="s">
        <v>528</v>
      </c>
      <c r="L235" s="7">
        <v>32</v>
      </c>
      <c r="M235" s="7" t="s">
        <v>528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 t="str">
        <f>IF(OR(_xlfn.XLOOKUP(E235,Groups!A:A,Groups!P:P)=1,_xlfn.XLOOKUP(E235,Groups!A:A,Groups!AD:AD)=1),"Need a formula","No")</f>
        <v>No</v>
      </c>
      <c r="V235" s="7">
        <v>4</v>
      </c>
      <c r="W235" s="7" t="str">
        <f>IF(_xlfn.XLOOKUP(E235,Groups!A:A,Groups!V:V)&lt;&gt;"No","Need a formula","No")</f>
        <v>No</v>
      </c>
      <c r="X235" s="7" t="s">
        <v>933</v>
      </c>
      <c r="Y235" s="4" t="s">
        <v>56</v>
      </c>
      <c r="Z235" s="4">
        <v>1</v>
      </c>
      <c r="AA235" s="4">
        <v>0</v>
      </c>
      <c r="AB235" s="4">
        <v>1</v>
      </c>
      <c r="AC235" s="4">
        <v>0</v>
      </c>
      <c r="AD235" s="4">
        <v>0</v>
      </c>
      <c r="AE235" s="4" t="s">
        <v>45</v>
      </c>
      <c r="AF235" s="4" t="s">
        <v>45</v>
      </c>
      <c r="AG235" s="28" t="s">
        <v>1719</v>
      </c>
      <c r="AH235" s="4" t="str">
        <f>Animals!$C$105</f>
        <v>&lt;li&gt;Megaspider&lt;/li&gt;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ref="AO235" si="354">(0.111*C235^0.65)*10000</f>
        <v>98928.854132845765</v>
      </c>
      <c r="AP235" s="8">
        <f>IFERROR(C235*_xlfn.XLOOKUP(E235,Groups!A:A,Groups!K:K),0.106*C235^0.94)</f>
        <v>320</v>
      </c>
      <c r="AQ235" s="8">
        <f>AP235*10000/(_xlfn.XLOOKUP(E235,Groups!A:A,Groups!J:J)*AO235)</f>
        <v>26.955398301548669</v>
      </c>
      <c r="AR235" s="8">
        <f t="shared" ref="AR235" si="355">EXP(0.8447*LN(C235)+3.996)</f>
        <v>18601.190892984225</v>
      </c>
      <c r="AS235" s="8">
        <f>IF(_xlfn.XLOOKUP(E235,Groups!A:A,Groups!M:M)=1,EXP(0.7444*LN('Base stats'!C235)+6.5696),EXP(0.7927*LN('Base stats'!C235)+4.28))</f>
        <v>17253.62611008879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IF(_xlfn.XLOOKUP(E235,Groups!A:A,Groups!N:N)="Theropod",EXP(0.6966*LN(C235)+4.158)*S235,
"No"))))))))))))))))</f>
        <v>121994.71824132207</v>
      </c>
      <c r="AU235" s="8">
        <f>IF(_xlfn.XLOOKUP(E235,Groups!A:A,Groups!U:U)=3,AS235,IF(_xlfn.XLOOKUP(E235,Groups!A:A,Groups!U:U)=2,AR235,AT235))</f>
        <v>121994.71824132207</v>
      </c>
      <c r="AV235" s="46">
        <f>IFERROR(AVERAGE(_xlfn.XLOOKUP(B235,Animals!B:B,Animals!N:N),_xlfn.XLOOKUP(B235,Animals!B:B,Animals!O:O)),0)</f>
        <v>0.5</v>
      </c>
      <c r="AW235" s="8">
        <f>MROUND(40*Animals!AO253*_xlfn.XLOOKUP(Animals!BB253,Leathers!$A$2:$A$99,Leathers!$B$2:$B$99,0)+(140*_xlfn.XLOOKUP(B235,Animals!B:B,Animals!AO:AO)*2),5)</f>
        <v>1100</v>
      </c>
      <c r="AX235" s="8">
        <f>IFERROR(ROUND(SQRT(V235-1)*IF(_xlfn.XLOOKUP(E235,Groups!A:A,Groups!BF:BF)=0,2,1)*IF(_xlfn.XLOOKUP('Base stats'!E235,Groups!A:A,Groups!O:O)=0,1,0.1),1),0)</f>
        <v>3.5</v>
      </c>
      <c r="AY235" s="8">
        <f t="shared" ref="AY235" si="356">IFERROR(ROUND(SQRT(U235-1),1),0)</f>
        <v>0</v>
      </c>
      <c r="AZ235" s="8">
        <f t="shared" ref="AZ235" si="357">IFERROR(ROUND(SQRT(W235),1),0)</f>
        <v>0</v>
      </c>
      <c r="BA235" s="8">
        <f t="shared" ref="BA235" si="358">ROUND(
  EXP(0.3582*LN(C235)-0.2221) *
  (0.75 + 0.25*(C235^4/(C235^4+10^4))),
1)</f>
        <v>9.5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30.494820103638951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ref="BD235" si="359">(0.0392*C235^IF(OR(Y235="Herbivore",Y235="Dendrovore",Y235="OmnivoreRough"),0.889,0.966))*C235^-0.135</f>
        <v>12.19792804145558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9.1371220764951868</v>
      </c>
      <c r="BF235" s="8">
        <f>(0.048*C235^1.01)/IF(_xlfn.XLOOKUP(E235,Groups!A:A,Groups!M:M)=1,0.25,0.8)*C235^-0.25</f>
        <v>11.432764307779475</v>
      </c>
      <c r="BG235" s="8">
        <f>EXP(1.076*LN(AR235)-4.5397)*IF(_xlfn.XLOOKUP(E235,Groups!A:A,Groups!BC:BC)=1,1.25,IF(_xlfn.XLOOKUP(E235,Groups!A:A,Groups!BD:BD)=1,3.5,2.5))</f>
        <v>524.04574632967251</v>
      </c>
      <c r="BH235" s="8">
        <f>EXP(1.076*LN(AS235)-4.5397)*IF(_xlfn.XLOOKUP(E235,Groups!A:A,Groups!M:M)=1,0.8,IF(_xlfn.XLOOKUP(E235,Groups!A:A,Groups!BC:BC)=1,1.3,3))</f>
        <v>502.64340004703536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3172.0227026397488</v>
      </c>
      <c r="BK235" s="8">
        <f t="shared" ref="BK235" si="360">ROUNDDOWN(SQRT((2*BG235)/BD235),0)</f>
        <v>9</v>
      </c>
      <c r="BL235" s="8">
        <f t="shared" ref="BL235" si="361">ROUNDDOWN(SQRT((2*BH235)/BE235),0)</f>
        <v>10</v>
      </c>
      <c r="BM235" s="8" t="str">
        <f t="shared" ref="BM235" si="362">IF(W235="No","No",ROUNDDOWN(SQRT((2*BI235)/BC235),0))</f>
        <v>No</v>
      </c>
      <c r="BN235" s="8">
        <f t="shared" ref="BN235" si="363">IF(V235="No","No",ROUNDDOWN(SQRT((2*BJ235)/BB235),0))</f>
        <v>14</v>
      </c>
      <c r="BO235" s="8">
        <f t="shared" ref="BO235" si="364">ROUNDDOWN(SQRT((2*BH235)/BF235),0)</f>
        <v>9</v>
      </c>
      <c r="BP235" s="8" t="str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No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2.460104872713283E-2</v>
      </c>
      <c r="BS235" s="8">
        <f t="shared" ref="BS235" si="365">BG235/(AO235*5%)</f>
        <v>0.10594396365411493</v>
      </c>
      <c r="BT235" s="8" t="str">
        <f t="shared" ref="BT235" si="366">IF(BP235="No","No",BH235/BP235)</f>
        <v>No</v>
      </c>
      <c r="BU235" s="8" t="str">
        <f t="shared" ref="BU235" si="367">IF(W235="No","No",BI235/BQ235)</f>
        <v>No</v>
      </c>
      <c r="BV235" s="8">
        <f t="shared" ref="BV235" si="368">IF(BJ235="No","No",BJ235/BR235)</f>
        <v>128938.51550081611</v>
      </c>
      <c r="BW235" s="4">
        <v>0</v>
      </c>
      <c r="BX235" s="4">
        <v>1</v>
      </c>
    </row>
    <row r="236" spans="1:76" s="16" customFormat="1" x14ac:dyDescent="0.25">
      <c r="A236" s="26" t="s">
        <v>1381</v>
      </c>
      <c r="B236" s="6" t="s">
        <v>1709</v>
      </c>
      <c r="C236" s="7">
        <v>300</v>
      </c>
      <c r="D236" s="7" t="s">
        <v>528</v>
      </c>
      <c r="E236" s="7" t="str">
        <f>Groups!$A$75</f>
        <v>Arachnid</v>
      </c>
      <c r="F236" s="7" t="str">
        <f t="shared" ref="F236:F244" si="369">"Lay eggs"</f>
        <v>Lay eggs</v>
      </c>
      <c r="G236" s="7">
        <v>5</v>
      </c>
      <c r="H236" s="7">
        <v>15</v>
      </c>
      <c r="I236" s="4">
        <v>1</v>
      </c>
      <c r="J236" s="7" t="str">
        <f t="shared" ref="J236:J244" si="370">"Lay eggs"</f>
        <v>Lay eggs</v>
      </c>
      <c r="K236" s="7" t="s">
        <v>528</v>
      </c>
      <c r="L236" s="7">
        <v>32</v>
      </c>
      <c r="M236" s="7" t="s">
        <v>528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 t="str">
        <f>IF(OR(_xlfn.XLOOKUP(E236,Groups!A:A,Groups!P:P)=1,_xlfn.XLOOKUP(E236,Groups!A:A,Groups!AD:AD)=1),"Need a formula","No")</f>
        <v>No</v>
      </c>
      <c r="V236" s="7">
        <v>4</v>
      </c>
      <c r="W236" s="7" t="str">
        <f>IF(_xlfn.XLOOKUP(E236,Groups!A:A,Groups!V:V)&lt;&gt;"No","Need a formula","No")</f>
        <v>No</v>
      </c>
      <c r="X236" s="7" t="s">
        <v>933</v>
      </c>
      <c r="Y236" s="4" t="s">
        <v>56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1719</v>
      </c>
      <c r="AH236" s="4" t="str">
        <f>Animals!$C$105</f>
        <v>&lt;li&gt;Megaspider&lt;/li&gt;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ref="AO236:AO237" si="371">(0.111*C236^0.65)*10000</f>
        <v>45232.625241713278</v>
      </c>
      <c r="AP236" s="8">
        <f>IFERROR(C236*_xlfn.XLOOKUP(E236,Groups!A:A,Groups!K:K),0.106*C236^0.94)</f>
        <v>96</v>
      </c>
      <c r="AQ236" s="8">
        <f>AP236*10000/(_xlfn.XLOOKUP(E236,Groups!A:A,Groups!J:J)*AO236)</f>
        <v>17.686349083763645</v>
      </c>
      <c r="AR236" s="8">
        <f t="shared" ref="AR236:AR237" si="372">EXP(0.8447*LN(C236)+3.996)</f>
        <v>6727.6760861471967</v>
      </c>
      <c r="AS236" s="8">
        <f>IF(_xlfn.XLOOKUP(E236,Groups!A:A,Groups!M:M)=1,EXP(0.7444*LN('Base stats'!C236)+6.5696),EXP(0.7927*LN('Base stats'!C236)+4.28))</f>
        <v>6643.4611730321203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IF(_xlfn.XLOOKUP(E236,Groups!A:A,Groups!N:N)="Theropod",EXP(0.6966*LN(C236)+4.158)*S236,
"No"))))))))))))))))</f>
        <v>49786.327351106935</v>
      </c>
      <c r="AU236" s="8">
        <f>IF(_xlfn.XLOOKUP(E236,Groups!A:A,Groups!U:U)=3,AS236,IF(_xlfn.XLOOKUP(E236,Groups!A:A,Groups!U:U)=2,AR236,AT236))</f>
        <v>49786.327351106935</v>
      </c>
      <c r="AV236" s="46">
        <f>IFERROR(AVERAGE(_xlfn.XLOOKUP(B236,Animals!B:B,Animals!N:N),_xlfn.XLOOKUP(B236,Animals!B:B,Animals!O:O)),0)</f>
        <v>0.47500000000000003</v>
      </c>
      <c r="AW236" s="8">
        <f>MROUND(40*Animals!AO218*_xlfn.XLOOKUP(Animals!BB218,Leathers!$A$2:$A$99,Leathers!$B$2:$B$99,0)+(140*_xlfn.XLOOKUP(B236,Animals!B:B,Animals!AO:AO)*2),5)</f>
        <v>630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ref="AY236:AY237" si="373">IFERROR(ROUND(SQRT(U236-1),1),0)</f>
        <v>0</v>
      </c>
      <c r="AZ236" s="8">
        <f t="shared" ref="AZ236:AZ237" si="374">IFERROR(ROUND(SQRT(W236),1),0)</f>
        <v>0</v>
      </c>
      <c r="BA236" s="8">
        <f t="shared" ref="BA236:BA237" si="375">ROUND(
  EXP(0.3582*LN(C236)-0.2221) *
  (0.75 + 0.25*(C236^4/(C236^4+10^4))),
1)</f>
        <v>6.2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11.212793869379865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ref="BD236:BD237" si="376">(0.0392*C236^IF(OR(Y236="Herbivore",Y236="Dendrovore",Y236="OmnivoreRough"),0.889,0.966))*C236^-0.135</f>
        <v>4.4851175477519458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3.5724322889305471</v>
      </c>
      <c r="BF236" s="8">
        <f>(0.048*C236^1.01)/IF(_xlfn.XLOOKUP(E236,Groups!A:A,Groups!M:M)=1,0.25,0.8)*C236^-0.25</f>
        <v>4.5789236700969242</v>
      </c>
      <c r="BG236" s="8">
        <f>EXP(1.076*LN(AR236)-4.5397)*IF(_xlfn.XLOOKUP(E236,Groups!A:A,Groups!BC:BC)=1,1.25,IF(_xlfn.XLOOKUP(E236,Groups!A:A,Groups!BD:BD)=1,3.5,2.5))</f>
        <v>175.43901189464424</v>
      </c>
      <c r="BH236" s="8">
        <f>EXP(1.076*LN(AS236)-4.5397)*IF(_xlfn.XLOOKUP(E236,Groups!A:A,Groups!M:M)=1,0.8,IF(_xlfn.XLOOKUP(E236,Groups!A:A,Groups!BC:BC)=1,1.3,3))</f>
        <v>180.0002334924454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1209.271444624758</v>
      </c>
      <c r="BK236" s="8">
        <f t="shared" ref="BK236:BK237" si="377">ROUNDDOWN(SQRT((2*BG236)/BD236),0)</f>
        <v>8</v>
      </c>
      <c r="BL236" s="8">
        <f t="shared" ref="BL236:BL237" si="378">ROUNDDOWN(SQRT((2*BH236)/BE236),0)</f>
        <v>10</v>
      </c>
      <c r="BM236" s="8" t="str">
        <f t="shared" ref="BM236:BM237" si="379">IF(W236="No","No",ROUNDDOWN(SQRT((2*BI236)/BC236),0))</f>
        <v>No</v>
      </c>
      <c r="BN236" s="8">
        <f t="shared" ref="BN236:BN237" si="380">IF(V236="No","No",ROUNDDOWN(SQRT((2*BJ236)/BB236),0))</f>
        <v>14</v>
      </c>
      <c r="BO236" s="8">
        <f t="shared" ref="BO236:BO237" si="381">ROUNDDOWN(SQRT((2*BH236)/BF236),0)</f>
        <v>8</v>
      </c>
      <c r="BP236" s="8" t="str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No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1.5056487532717558E-2</v>
      </c>
      <c r="BS236" s="8">
        <f t="shared" ref="BS236:BS237" si="382">BG236/(AO236*5%)</f>
        <v>7.7571890181981018E-2</v>
      </c>
      <c r="BT236" s="8" t="str">
        <f t="shared" ref="BT236:BT237" si="383">IF(BP236="No","No",BH236/BP236)</f>
        <v>No</v>
      </c>
      <c r="BU236" s="8" t="str">
        <f t="shared" ref="BU236:BU237" si="384">IF(W236="No","No",BI236/BQ236)</f>
        <v>No</v>
      </c>
      <c r="BV236" s="8">
        <f t="shared" ref="BV236:BV237" si="385">IF(BJ236="No","No",BJ236/BR236)</f>
        <v>80315.640815763065</v>
      </c>
      <c r="BW236" s="4">
        <v>0</v>
      </c>
      <c r="BX236" s="4">
        <v>1</v>
      </c>
    </row>
    <row r="237" spans="1:76" s="16" customFormat="1" x14ac:dyDescent="0.25">
      <c r="A237" s="26" t="s">
        <v>1383</v>
      </c>
      <c r="B237" s="6" t="s">
        <v>1710</v>
      </c>
      <c r="C237" s="7">
        <v>1000</v>
      </c>
      <c r="D237" s="7" t="s">
        <v>528</v>
      </c>
      <c r="E237" s="7" t="str">
        <f>Groups!$A$75</f>
        <v>Arachnid</v>
      </c>
      <c r="F237" s="7" t="str">
        <f t="shared" si="323"/>
        <v>Lay eggs</v>
      </c>
      <c r="G237" s="7" t="s">
        <v>1707</v>
      </c>
      <c r="H237" s="7">
        <v>15</v>
      </c>
      <c r="I237" s="4">
        <v>1</v>
      </c>
      <c r="J237" s="7" t="str">
        <f t="shared" si="324"/>
        <v>Lay eggs</v>
      </c>
      <c r="K237" s="7" t="s">
        <v>528</v>
      </c>
      <c r="L237" s="7">
        <v>32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 t="str">
        <f>IF(OR(_xlfn.XLOOKUP(E237,Groups!A:A,Groups!P:P)=1,_xlfn.XLOOKUP(E237,Groups!A:A,Groups!AD:AD)=1),"Need a formula","No")</f>
        <v>No</v>
      </c>
      <c r="V237" s="7">
        <v>4</v>
      </c>
      <c r="W237" s="7" t="str">
        <f>IF(_xlfn.XLOOKUP(E237,Groups!A:A,Groups!V:V)&lt;&gt;"No","Need a formula","No")</f>
        <v>No</v>
      </c>
      <c r="X237" s="7" t="s">
        <v>933</v>
      </c>
      <c r="Y237" s="4" t="s">
        <v>56</v>
      </c>
      <c r="Z237" s="4">
        <v>1</v>
      </c>
      <c r="AA237" s="4">
        <v>0</v>
      </c>
      <c r="AB237" s="4">
        <v>1</v>
      </c>
      <c r="AC237" s="4">
        <v>0</v>
      </c>
      <c r="AD237" s="4">
        <v>0</v>
      </c>
      <c r="AE237" s="4" t="s">
        <v>45</v>
      </c>
      <c r="AF237" s="4" t="s">
        <v>45</v>
      </c>
      <c r="AG237" s="28" t="s">
        <v>1719</v>
      </c>
      <c r="AH237" s="4" t="str">
        <f>Animals!$C$105</f>
        <v>&lt;li&gt;Megaspider&lt;/li&gt;</v>
      </c>
      <c r="AI237" s="4">
        <v>0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371"/>
        <v>98928.854132845765</v>
      </c>
      <c r="AP237" s="8">
        <f>IFERROR(C237*_xlfn.XLOOKUP(E237,Groups!A:A,Groups!K:K),0.106*C237^0.94)</f>
        <v>320</v>
      </c>
      <c r="AQ237" s="8">
        <f>AP237*10000/(_xlfn.XLOOKUP(E237,Groups!A:A,Groups!J:J)*AO237)</f>
        <v>26.955398301548669</v>
      </c>
      <c r="AR237" s="8">
        <f t="shared" si="372"/>
        <v>18601.190892984225</v>
      </c>
      <c r="AS237" s="8">
        <f>IF(_xlfn.XLOOKUP(E237,Groups!A:A,Groups!M:M)=1,EXP(0.7444*LN('Base stats'!C237)+6.5696),EXP(0.7927*LN('Base stats'!C237)+4.28))</f>
        <v>17253.62611008879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IF(_xlfn.XLOOKUP(E237,Groups!A:A,Groups!N:N)="Theropod",EXP(0.6966*LN(C237)+4.158)*S237,
"No"))))))))))))))))</f>
        <v>121994.71824132207</v>
      </c>
      <c r="AU237" s="8">
        <f>IF(_xlfn.XLOOKUP(E237,Groups!A:A,Groups!U:U)=3,AS237,IF(_xlfn.XLOOKUP(E237,Groups!A:A,Groups!U:U)=2,AR237,AT237))</f>
        <v>121994.71824132207</v>
      </c>
      <c r="AV237" s="46">
        <f>IFERROR(AVERAGE(_xlfn.XLOOKUP(B237,Animals!B:B,Animals!N:N),_xlfn.XLOOKUP(B237,Animals!B:B,Animals!O:O)),0)</f>
        <v>0.5</v>
      </c>
      <c r="AW237" s="8">
        <f>MROUND(40*Animals!AO255*_xlfn.XLOOKUP(Animals!BB255,Leathers!$A$2:$A$99,Leathers!$B$2:$B$99,0)+(140*_xlfn.XLOOKUP(B237,Animals!B:B,Animals!AO:AO)*2),5)</f>
        <v>980</v>
      </c>
      <c r="AX237" s="8">
        <f>IFERROR(ROUND(SQRT(V237-1)*IF(_xlfn.XLOOKUP(E237,Groups!A:A,Groups!BF:BF)=0,2,1)*IF(_xlfn.XLOOKUP('Base stats'!E237,Groups!A:A,Groups!O:O)=0,1,0.1),1),0)</f>
        <v>3.5</v>
      </c>
      <c r="AY237" s="8">
        <f t="shared" si="373"/>
        <v>0</v>
      </c>
      <c r="AZ237" s="8">
        <f t="shared" si="374"/>
        <v>0</v>
      </c>
      <c r="BA237" s="8">
        <f t="shared" si="375"/>
        <v>9.5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30.494820103638951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376"/>
        <v>12.19792804145558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9.1371220764951868</v>
      </c>
      <c r="BF237" s="8">
        <f>(0.048*C237^1.01)/IF(_xlfn.XLOOKUP(E237,Groups!A:A,Groups!M:M)=1,0.25,0.8)*C237^-0.25</f>
        <v>11.432764307779475</v>
      </c>
      <c r="BG237" s="8">
        <f>EXP(1.076*LN(AR237)-4.5397)*IF(_xlfn.XLOOKUP(E237,Groups!A:A,Groups!BC:BC)=1,1.25,IF(_xlfn.XLOOKUP(E237,Groups!A:A,Groups!BD:BD)=1,3.5,2.5))</f>
        <v>524.04574632967251</v>
      </c>
      <c r="BH237" s="8">
        <f>EXP(1.076*LN(AS237)-4.5397)*IF(_xlfn.XLOOKUP(E237,Groups!A:A,Groups!M:M)=1,0.8,IF(_xlfn.XLOOKUP(E237,Groups!A:A,Groups!BC:BC)=1,1.3,3))</f>
        <v>502.64340004703536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3172.0227026397488</v>
      </c>
      <c r="BK237" s="8">
        <f t="shared" si="377"/>
        <v>9</v>
      </c>
      <c r="BL237" s="8">
        <f t="shared" si="378"/>
        <v>10</v>
      </c>
      <c r="BM237" s="8" t="str">
        <f t="shared" si="379"/>
        <v>No</v>
      </c>
      <c r="BN237" s="8">
        <f t="shared" si="380"/>
        <v>14</v>
      </c>
      <c r="BO237" s="8">
        <f t="shared" si="381"/>
        <v>9</v>
      </c>
      <c r="BP237" s="8" t="str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No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2.460104872713283E-2</v>
      </c>
      <c r="BS237" s="8">
        <f t="shared" si="382"/>
        <v>0.10594396365411493</v>
      </c>
      <c r="BT237" s="8" t="str">
        <f t="shared" si="383"/>
        <v>No</v>
      </c>
      <c r="BU237" s="8" t="str">
        <f t="shared" si="384"/>
        <v>No</v>
      </c>
      <c r="BV237" s="8">
        <f t="shared" si="385"/>
        <v>128938.51550081611</v>
      </c>
      <c r="BW237" s="4">
        <v>0</v>
      </c>
      <c r="BX237" s="4">
        <v>1</v>
      </c>
    </row>
    <row r="238" spans="1:76" s="16" customFormat="1" x14ac:dyDescent="0.25">
      <c r="A238" s="26" t="s">
        <v>1403</v>
      </c>
      <c r="B238" s="6" t="s">
        <v>1711</v>
      </c>
      <c r="C238" s="7">
        <v>350</v>
      </c>
      <c r="D238" s="7" t="s">
        <v>528</v>
      </c>
      <c r="E238" s="7" t="str">
        <f>Groups!$A$75</f>
        <v>Arachnid</v>
      </c>
      <c r="F238" s="7" t="str">
        <f t="shared" si="344"/>
        <v>Lay eggs</v>
      </c>
      <c r="G238" s="7">
        <v>5</v>
      </c>
      <c r="H238" s="7">
        <v>15</v>
      </c>
      <c r="I238" s="4">
        <v>1</v>
      </c>
      <c r="J238" s="7" t="str">
        <f t="shared" si="345"/>
        <v>Lay eggs</v>
      </c>
      <c r="K238" s="7" t="s">
        <v>528</v>
      </c>
      <c r="L238" s="7">
        <v>32</v>
      </c>
      <c r="M238" s="7" t="s">
        <v>528</v>
      </c>
      <c r="N238" s="4">
        <v>0</v>
      </c>
      <c r="O238" s="4">
        <v>0</v>
      </c>
      <c r="P238" s="4">
        <v>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tr">
        <f>IF(OR(_xlfn.XLOOKUP(E238,Groups!A:A,Groups!P:P)=1,_xlfn.XLOOKUP(E238,Groups!A:A,Groups!AD:AD)=1),"Need a formula","No")</f>
        <v>No</v>
      </c>
      <c r="V238" s="7">
        <v>4</v>
      </c>
      <c r="W238" s="7" t="str">
        <f>IF(_xlfn.XLOOKUP(E238,Groups!A:A,Groups!V:V)&lt;&gt;"No","Need a formula","No")</f>
        <v>No</v>
      </c>
      <c r="X238" s="7" t="s">
        <v>933</v>
      </c>
      <c r="Y238" s="4" t="s">
        <v>56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45</v>
      </c>
      <c r="AG238" s="28" t="s">
        <v>1719</v>
      </c>
      <c r="AH238" s="4" t="str">
        <f>Animals!$C$105</f>
        <v>&lt;li&gt;Megaspider&lt;/li&gt;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1</v>
      </c>
      <c r="AN238" s="44" t="s">
        <v>40</v>
      </c>
      <c r="AO238" s="8">
        <f t="shared" ref="AO238" si="386">(0.111*C238^0.65)*10000</f>
        <v>49999.678016554004</v>
      </c>
      <c r="AP238" s="8">
        <f>IFERROR(C238*_xlfn.XLOOKUP(E238,Groups!A:A,Groups!K:K),0.106*C238^0.94)</f>
        <v>112</v>
      </c>
      <c r="AQ238" s="8">
        <f>AP238*10000/(_xlfn.XLOOKUP(E238,Groups!A:A,Groups!J:J)*AO238)</f>
        <v>18.666786874593939</v>
      </c>
      <c r="AR238" s="8">
        <f t="shared" ref="AR238" si="387">EXP(0.8447*LN(C238)+3.996)</f>
        <v>7663.2858706487614</v>
      </c>
      <c r="AS238" s="8">
        <f>IF(_xlfn.XLOOKUP(E238,Groups!A:A,Groups!M:M)=1,EXP(0.7444*LN('Base stats'!C238)+6.5696),EXP(0.7927*LN('Base stats'!C238)+4.28))</f>
        <v>7506.9430520091801</v>
      </c>
      <c r="AT238" s="8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IF(_xlfn.XLOOKUP(E238,Groups!A:A,Groups!N:N)="Theropod",EXP(0.6966*LN(C238)+4.158)*S238,
"No"))))))))))))))))</f>
        <v>55839.983402189697</v>
      </c>
      <c r="AU238" s="8">
        <f>IF(_xlfn.XLOOKUP(E238,Groups!A:A,Groups!U:U)=3,AS238,IF(_xlfn.XLOOKUP(E238,Groups!A:A,Groups!U:U)=2,AR238,AT238))</f>
        <v>55839.983402189697</v>
      </c>
      <c r="AV238" s="46">
        <f>IFERROR(AVERAGE(_xlfn.XLOOKUP(B238,Animals!B:B,Animals!N:N),_xlfn.XLOOKUP(B238,Animals!B:B,Animals!O:O)),0)</f>
        <v>0.47500000000000003</v>
      </c>
      <c r="AW238" s="8">
        <f>MROUND(40*Animals!AO229*_xlfn.XLOOKUP(Animals!BB229,Leathers!$A$2:$A$99,Leathers!$B$2:$B$99,0)+(140*_xlfn.XLOOKUP(B238,Animals!B:B,Animals!AO:AO)*2),5)</f>
        <v>700</v>
      </c>
      <c r="AX238" s="8">
        <f>IFERROR(ROUND(SQRT(V238-1)*IF(_xlfn.XLOOKUP(E238,Groups!A:A,Groups!BF:BF)=0,2,1)*IF(_xlfn.XLOOKUP('Base stats'!E238,Groups!A:A,Groups!O:O)=0,1,0.1),1),0)</f>
        <v>3.5</v>
      </c>
      <c r="AY238" s="8">
        <f t="shared" ref="AY238" si="388">IFERROR(ROUND(SQRT(U238-1),1),0)</f>
        <v>0</v>
      </c>
      <c r="AZ238" s="8">
        <f t="shared" ref="AZ238" si="389">IFERROR(ROUND(SQRT(W238),1),0)</f>
        <v>0</v>
      </c>
      <c r="BA238" s="8">
        <f t="shared" ref="BA238" si="390">ROUND(
  EXP(0.3582*LN(C238)-0.2221) *
  (0.75 + 0.25*(C238^4/(C238^4+10^4))),
1)</f>
        <v>6.5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12.745198992247673</v>
      </c>
      <c r="BC238" s="8" t="str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No</v>
      </c>
      <c r="BD238" s="8">
        <f t="shared" ref="BD238" si="391">(0.0392*C238^IF(OR(Y238="Herbivore",Y238="Dendrovore",Y238="OmnivoreRough"),0.889,0.966))*C238^-0.135</f>
        <v>5.0980795968990691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4.0288630215054066</v>
      </c>
      <c r="BF238" s="8">
        <f>(0.048*C238^1.01)/IF(_xlfn.XLOOKUP(E238,Groups!A:A,Groups!M:M)=1,0.25,0.8)*C238^-0.25</f>
        <v>5.1480524630900852</v>
      </c>
      <c r="BG238" s="8">
        <f>EXP(1.076*LN(AR238)-4.5397)*IF(_xlfn.XLOOKUP(E238,Groups!A:A,Groups!BC:BC)=1,1.25,IF(_xlfn.XLOOKUP(E238,Groups!A:A,Groups!BD:BD)=1,3.5,2.5))</f>
        <v>201.82451722111298</v>
      </c>
      <c r="BH238" s="8">
        <f>EXP(1.076*LN(AS238)-4.5397)*IF(_xlfn.XLOOKUP(E238,Groups!A:A,Groups!M:M)=1,0.8,IF(_xlfn.XLOOKUP(E238,Groups!A:A,Groups!BC:BC)=1,1.3,3))</f>
        <v>205.29341130609819</v>
      </c>
      <c r="BI238" s="8" t="str">
        <f>IF(W238="No","No",IF(_xlfn.XLOOKUP(E238,Groups!A:A,Groups!U:U)=1,'Base stats'!BJ238,IF(OR(_xlfn.XLOOKUP(E238,Groups!A:A,Groups!BD:BD)=1,_xlfn.XLOOKUP(E238,Groups!A:A,Groups!U:U)=2),BG238,BH238))*1.2)</f>
        <v>No</v>
      </c>
      <c r="BJ238" s="8">
        <f>IFERROR(EXP(1.076*LN(AT238)-4.5397)*IF(_xlfn.XLOOKUP(E238,Groups!A:A,Groups!N:N)="Insect",1,IF(OR(_xlfn.XLOOKUP(E238,Groups!A:A,Groups!N:N)="Pig",_xlfn.XLOOKUP(E238,Groups!A:A,Groups!N:N)="StrongBitingHerbivore"),3.5,3.75)),"No")</f>
        <v>1368.1901590182752</v>
      </c>
      <c r="BK238" s="8">
        <f t="shared" ref="BK238" si="392">ROUNDDOWN(SQRT((2*BG238)/BD238),0)</f>
        <v>8</v>
      </c>
      <c r="BL238" s="8">
        <f t="shared" ref="BL238" si="393">ROUNDDOWN(SQRT((2*BH238)/BE238),0)</f>
        <v>10</v>
      </c>
      <c r="BM238" s="8" t="str">
        <f t="shared" ref="BM238" si="394">IF(W238="No","No",ROUNDDOWN(SQRT((2*BI238)/BC238),0))</f>
        <v>No</v>
      </c>
      <c r="BN238" s="8">
        <f t="shared" ref="BN238" si="395">IF(V238="No","No",ROUNDDOWN(SQRT((2*BJ238)/BB238),0))</f>
        <v>14</v>
      </c>
      <c r="BO238" s="8">
        <f t="shared" ref="BO238" si="396">ROUNDDOWN(SQRT((2*BH238)/BF238),0)</f>
        <v>8</v>
      </c>
      <c r="BP238" s="8" t="str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No</v>
      </c>
      <c r="BQ238" s="8" t="str">
        <f>IF(W238="No","No",IF(_xlfn.XLOOKUP(E238,Groups!A:A,Groups!BD:BD)=1,(AO238*5%),EXP(0.7354*LN(C238)^0.4078)*2/IF(_xlfn.XLOOKUP(E238,Groups!A:A,Groups!BL:BL)=1,1000,100)))</f>
        <v>No</v>
      </c>
      <c r="BR238" s="8">
        <f>IF(BJ238="No","No",IF(_xlfn.XLOOKUP(E238,Groups!A:A,Groups!BF:BF)=1,(0.0315*C238+2.1825)*2,(0.7354*C238^0.4078)*2)/IF(_xlfn.XLOOKUP(E238,Groups!A:A,Groups!BM:BM)=1,1000,100))</f>
        <v>1.6033360949166103E-2</v>
      </c>
      <c r="BS238" s="8">
        <f t="shared" ref="BS238" si="397">BG238/(AO238*5%)</f>
        <v>8.0730326765021357E-2</v>
      </c>
      <c r="BT238" s="8" t="str">
        <f t="shared" ref="BT238" si="398">IF(BP238="No","No",BH238/BP238)</f>
        <v>No</v>
      </c>
      <c r="BU238" s="8" t="str">
        <f t="shared" ref="BU238" si="399">IF(W238="No","No",BI238/BQ238)</f>
        <v>No</v>
      </c>
      <c r="BV238" s="8">
        <f t="shared" ref="BV238" si="400">IF(BJ238="No","No",BJ238/BR238)</f>
        <v>85333.95857276168</v>
      </c>
      <c r="BW238" s="4">
        <v>0</v>
      </c>
      <c r="BX238" s="4">
        <v>1</v>
      </c>
    </row>
    <row r="239" spans="1:76" s="16" customFormat="1" x14ac:dyDescent="0.25">
      <c r="A239" s="26" t="s">
        <v>1495</v>
      </c>
      <c r="B239" s="6" t="s">
        <v>1715</v>
      </c>
      <c r="C239" s="7">
        <v>400</v>
      </c>
      <c r="D239" s="7" t="s">
        <v>528</v>
      </c>
      <c r="E239" s="7" t="str">
        <f>Groups!$A$75</f>
        <v>Arachnid</v>
      </c>
      <c r="F239" s="7" t="str">
        <f t="shared" ref="F239" si="401">"Lay eggs"</f>
        <v>Lay eggs</v>
      </c>
      <c r="G239" s="7">
        <v>5</v>
      </c>
      <c r="H239" s="7">
        <v>15</v>
      </c>
      <c r="I239" s="4">
        <v>1</v>
      </c>
      <c r="J239" s="7" t="str">
        <f t="shared" ref="J239" si="402">"Lay eggs"</f>
        <v>Lay eggs</v>
      </c>
      <c r="K239" s="7" t="s">
        <v>528</v>
      </c>
      <c r="L239" s="7">
        <v>32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>
        <v>4</v>
      </c>
      <c r="W239" s="7" t="str">
        <f>IF(_xlfn.XLOOKUP(E239,Groups!A:A,Groups!V:V)&lt;&gt;"No","Need a formula","No")</f>
        <v>No</v>
      </c>
      <c r="X239" s="7" t="s">
        <v>933</v>
      </c>
      <c r="Y239" s="4" t="s">
        <v>56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1719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6" si="403">(0.111*C239^0.65)*10000</f>
        <v>54533.324359541104</v>
      </c>
      <c r="AP239" s="8">
        <f>IFERROR(C239*_xlfn.XLOOKUP(E239,Groups!A:A,Groups!K:K),0.106*C239^0.94)</f>
        <v>128</v>
      </c>
      <c r="AQ239" s="8">
        <f>AP239*10000/(_xlfn.XLOOKUP(E239,Groups!A:A,Groups!J:J)*AO239)</f>
        <v>19.559905419190599</v>
      </c>
      <c r="AR239" s="8">
        <f t="shared" ref="AR239:AR246" si="404">EXP(0.8447*LN(C239)+3.996)</f>
        <v>8578.2919817776201</v>
      </c>
      <c r="AS239" s="8">
        <f>IF(_xlfn.XLOOKUP(E239,Groups!A:A,Groups!M:M)=1,EXP(0.7444*LN('Base stats'!C239)+6.5696),EXP(0.7927*LN('Base stats'!C239)+4.28))</f>
        <v>8345.1344423422543</v>
      </c>
      <c r="AT239" s="8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IF(_xlfn.XLOOKUP(E239,Groups!A:A,Groups!N:N)="Theropod",EXP(0.6966*LN(C239)+4.158)*S239,
"No"))))))))))))))))</f>
        <v>61675.756600829809</v>
      </c>
      <c r="AU239" s="8">
        <f>IF(_xlfn.XLOOKUP(E239,Groups!A:A,Groups!U:U)=3,AS239,IF(_xlfn.XLOOKUP(E239,Groups!A:A,Groups!U:U)=2,AR239,AT239))</f>
        <v>61675.756600829809</v>
      </c>
      <c r="AV239" s="46">
        <f>IFERROR(AVERAGE(_xlfn.XLOOKUP(B239,Animals!B:B,Animals!N:N),_xlfn.XLOOKUP(B239,Animals!B:B,Animals!O:O)),0)</f>
        <v>0.47500000000000003</v>
      </c>
      <c r="AW239" s="8">
        <f>MROUND(40*Animals!AO273*_xlfn.XLOOKUP(Animals!BB273,Leathers!$A$2:$A$99,Leathers!$B$2:$B$99,0)+(140*_xlfn.XLOOKUP(B239,Animals!B:B,Animals!AO:AO)*2),5)</f>
        <v>900</v>
      </c>
      <c r="AX239" s="8">
        <f>IFERROR(ROUND(SQRT(V239-1)*IF(_xlfn.XLOOKUP(E239,Groups!A:A,Groups!BF:BF)=0,2,1)*IF(_xlfn.XLOOKUP('Base stats'!E239,Groups!A:A,Groups!O:O)=0,1,0.1),1),0)</f>
        <v>3.5</v>
      </c>
      <c r="AY239" s="8">
        <f t="shared" ref="AY239:AY246" si="405">IFERROR(ROUND(SQRT(U239-1),1),0)</f>
        <v>0</v>
      </c>
      <c r="AZ239" s="8">
        <f t="shared" ref="AZ239:AZ246" si="406">IFERROR(ROUND(SQRT(W239),1),0)</f>
        <v>0</v>
      </c>
      <c r="BA239" s="8">
        <f t="shared" ref="BA239:BA246" si="407">ROUND(
  EXP(0.3582*LN(C239)-0.2221) *
  (0.75 + 0.25*(C239^4/(C239^4+10^4))),
1)</f>
        <v>6.8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14.24091612215088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6" si="408">(0.0392*C239^IF(OR(Y239="Herbivore",Y239="Dendrovore",Y239="OmnivoreRough"),0.889,0.966))*C239^-0.135</f>
        <v>5.6963664488603518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4.4711189144854107</v>
      </c>
      <c r="BF239" s="8">
        <f>(0.048*C239^1.01)/IF(_xlfn.XLOOKUP(E239,Groups!A:A,Groups!M:M)=1,0.25,0.8)*C239^-0.25</f>
        <v>5.6979265131759371</v>
      </c>
      <c r="BG239" s="8">
        <f>EXP(1.076*LN(AR239)-4.5397)*IF(_xlfn.XLOOKUP(E239,Groups!A:A,Groups!BC:BC)=1,1.25,IF(_xlfn.XLOOKUP(E239,Groups!A:A,Groups!BD:BD)=1,3.5,2.5))</f>
        <v>227.86763271095117</v>
      </c>
      <c r="BH239" s="8">
        <f>EXP(1.076*LN(AS239)-4.5397)*IF(_xlfn.XLOOKUP(E239,Groups!A:A,Groups!M:M)=1,0.8,IF(_xlfn.XLOOKUP(E239,Groups!A:A,Groups!BC:BC)=1,1.3,3))</f>
        <v>230.05886038348521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>
        <f>IFERROR(EXP(1.076*LN(AT239)-4.5397)*IF(_xlfn.XLOOKUP(E239,Groups!A:A,Groups!N:N)="Insect",1,IF(OR(_xlfn.XLOOKUP(E239,Groups!A:A,Groups!N:N)="Pig",_xlfn.XLOOKUP(E239,Groups!A:A,Groups!N:N)="StrongBitingHerbivore"),3.5,3.75)),"No")</f>
        <v>1522.6375201719823</v>
      </c>
      <c r="BK239" s="8">
        <f t="shared" ref="BK239:BL246" si="409">ROUNDDOWN(SQRT((2*BG239)/BD239),0)</f>
        <v>8</v>
      </c>
      <c r="BL239" s="8">
        <f t="shared" si="409"/>
        <v>10</v>
      </c>
      <c r="BM239" s="8" t="str">
        <f t="shared" ref="BM239:BM246" si="410">IF(W239="No","No",ROUNDDOWN(SQRT((2*BI239)/BC239),0))</f>
        <v>No</v>
      </c>
      <c r="BN239" s="8">
        <f t="shared" ref="BN239:BN246" si="411">IF(V239="No","No",ROUNDDOWN(SQRT((2*BJ239)/BB239),0))</f>
        <v>14</v>
      </c>
      <c r="BO239" s="8">
        <f t="shared" ref="BO239:BO246" si="412">ROUNDDOWN(SQRT((2*BH239)/BF239),0)</f>
        <v>8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>
        <f>IF(BJ239="No","No",IF(_xlfn.XLOOKUP(E239,Groups!A:A,Groups!BF:BF)=1,(0.0315*C239+2.1825)*2,(0.7354*C239^0.4078)*2)/IF(_xlfn.XLOOKUP(E239,Groups!A:A,Groups!BM:BM)=1,1000,100))</f>
        <v>1.6930652098775201E-2</v>
      </c>
      <c r="BS239" s="8">
        <f t="shared" ref="BS239:BS246" si="413">BG239/(AO239*5%)</f>
        <v>8.3570050198519985E-2</v>
      </c>
      <c r="BT239" s="8" t="str">
        <f t="shared" ref="BT239:BT246" si="414">IF(BP239="No","No",BH239/BP239)</f>
        <v>No</v>
      </c>
      <c r="BU239" s="8" t="str">
        <f t="shared" ref="BU239:BU246" si="415">IF(W239="No","No",BI239/BQ239)</f>
        <v>No</v>
      </c>
      <c r="BV239" s="8">
        <f t="shared" ref="BV239:BV246" si="416">IF(BJ239="No","No",BJ239/BR239)</f>
        <v>89933.778763437775</v>
      </c>
      <c r="BW239" s="4">
        <v>0</v>
      </c>
      <c r="BX239" s="4">
        <v>1</v>
      </c>
    </row>
    <row r="240" spans="1:76" s="16" customFormat="1" x14ac:dyDescent="0.25">
      <c r="A240" s="26" t="s">
        <v>1375</v>
      </c>
      <c r="B240" s="6" t="s">
        <v>1859</v>
      </c>
      <c r="C240" s="7">
        <v>15</v>
      </c>
      <c r="D240" s="7" t="s">
        <v>528</v>
      </c>
      <c r="E240" s="7" t="str">
        <f>Groups!$A$80</f>
        <v>Beetle (ARMORED)</v>
      </c>
      <c r="F240" s="7" t="str">
        <f t="shared" si="369"/>
        <v>Lay eggs</v>
      </c>
      <c r="G240" s="7">
        <v>1</v>
      </c>
      <c r="H240" s="7">
        <v>10</v>
      </c>
      <c r="I240" s="4">
        <v>0</v>
      </c>
      <c r="J240" s="7" t="str">
        <f t="shared" si="370"/>
        <v>Lay eggs</v>
      </c>
      <c r="K240" s="7" t="s">
        <v>528</v>
      </c>
      <c r="L240" s="7">
        <v>25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>
        <v>1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">
        <v>45</v>
      </c>
      <c r="V240" s="7">
        <v>5</v>
      </c>
      <c r="W240" s="7" t="s">
        <v>45</v>
      </c>
      <c r="X240" s="7" t="s">
        <v>933</v>
      </c>
      <c r="Y240" s="4" t="s">
        <v>53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1051</v>
      </c>
      <c r="AF240" s="4" t="s">
        <v>45</v>
      </c>
      <c r="AG240" s="28" t="s">
        <v>1812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403"/>
        <v>6453.306570514339</v>
      </c>
      <c r="AP240" s="8">
        <f>IFERROR(C240*_xlfn.XLOOKUP(E240,Groups!A:A,Groups!K:K),0.106*C240^0.94)</f>
        <v>4.8</v>
      </c>
      <c r="AQ240" s="8">
        <f>AP240*10000/(_xlfn.XLOOKUP(E240,Groups!A:A,Groups!J:J)*AO240)</f>
        <v>8.3573566016660514</v>
      </c>
      <c r="AR240" s="8">
        <f t="shared" si="404"/>
        <v>535.65484345622485</v>
      </c>
      <c r="AS240" s="8">
        <f>IF(_xlfn.XLOOKUP(E240,Groups!A:A,Groups!M:M)=1,EXP(0.7444*LN('Base stats'!C240)+6.5696),EXP(0.7927*LN('Base stats'!C240)+4.28))</f>
        <v>5353.3219353913164</v>
      </c>
      <c r="AT240" s="8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IF(_xlfn.XLOOKUP(E240,Groups!A:A,Groups!N:N)="Theropod",EXP(0.6966*LN(C240)+4.158)*S240,
"No"))))))))))))))))</f>
        <v>5353.3219353913164</v>
      </c>
      <c r="AU240" s="8">
        <f>IF(_xlfn.XLOOKUP(E240,Groups!A:A,Groups!U:U)=3,AS240,IF(_xlfn.XLOOKUP(E240,Groups!A:A,Groups!U:U)=2,AR240,AT240))</f>
        <v>5353.3219353913164</v>
      </c>
      <c r="AV240" s="46">
        <f>IFERROR(AVERAGE(_xlfn.XLOOKUP(B240,Animals!B:B,Animals!N:N),_xlfn.XLOOKUP(B240,Animals!B:B,Animals!O:O)),0)</f>
        <v>0.67500000000000004</v>
      </c>
      <c r="AW240" s="8">
        <f>MROUND(40*Animals!AO215*_xlfn.XLOOKUP(Animals!BB215,Leathers!$A$2:$A$99,Leathers!$B$2:$B$99,0)+(140*_xlfn.XLOOKUP(B240,Animals!B:B,Animals!AO:AO)*2),5)</f>
        <v>140</v>
      </c>
      <c r="AX240" s="8">
        <f>IFERROR(ROUND(SQRT(V240-1)*IF(_xlfn.XLOOKUP(E240,Groups!A:A,Groups!BF:BF)=0,2,1)*IF(_xlfn.XLOOKUP('Base stats'!E240,Groups!A:A,Groups!O:O)=0,1,0.1),1),0)</f>
        <v>4</v>
      </c>
      <c r="AY240" s="8">
        <f t="shared" si="405"/>
        <v>0</v>
      </c>
      <c r="AZ240" s="8">
        <f t="shared" si="406"/>
        <v>0</v>
      </c>
      <c r="BA240" s="8">
        <f t="shared" si="407"/>
        <v>2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0.93016054081951027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408"/>
        <v>0.37206421632780412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0.69054280580117122</v>
      </c>
      <c r="BF240" s="8">
        <f>(0.048*C240^1.01)/IF(_xlfn.XLOOKUP(E240,Groups!A:A,Groups!M:M)=1,0.25,0.8)*C240^-0.25</f>
        <v>1.503594005422539</v>
      </c>
      <c r="BG240" s="8">
        <f>EXP(1.076*LN(AR240)-4.5397)*IF(_xlfn.XLOOKUP(E240,Groups!A:A,Groups!BC:BC)=1,1.25,IF(_xlfn.XLOOKUP(E240,Groups!A:A,Groups!BD:BD)=1,3.5,2.5))</f>
        <v>11.524541402552655</v>
      </c>
      <c r="BH240" s="8">
        <f>EXP(1.076*LN(AS240)-4.5397)*IF(_xlfn.XLOOKUP(E240,Groups!A:A,Groups!M:M)=1,0.8,IF(_xlfn.XLOOKUP(E240,Groups!A:A,Groups!BC:BC)=1,1.3,3))</f>
        <v>87.805569597772788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>
        <f>IFERROR(EXP(1.076*LN(AT240)-4.5397)*IF(_xlfn.XLOOKUP(E240,Groups!A:A,Groups!N:N)="Insect",1,IF(OR(_xlfn.XLOOKUP(E240,Groups!A:A,Groups!N:N)="Pig",_xlfn.XLOOKUP(E240,Groups!A:A,Groups!N:N)="StrongBitingHerbivore"),3.5,3.75)),"No")</f>
        <v>109.75696199721598</v>
      </c>
      <c r="BK240" s="8">
        <f t="shared" si="409"/>
        <v>7</v>
      </c>
      <c r="BL240" s="8">
        <f t="shared" si="409"/>
        <v>15</v>
      </c>
      <c r="BM240" s="8" t="str">
        <f t="shared" si="410"/>
        <v>No</v>
      </c>
      <c r="BN240" s="8">
        <f t="shared" si="411"/>
        <v>15</v>
      </c>
      <c r="BO240" s="8">
        <f t="shared" si="412"/>
        <v>10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>
        <f>IF(BJ240="No","No",IF(_xlfn.XLOOKUP(E240,Groups!A:A,Groups!BF:BF)=1,(0.0315*C240+2.1825)*2,(0.7354*C240^0.4078)*2)/IF(_xlfn.XLOOKUP(E240,Groups!A:A,Groups!BM:BM)=1,1000,100))</f>
        <v>4.4377582152222601E-2</v>
      </c>
      <c r="BS240" s="8">
        <f t="shared" si="413"/>
        <v>3.5716702055374784E-2</v>
      </c>
      <c r="BT240" s="8" t="str">
        <f t="shared" si="414"/>
        <v>No</v>
      </c>
      <c r="BU240" s="8" t="str">
        <f t="shared" si="415"/>
        <v>No</v>
      </c>
      <c r="BV240" s="8">
        <f t="shared" si="416"/>
        <v>2473.2524097579508</v>
      </c>
      <c r="BW240" s="4">
        <v>0</v>
      </c>
      <c r="BX240" s="4">
        <v>1</v>
      </c>
    </row>
    <row r="241" spans="1:76" s="16" customFormat="1" x14ac:dyDescent="0.25">
      <c r="A241" s="26" t="s">
        <v>1377</v>
      </c>
      <c r="B241" s="6" t="s">
        <v>1860</v>
      </c>
      <c r="C241" s="7">
        <v>200</v>
      </c>
      <c r="D241" s="7" t="s">
        <v>528</v>
      </c>
      <c r="E241" s="7" t="str">
        <f>Groups!$A$84</f>
        <v>Beetle (CLAWS, ARMORED)</v>
      </c>
      <c r="F241" s="7" t="str">
        <f t="shared" si="369"/>
        <v>Lay eggs</v>
      </c>
      <c r="G241" s="7">
        <v>1.5</v>
      </c>
      <c r="H241" s="7">
        <v>15</v>
      </c>
      <c r="I241" s="4">
        <v>0</v>
      </c>
      <c r="J241" s="7" t="str">
        <f t="shared" si="370"/>
        <v>Lay eggs</v>
      </c>
      <c r="K241" s="7" t="s">
        <v>528</v>
      </c>
      <c r="L241" s="7">
        <v>27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>
        <v>1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>
        <v>8</v>
      </c>
      <c r="V241" s="7">
        <v>16</v>
      </c>
      <c r="W241" s="7" t="s">
        <v>45</v>
      </c>
      <c r="X241" s="7" t="s">
        <v>933</v>
      </c>
      <c r="Y241" s="4" t="s">
        <v>53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1049</v>
      </c>
      <c r="AF241" s="4" t="s">
        <v>45</v>
      </c>
      <c r="AG241" s="28" t="s">
        <v>1812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403"/>
        <v>34753.014052750754</v>
      </c>
      <c r="AP241" s="8">
        <f>IFERROR(C241*_xlfn.XLOOKUP(E241,Groups!A:A,Groups!K:K),0.106*C241^0.94)</f>
        <v>64</v>
      </c>
      <c r="AQ241" s="8">
        <f>AP241*10000/(_xlfn.XLOOKUP(E241,Groups!A:A,Groups!J:J)*AO241)</f>
        <v>20.691762806644611</v>
      </c>
      <c r="AR241" s="8">
        <f t="shared" si="404"/>
        <v>4776.6210371506204</v>
      </c>
      <c r="AS241" s="8">
        <f>IF(_xlfn.XLOOKUP(E241,Groups!A:A,Groups!M:M)=1,EXP(0.7444*LN('Base stats'!C241)+6.5696),EXP(0.7927*LN('Base stats'!C241)+4.28))</f>
        <v>36815.250263902373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IF(_xlfn.XLOOKUP(E241,Groups!A:A,Groups!N:N)="Theropod",EXP(0.6966*LN(C241)+4.158)*S241,
"No"))))))))))))))))</f>
        <v>36815.250263902373</v>
      </c>
      <c r="AU241" s="8">
        <f>IF(_xlfn.XLOOKUP(E241,Groups!A:A,Groups!U:U)=3,AS241,IF(_xlfn.XLOOKUP(E241,Groups!A:A,Groups!U:U)=2,AR241,AT241))</f>
        <v>36815.250263902373</v>
      </c>
      <c r="AV241" s="46">
        <f>IFERROR(AVERAGE(_xlfn.XLOOKUP(B241,Animals!B:B,Animals!N:N),_xlfn.XLOOKUP(B241,Animals!B:B,Animals!O:O)),0)</f>
        <v>0.82500000000000007</v>
      </c>
      <c r="AW241" s="8">
        <f>MROUND(40*Animals!AO216*_xlfn.XLOOKUP(Animals!BB216,Leathers!$A$2:$A$99,Leathers!$B$2:$B$99,0)+(140*_xlfn.XLOOKUP(B241,Animals!B:B,Animals!AO:AO)*2),5)</f>
        <v>505</v>
      </c>
      <c r="AX241" s="8">
        <f>IFERROR(ROUND(SQRT(V241-1)*IF(_xlfn.XLOOKUP(E241,Groups!A:A,Groups!BF:BF)=0,2,1)*IF(_xlfn.XLOOKUP('Base stats'!E241,Groups!A:A,Groups!O:O)=0,1,0.1),1),0)</f>
        <v>7.7</v>
      </c>
      <c r="AY241" s="8">
        <f t="shared" si="405"/>
        <v>2.6</v>
      </c>
      <c r="AZ241" s="8">
        <f t="shared" si="406"/>
        <v>0</v>
      </c>
      <c r="BA241" s="8">
        <f t="shared" si="407"/>
        <v>5.3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8.005380925716679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408"/>
        <v>3.2021523702866714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5.2076623687955417</v>
      </c>
      <c r="BF241" s="8">
        <f>(0.048*C241^1.01)/IF(_xlfn.XLOOKUP(E241,Groups!A:A,Groups!M:M)=1,0.25,0.8)*C241^-0.25</f>
        <v>10.766735035880851</v>
      </c>
      <c r="BG241" s="8">
        <f>EXP(1.076*LN(AR241)-4.5397)*IF(_xlfn.XLOOKUP(E241,Groups!A:A,Groups!BC:BC)=1,1.25,IF(_xlfn.XLOOKUP(E241,Groups!A:A,Groups!BD:BD)=1,3.5,2.5))</f>
        <v>121.36048974208589</v>
      </c>
      <c r="BH241" s="8">
        <f>EXP(1.076*LN(AS241)-4.5397)*IF(_xlfn.XLOOKUP(E241,Groups!A:A,Groups!M:M)=1,0.8,IF(_xlfn.XLOOKUP(E241,Groups!A:A,Groups!BC:BC)=1,1.3,3))</f>
        <v>699.14811990380849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873.9351498797605</v>
      </c>
      <c r="BK241" s="8">
        <f t="shared" si="409"/>
        <v>8</v>
      </c>
      <c r="BL241" s="8">
        <f t="shared" si="409"/>
        <v>16</v>
      </c>
      <c r="BM241" s="8" t="str">
        <f t="shared" si="410"/>
        <v>No</v>
      </c>
      <c r="BN241" s="8">
        <f t="shared" si="411"/>
        <v>14</v>
      </c>
      <c r="BO241" s="8">
        <f t="shared" si="412"/>
        <v>11</v>
      </c>
      <c r="BP241" s="8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1.2761850520553555E-2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0.12761850520553555</v>
      </c>
      <c r="BS241" s="8">
        <f t="shared" si="413"/>
        <v>6.984170613684082E-2</v>
      </c>
      <c r="BT241" s="8">
        <f t="shared" si="414"/>
        <v>54784.227317017845</v>
      </c>
      <c r="BU241" s="8" t="str">
        <f t="shared" si="415"/>
        <v>No</v>
      </c>
      <c r="BV241" s="8">
        <f t="shared" si="416"/>
        <v>6848.0284146272297</v>
      </c>
      <c r="BW241" s="4">
        <v>0</v>
      </c>
      <c r="BX241" s="4">
        <v>1</v>
      </c>
    </row>
    <row r="242" spans="1:76" s="16" customFormat="1" x14ac:dyDescent="0.25">
      <c r="A242" s="26" t="s">
        <v>1379</v>
      </c>
      <c r="B242" s="6" t="s">
        <v>1861</v>
      </c>
      <c r="C242" s="7">
        <v>400</v>
      </c>
      <c r="D242" s="7" t="s">
        <v>528</v>
      </c>
      <c r="E242" s="7" t="str">
        <f>Groups!$A$84</f>
        <v>Beetle (CLAWS, ARMORED)</v>
      </c>
      <c r="F242" s="7" t="str">
        <f t="shared" si="369"/>
        <v>Lay eggs</v>
      </c>
      <c r="G242" s="7">
        <v>2</v>
      </c>
      <c r="H242" s="7">
        <v>20</v>
      </c>
      <c r="I242" s="4">
        <v>0</v>
      </c>
      <c r="J242" s="7" t="str">
        <f t="shared" si="370"/>
        <v>Lay eggs</v>
      </c>
      <c r="K242" s="7" t="s">
        <v>528</v>
      </c>
      <c r="L242" s="7">
        <v>20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>
        <v>1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>
        <v>10</v>
      </c>
      <c r="V242" s="7">
        <v>22</v>
      </c>
      <c r="W242" s="7" t="s">
        <v>45</v>
      </c>
      <c r="X242" s="7" t="s">
        <v>933</v>
      </c>
      <c r="Y242" s="4" t="s">
        <v>53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1050</v>
      </c>
      <c r="AF242" s="4" t="s">
        <v>45</v>
      </c>
      <c r="AG242" s="28" t="s">
        <v>1812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403"/>
        <v>54533.324359541104</v>
      </c>
      <c r="AP242" s="8">
        <f>IFERROR(C242*_xlfn.XLOOKUP(E242,Groups!A:A,Groups!K:K),0.106*C242^0.94)</f>
        <v>128</v>
      </c>
      <c r="AQ242" s="8">
        <f>AP242*10000/(_xlfn.XLOOKUP(E242,Groups!A:A,Groups!J:J)*AO242)</f>
        <v>26.372906183178333</v>
      </c>
      <c r="AR242" s="8">
        <f t="shared" si="404"/>
        <v>8578.2919817776201</v>
      </c>
      <c r="AS242" s="8">
        <f>IF(_xlfn.XLOOKUP(E242,Groups!A:A,Groups!M:M)=1,EXP(0.7444*LN('Base stats'!C242)+6.5696),EXP(0.7927*LN('Base stats'!C242)+4.28))</f>
        <v>61675.756600829809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IF(_xlfn.XLOOKUP(E242,Groups!A:A,Groups!N:N)="Theropod",EXP(0.6966*LN(C242)+4.158)*S242,
"No"))))))))))))))))</f>
        <v>61675.756600829809</v>
      </c>
      <c r="AU242" s="8">
        <f>IF(_xlfn.XLOOKUP(E242,Groups!A:A,Groups!U:U)=3,AS242,IF(_xlfn.XLOOKUP(E242,Groups!A:A,Groups!U:U)=2,AR242,AT242))</f>
        <v>61675.756600829809</v>
      </c>
      <c r="AV242" s="46">
        <f>IFERROR(AVERAGE(_xlfn.XLOOKUP(B242,Animals!B:B,Animals!N:N),_xlfn.XLOOKUP(B242,Animals!B:B,Animals!O:O)),0)</f>
        <v>0.85000000000000009</v>
      </c>
      <c r="AW242" s="8">
        <f>MROUND(40*Animals!AO217*_xlfn.XLOOKUP(Animals!BB217,Leathers!$A$2:$A$99,Leathers!$B$2:$B$99,0)+(140*_xlfn.XLOOKUP(B242,Animals!B:B,Animals!AO:AO)*2),5)</f>
        <v>770</v>
      </c>
      <c r="AX242" s="8">
        <f>IFERROR(ROUND(SQRT(V242-1)*IF(_xlfn.XLOOKUP(E242,Groups!A:A,Groups!BF:BF)=0,2,1)*IF(_xlfn.XLOOKUP('Base stats'!E242,Groups!A:A,Groups!O:O)=0,1,0.1),1),0)</f>
        <v>9.1999999999999993</v>
      </c>
      <c r="AY242" s="8">
        <f t="shared" si="405"/>
        <v>3</v>
      </c>
      <c r="AZ242" s="8">
        <f t="shared" si="406"/>
        <v>0</v>
      </c>
      <c r="BA242" s="8">
        <f t="shared" si="407"/>
        <v>6.8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14.24091612215088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408"/>
        <v>5.6963664488603518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8.9422378289708213</v>
      </c>
      <c r="BF242" s="8">
        <f>(0.048*C242^1.01)/IF(_xlfn.XLOOKUP(E242,Groups!A:A,Groups!M:M)=1,0.25,0.8)*C242^-0.25</f>
        <v>18.233364842162999</v>
      </c>
      <c r="BG242" s="8">
        <f>EXP(1.076*LN(AR242)-4.5397)*IF(_xlfn.XLOOKUP(E242,Groups!A:A,Groups!BC:BC)=1,1.25,IF(_xlfn.XLOOKUP(E242,Groups!A:A,Groups!BD:BD)=1,3.5,2.5))</f>
        <v>227.86763271095117</v>
      </c>
      <c r="BH242" s="8">
        <f>EXP(1.076*LN(AS242)-4.5397)*IF(_xlfn.XLOOKUP(E242,Groups!A:A,Groups!M:M)=1,0.8,IF(_xlfn.XLOOKUP(E242,Groups!A:A,Groups!BC:BC)=1,1.3,3))</f>
        <v>1218.1100161375859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1522.6375201719823</v>
      </c>
      <c r="BK242" s="8">
        <f t="shared" si="409"/>
        <v>8</v>
      </c>
      <c r="BL242" s="8">
        <f t="shared" si="409"/>
        <v>16</v>
      </c>
      <c r="BM242" s="8" t="str">
        <f t="shared" si="410"/>
        <v>No</v>
      </c>
      <c r="BN242" s="8">
        <f t="shared" si="411"/>
        <v>14</v>
      </c>
      <c r="BO242" s="8">
        <f t="shared" si="412"/>
        <v>11</v>
      </c>
      <c r="BP242" s="8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1.6930652098775201E-2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0.16930652098775201</v>
      </c>
      <c r="BS242" s="8">
        <f t="shared" si="413"/>
        <v>8.3570050198519985E-2</v>
      </c>
      <c r="BT242" s="8">
        <f t="shared" si="414"/>
        <v>71947.023010750228</v>
      </c>
      <c r="BU242" s="8" t="str">
        <f t="shared" si="415"/>
        <v>No</v>
      </c>
      <c r="BV242" s="8">
        <f t="shared" si="416"/>
        <v>8993.3778763437767</v>
      </c>
      <c r="BW242" s="4">
        <v>0</v>
      </c>
      <c r="BX242" s="4">
        <v>1</v>
      </c>
    </row>
    <row r="243" spans="1:76" s="16" customFormat="1" x14ac:dyDescent="0.25">
      <c r="A243" s="26" t="s">
        <v>1551</v>
      </c>
      <c r="B243" s="6" t="s">
        <v>1684</v>
      </c>
      <c r="C243" s="7">
        <v>350</v>
      </c>
      <c r="D243" s="7" t="s">
        <v>528</v>
      </c>
      <c r="E243" s="7" t="str">
        <f>Groups!$A$84</f>
        <v>Beetle (CLAWS, ARMORED)</v>
      </c>
      <c r="F243" s="7" t="str">
        <f t="shared" ref="F243" si="417">"Lay eggs"</f>
        <v>Lay eggs</v>
      </c>
      <c r="G243" s="7">
        <v>2</v>
      </c>
      <c r="H243" s="7">
        <v>20</v>
      </c>
      <c r="I243" s="4">
        <v>0</v>
      </c>
      <c r="J243" s="7" t="str">
        <f t="shared" ref="J243" si="418">"Lay eggs"</f>
        <v>Lay eggs</v>
      </c>
      <c r="K243" s="7" t="s">
        <v>528</v>
      </c>
      <c r="L243" s="7">
        <v>20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>
        <v>1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12</v>
      </c>
      <c r="V243" s="7">
        <v>25</v>
      </c>
      <c r="W243" s="7" t="s">
        <v>45</v>
      </c>
      <c r="X243" s="7" t="s">
        <v>933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1050</v>
      </c>
      <c r="AF243" s="4" t="s">
        <v>45</v>
      </c>
      <c r="AG243" s="28" t="s">
        <v>1812</v>
      </c>
      <c r="AH243" s="4" t="str">
        <f>Animals!$C$105</f>
        <v>&lt;li&gt;Megaspider&lt;/li&gt;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403"/>
        <v>49999.678016554004</v>
      </c>
      <c r="AP243" s="8">
        <f>IFERROR(C243*_xlfn.XLOOKUP(E243,Groups!A:A,Groups!K:K),0.106*C243^0.94)</f>
        <v>112</v>
      </c>
      <c r="AQ243" s="8">
        <f>AP243*10000/(_xlfn.XLOOKUP(E243,Groups!A:A,Groups!J:J)*AO243)</f>
        <v>25.16870140394688</v>
      </c>
      <c r="AR243" s="8">
        <f t="shared" si="404"/>
        <v>7663.2858706487614</v>
      </c>
      <c r="AS243" s="8">
        <f>IF(_xlfn.XLOOKUP(E243,Groups!A:A,Groups!M:M)=1,EXP(0.7444*LN('Base stats'!C243)+6.5696),EXP(0.7927*LN('Base stats'!C243)+4.28))</f>
        <v>55839.983402189697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IF(_xlfn.XLOOKUP(E243,Groups!A:A,Groups!N:N)="Theropod",EXP(0.6966*LN(C243)+4.158)*S243,
"No"))))))))))))))))</f>
        <v>55839.983402189697</v>
      </c>
      <c r="AU243" s="8">
        <f>IF(_xlfn.XLOOKUP(E243,Groups!A:A,Groups!U:U)=3,AS243,IF(_xlfn.XLOOKUP(E243,Groups!A:A,Groups!U:U)=2,AR243,AT243))</f>
        <v>55839.983402189697</v>
      </c>
      <c r="AV243" s="46">
        <f>IFERROR(AVERAGE(_xlfn.XLOOKUP(B243,Animals!B:B,Animals!N:N),_xlfn.XLOOKUP(B243,Animals!B:B,Animals!O:O)),0)</f>
        <v>0.85000000000000009</v>
      </c>
      <c r="AW243" s="8">
        <f>MROUND(40*Animals!AO300*_xlfn.XLOOKUP(Animals!BB300,Leathers!$A$2:$A$99,Leathers!$B$2:$B$99,0)+(140*_xlfn.XLOOKUP(B243,Animals!B:B,Animals!AO:AO)*2),5)</f>
        <v>700</v>
      </c>
      <c r="AX243" s="8">
        <f>IFERROR(ROUND(SQRT(V243-1)*IF(_xlfn.XLOOKUP(E243,Groups!A:A,Groups!BF:BF)=0,2,1)*IF(_xlfn.XLOOKUP('Base stats'!E243,Groups!A:A,Groups!O:O)=0,1,0.1),1),0)</f>
        <v>9.8000000000000007</v>
      </c>
      <c r="AY243" s="8">
        <f t="shared" si="405"/>
        <v>3.3</v>
      </c>
      <c r="AZ243" s="8">
        <f t="shared" si="406"/>
        <v>0</v>
      </c>
      <c r="BA243" s="8">
        <f t="shared" si="407"/>
        <v>6.5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12.745198992247673</v>
      </c>
      <c r="BC243" s="8" t="str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No</v>
      </c>
      <c r="BD243" s="8">
        <f t="shared" si="408"/>
        <v>5.0980795968990691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8.0577260430108133</v>
      </c>
      <c r="BF243" s="8">
        <f>(0.048*C243^1.01)/IF(_xlfn.XLOOKUP(E243,Groups!A:A,Groups!M:M)=1,0.25,0.8)*C243^-0.25</f>
        <v>16.473767881888275</v>
      </c>
      <c r="BG243" s="8">
        <f>EXP(1.076*LN(AR243)-4.5397)*IF(_xlfn.XLOOKUP(E243,Groups!A:A,Groups!BC:BC)=1,1.25,IF(_xlfn.XLOOKUP(E243,Groups!A:A,Groups!BD:BD)=1,3.5,2.5))</f>
        <v>201.82451722111298</v>
      </c>
      <c r="BH243" s="8">
        <f>EXP(1.076*LN(AS243)-4.5397)*IF(_xlfn.XLOOKUP(E243,Groups!A:A,Groups!M:M)=1,0.8,IF(_xlfn.XLOOKUP(E243,Groups!A:A,Groups!BC:BC)=1,1.3,3))</f>
        <v>1094.5521272146202</v>
      </c>
      <c r="BI243" s="8" t="str">
        <f>IF(W243="No","No",IF(_xlfn.XLOOKUP(E243,Groups!A:A,Groups!U:U)=1,'Base stats'!BJ243,IF(OR(_xlfn.XLOOKUP(E243,Groups!A:A,Groups!BD:BD)=1,_xlfn.XLOOKUP(E243,Groups!A:A,Groups!U:U)=2),BG243,BH243))*1.2)</f>
        <v>No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1368.1901590182752</v>
      </c>
      <c r="BK243" s="8">
        <f t="shared" si="409"/>
        <v>8</v>
      </c>
      <c r="BL243" s="8">
        <f t="shared" si="409"/>
        <v>16</v>
      </c>
      <c r="BM243" s="8" t="str">
        <f t="shared" si="410"/>
        <v>No</v>
      </c>
      <c r="BN243" s="8">
        <f t="shared" si="411"/>
        <v>14</v>
      </c>
      <c r="BO243" s="8">
        <f t="shared" si="412"/>
        <v>11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1.6033360949166103E-2</v>
      </c>
      <c r="BQ243" s="8" t="str">
        <f>IF(W243="No","No",IF(_xlfn.XLOOKUP(E243,Groups!A:A,Groups!BD:BD)=1,(AO243*5%),EXP(0.7354*LN(C243)^0.4078)*2/IF(_xlfn.XLOOKUP(E243,Groups!A:A,Groups!BL:BL)=1,1000,100)))</f>
        <v>No</v>
      </c>
      <c r="BR243" s="8">
        <f>IF(BJ243="No","No",IF(_xlfn.XLOOKUP(E243,Groups!A:A,Groups!BF:BF)=1,(0.0315*C243+2.1825)*2,(0.7354*C243^0.4078)*2)/IF(_xlfn.XLOOKUP(E243,Groups!A:A,Groups!BM:BM)=1,1000,100))</f>
        <v>0.16033360949166103</v>
      </c>
      <c r="BS243" s="8">
        <f t="shared" si="413"/>
        <v>8.0730326765021357E-2</v>
      </c>
      <c r="BT243" s="8">
        <f t="shared" si="414"/>
        <v>68267.166858209355</v>
      </c>
      <c r="BU243" s="8" t="str">
        <f t="shared" si="415"/>
        <v>No</v>
      </c>
      <c r="BV243" s="8">
        <f t="shared" si="416"/>
        <v>8533.3958572761676</v>
      </c>
      <c r="BW243" s="4">
        <v>0</v>
      </c>
      <c r="BX243" s="4">
        <v>1</v>
      </c>
    </row>
    <row r="244" spans="1:76" s="16" customFormat="1" x14ac:dyDescent="0.25">
      <c r="A244" s="26" t="s">
        <v>1597</v>
      </c>
      <c r="B244" s="6" t="s">
        <v>1700</v>
      </c>
      <c r="C244" s="7">
        <v>450</v>
      </c>
      <c r="D244" s="7" t="s">
        <v>528</v>
      </c>
      <c r="E244" s="7" t="str">
        <f>Groups!$A$84</f>
        <v>Beetle (CLAWS, ARMORED)</v>
      </c>
      <c r="F244" s="7" t="str">
        <f t="shared" si="369"/>
        <v>Lay eggs</v>
      </c>
      <c r="G244" s="7">
        <v>2</v>
      </c>
      <c r="H244" s="7">
        <v>20</v>
      </c>
      <c r="I244" s="4">
        <v>0</v>
      </c>
      <c r="J244" s="7" t="str">
        <f t="shared" si="370"/>
        <v>Lay eggs</v>
      </c>
      <c r="K244" s="7" t="s">
        <v>528</v>
      </c>
      <c r="L244" s="7">
        <v>20</v>
      </c>
      <c r="M244" s="7" t="s">
        <v>528</v>
      </c>
      <c r="N244" s="4">
        <v>0</v>
      </c>
      <c r="O244" s="4">
        <v>0</v>
      </c>
      <c r="P244" s="4">
        <v>0</v>
      </c>
      <c r="Q244" s="4">
        <v>0</v>
      </c>
      <c r="R244" s="4">
        <v>1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>
        <v>9</v>
      </c>
      <c r="V244" s="7">
        <v>20</v>
      </c>
      <c r="W244" s="7" t="s">
        <v>45</v>
      </c>
      <c r="X244" s="7" t="s">
        <v>933</v>
      </c>
      <c r="Y244" s="4" t="s">
        <v>53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1050</v>
      </c>
      <c r="AF244" s="4" t="s">
        <v>45</v>
      </c>
      <c r="AG244" s="28" t="s">
        <v>1812</v>
      </c>
      <c r="AH244" s="4" t="str">
        <f>Animals!$C$105</f>
        <v>&lt;li&gt;Megaspider&lt;/li&gt;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403"/>
        <v>58872.314877544653</v>
      </c>
      <c r="AP244" s="8">
        <f>IFERROR(C244*_xlfn.XLOOKUP(E244,Groups!A:A,Groups!K:K),0.106*C244^0.94)</f>
        <v>144</v>
      </c>
      <c r="AQ244" s="8">
        <f>AP244*10000/(_xlfn.XLOOKUP(E244,Groups!A:A,Groups!J:J)*AO244)</f>
        <v>27.482825016398735</v>
      </c>
      <c r="AR244" s="8">
        <f t="shared" si="404"/>
        <v>9475.6576182389981</v>
      </c>
      <c r="AS244" s="8">
        <f>IF(_xlfn.XLOOKUP(E244,Groups!A:A,Groups!M:M)=1,EXP(0.7444*LN('Base stats'!C244)+6.5696),EXP(0.7927*LN('Base stats'!C244)+4.28))</f>
        <v>67327.489921803863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IF(_xlfn.XLOOKUP(E244,Groups!A:A,Groups!N:N)="Theropod",EXP(0.6966*LN(C244)+4.158)*S244,
"No"))))))))))))))))</f>
        <v>67327.489921803863</v>
      </c>
      <c r="AU244" s="8">
        <f>IF(_xlfn.XLOOKUP(E244,Groups!A:A,Groups!U:U)=3,AS244,IF(_xlfn.XLOOKUP(E244,Groups!A:A,Groups!U:U)=2,AR244,AT244))</f>
        <v>67327.489921803863</v>
      </c>
      <c r="AV244" s="46">
        <f>IFERROR(AVERAGE(_xlfn.XLOOKUP(B244,Animals!B:B,Animals!N:N),_xlfn.XLOOKUP(B244,Animals!B:B,Animals!O:O)),0)</f>
        <v>0.85000000000000009</v>
      </c>
      <c r="AW244" s="8">
        <f>MROUND(40*Animals!AO219*_xlfn.XLOOKUP(Animals!BB219,Leathers!$A$2:$A$99,Leathers!$B$2:$B$99,0)+(140*_xlfn.XLOOKUP(B244,Animals!B:B,Animals!AO:AO)*2),5)</f>
        <v>770</v>
      </c>
      <c r="AX244" s="8">
        <f>IFERROR(ROUND(SQRT(V244-1)*IF(_xlfn.XLOOKUP(E244,Groups!A:A,Groups!BF:BF)=0,2,1)*IF(_xlfn.XLOOKUP('Base stats'!E244,Groups!A:A,Groups!O:O)=0,1,0.1),1),0)</f>
        <v>8.6999999999999993</v>
      </c>
      <c r="AY244" s="8">
        <f t="shared" si="405"/>
        <v>2.8</v>
      </c>
      <c r="AZ244" s="8">
        <f t="shared" si="406"/>
        <v>0</v>
      </c>
      <c r="BA244" s="8">
        <f t="shared" si="407"/>
        <v>7.1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15.705279676737799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408"/>
        <v>6.28211187069512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9.8026880816739972</v>
      </c>
      <c r="BF244" s="8">
        <f>(0.048*C244^1.01)/IF(_xlfn.XLOOKUP(E244,Groups!A:A,Groups!M:M)=1,0.25,0.8)*C244^-0.25</f>
        <v>19.940807415119203</v>
      </c>
      <c r="BG244" s="8">
        <f>EXP(1.076*LN(AR244)-4.5397)*IF(_xlfn.XLOOKUP(E244,Groups!A:A,Groups!BC:BC)=1,1.25,IF(_xlfn.XLOOKUP(E244,Groups!A:A,Groups!BD:BD)=1,3.5,2.5))</f>
        <v>253.61505181777144</v>
      </c>
      <c r="BH244" s="8">
        <f>EXP(1.076*LN(AS244)-4.5397)*IF(_xlfn.XLOOKUP(E244,Groups!A:A,Groups!M:M)=1,0.8,IF(_xlfn.XLOOKUP(E244,Groups!A:A,Groups!BC:BC)=1,1.3,3))</f>
        <v>1338.6232852504363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1673.2791065630452</v>
      </c>
      <c r="BK244" s="8">
        <f t="shared" si="409"/>
        <v>8</v>
      </c>
      <c r="BL244" s="8">
        <f t="shared" si="409"/>
        <v>16</v>
      </c>
      <c r="BM244" s="8" t="str">
        <f t="shared" si="410"/>
        <v>No</v>
      </c>
      <c r="BN244" s="8">
        <f t="shared" si="411"/>
        <v>14</v>
      </c>
      <c r="BO244" s="8">
        <f t="shared" si="412"/>
        <v>11</v>
      </c>
      <c r="BP244" s="8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1.7763710400601547E-2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0.17763710400601546</v>
      </c>
      <c r="BS244" s="8">
        <f t="shared" si="413"/>
        <v>8.6157662509209892E-2</v>
      </c>
      <c r="BT244" s="8">
        <f t="shared" si="414"/>
        <v>75357.189183015813</v>
      </c>
      <c r="BU244" s="8" t="str">
        <f t="shared" si="415"/>
        <v>No</v>
      </c>
      <c r="BV244" s="8">
        <f t="shared" si="416"/>
        <v>9419.6486478769748</v>
      </c>
      <c r="BW244" s="4">
        <v>0</v>
      </c>
      <c r="BX244" s="4">
        <v>1</v>
      </c>
    </row>
    <row r="245" spans="1:76" s="16" customFormat="1" x14ac:dyDescent="0.25">
      <c r="A245" s="26" t="s">
        <v>1503</v>
      </c>
      <c r="B245" s="6" t="s">
        <v>1665</v>
      </c>
      <c r="C245" s="7">
        <v>4000</v>
      </c>
      <c r="D245" s="7" t="s">
        <v>528</v>
      </c>
      <c r="E245" s="7" t="str">
        <f>Groups!$A$74</f>
        <v>ArmoredWorm</v>
      </c>
      <c r="F245" s="7" t="str">
        <f t="shared" si="304"/>
        <v>Lay eggs</v>
      </c>
      <c r="G245" s="7">
        <v>5</v>
      </c>
      <c r="H245" s="7">
        <v>40</v>
      </c>
      <c r="I245" s="4">
        <v>0</v>
      </c>
      <c r="J245" s="7" t="str">
        <f t="shared" si="305"/>
        <v>Lay eggs</v>
      </c>
      <c r="K245" s="7" t="s">
        <v>528</v>
      </c>
      <c r="L245" s="7">
        <v>16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>
        <v>25</v>
      </c>
      <c r="W245" s="7" t="str">
        <f>IF(_xlfn.XLOOKUP(E245,Groups!A:A,Groups!V:V)&lt;&gt;"No","Need a formula","No")</f>
        <v>No</v>
      </c>
      <c r="X245" s="7" t="s">
        <v>933</v>
      </c>
      <c r="Y245" s="4" t="s">
        <v>1008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311</v>
      </c>
      <c r="AG245" s="28" t="s">
        <v>1812</v>
      </c>
      <c r="AH245" s="4" t="str">
        <f>Animals!$C$105</f>
        <v>&lt;li&gt;Megaspider&lt;/li&gt;</v>
      </c>
      <c r="AI245" s="4">
        <v>1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si="403"/>
        <v>243591.41216853441</v>
      </c>
      <c r="AP245" s="8">
        <f>IFERROR(C245*_xlfn.XLOOKUP(E245,Groups!A:A,Groups!K:K),0.106*C245^0.94)</f>
        <v>1280</v>
      </c>
      <c r="AQ245" s="8">
        <f>AP245*10000/(_xlfn.XLOOKUP(E245,Groups!A:A,Groups!J:J)*AO245)</f>
        <v>59.041582557760997</v>
      </c>
      <c r="AR245" s="8">
        <f t="shared" si="404"/>
        <v>59993.033791828515</v>
      </c>
      <c r="AS245" s="8">
        <f>IF(_xlfn.XLOOKUP(E245,Groups!A:A,Groups!M:M)=1,EXP(0.7444*LN('Base stats'!C245)+6.5696),EXP(0.7927*LN('Base stats'!C245)+4.28))</f>
        <v>51776.577268894063</v>
      </c>
      <c r="AT245" s="8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IF(_xlfn.XLOOKUP(E245,Groups!A:A,Groups!N:N)="Theropod",EXP(0.6966*LN(C245)+4.158)*S245,
"No"))))))))))))))))</f>
        <v>342384.80765263102</v>
      </c>
      <c r="AU245" s="8">
        <f>IF(_xlfn.XLOOKUP(E245,Groups!A:A,Groups!U:U)=3,AS245,IF(_xlfn.XLOOKUP(E245,Groups!A:A,Groups!U:U)=2,AR245,AT245))</f>
        <v>342384.80765263102</v>
      </c>
      <c r="AV245" s="46">
        <f>IFERROR(AVERAGE(_xlfn.XLOOKUP(B245,Animals!B:B,Animals!N:N),_xlfn.XLOOKUP(B245,Animals!B:B,Animals!O:O)),0)</f>
        <v>0</v>
      </c>
      <c r="AW245" s="8">
        <f>MROUND(40*Animals!AO276*_xlfn.XLOOKUP(Animals!BB276,Leathers!$A$2:$A$99,Leathers!$B$2:$B$99,0)+(140*_xlfn.XLOOKUP(B245,Animals!B:B,Animals!AO:AO)*2),5)</f>
        <v>1330</v>
      </c>
      <c r="AX245" s="8">
        <f>IFERROR(ROUND(SQRT(V245-1)*IF(_xlfn.XLOOKUP(E245,Groups!A:A,Groups!BF:BF)=0,2,1)*IF(_xlfn.XLOOKUP('Base stats'!E245,Groups!A:A,Groups!O:O)=0,1,0.1),1),0)</f>
        <v>9.8000000000000007</v>
      </c>
      <c r="AY245" s="8">
        <f t="shared" si="405"/>
        <v>0</v>
      </c>
      <c r="AZ245" s="8">
        <f t="shared" si="406"/>
        <v>0</v>
      </c>
      <c r="BA245" s="8">
        <f t="shared" si="407"/>
        <v>15.6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50.954120424659635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si="408"/>
        <v>20.381648169863855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26.941155624015625</v>
      </c>
      <c r="BF245" s="8">
        <f>(0.048*C245^1.01)/IF(_xlfn.XLOOKUP(E245,Groups!A:A,Groups!M:M)=1,0.25,0.8)*C245^-0.25</f>
        <v>32.788144756936866</v>
      </c>
      <c r="BG245" s="8">
        <f>EXP(1.076*LN(AR245)-4.5397)*IF(_xlfn.XLOOKUP(E245,Groups!A:A,Groups!BC:BC)=1,1.25,IF(_xlfn.XLOOKUP(E245,Groups!A:A,Groups!BD:BD)=1,3.5,2.5))</f>
        <v>1847.480403748275</v>
      </c>
      <c r="BH245" s="8">
        <f>EXP(1.076*LN(AS245)-4.5397)*IF(_xlfn.XLOOKUP(E245,Groups!A:A,Groups!M:M)=1,0.8,IF(_xlfn.XLOOKUP(E245,Groups!A:A,Groups!BC:BC)=1,1.3,3))</f>
        <v>1639.7746347730574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>
        <f>IFERROR(EXP(1.076*LN(AT245)-4.5397)*IF(_xlfn.XLOOKUP(E245,Groups!A:A,Groups!N:N)="Insect",1,IF(OR(_xlfn.XLOOKUP(E245,Groups!A:A,Groups!N:N)="Pig",_xlfn.XLOOKUP(E245,Groups!A:A,Groups!N:N)="StrongBitingHerbivore"),3.5,3.75)),"No")</f>
        <v>9628.7725349965076</v>
      </c>
      <c r="BK245" s="8">
        <f t="shared" si="409"/>
        <v>13</v>
      </c>
      <c r="BL245" s="8">
        <f t="shared" si="409"/>
        <v>11</v>
      </c>
      <c r="BM245" s="8" t="str">
        <f t="shared" si="410"/>
        <v>No</v>
      </c>
      <c r="BN245" s="8">
        <f t="shared" si="411"/>
        <v>19</v>
      </c>
      <c r="BO245" s="8">
        <f t="shared" si="412"/>
        <v>10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>
        <f>IF(BJ245="No","No",IF(_xlfn.XLOOKUP(E245,Groups!A:A,Groups!BF:BF)=1,(0.0315*C245+2.1825)*2,(0.7354*C245^0.4078)*2)/IF(_xlfn.XLOOKUP(E245,Groups!A:A,Groups!BM:BM)=1,1000,100))</f>
        <v>0.43298583189597251</v>
      </c>
      <c r="BS245" s="8">
        <f t="shared" si="413"/>
        <v>0.15168682568087025</v>
      </c>
      <c r="BT245" s="8" t="str">
        <f t="shared" si="414"/>
        <v>No</v>
      </c>
      <c r="BU245" s="8" t="str">
        <f t="shared" si="415"/>
        <v>No</v>
      </c>
      <c r="BV245" s="8">
        <f t="shared" si="416"/>
        <v>22238.077612918012</v>
      </c>
      <c r="BW245" s="4">
        <v>0</v>
      </c>
      <c r="BX245" s="4">
        <v>1</v>
      </c>
    </row>
    <row r="246" spans="1:76" s="16" customFormat="1" x14ac:dyDescent="0.25">
      <c r="A246" s="26" t="s">
        <v>1585</v>
      </c>
      <c r="B246" s="6" t="s">
        <v>1849</v>
      </c>
      <c r="C246" s="7">
        <v>97500</v>
      </c>
      <c r="D246" s="7" t="s">
        <v>528</v>
      </c>
      <c r="E246" s="7" t="str">
        <f>Groups!$A$71</f>
        <v>BoulderCrab</v>
      </c>
      <c r="F246" s="7">
        <v>300</v>
      </c>
      <c r="G246" s="7">
        <v>100</v>
      </c>
      <c r="H246" s="7">
        <v>700</v>
      </c>
      <c r="I246" s="4">
        <v>1</v>
      </c>
      <c r="J246" s="7">
        <v>2</v>
      </c>
      <c r="K246" s="7" t="s">
        <v>528</v>
      </c>
      <c r="L246" s="7">
        <v>8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>
        <v>10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933</v>
      </c>
      <c r="Y246" s="4" t="s">
        <v>1008</v>
      </c>
      <c r="Z246" s="4">
        <v>1</v>
      </c>
      <c r="AA246" s="4">
        <v>0</v>
      </c>
      <c r="AB246" s="4">
        <v>1</v>
      </c>
      <c r="AC246" s="4">
        <v>0</v>
      </c>
      <c r="AD246" s="4">
        <v>0</v>
      </c>
      <c r="AE246" s="4" t="s">
        <v>45</v>
      </c>
      <c r="AF246" s="4" t="s">
        <v>45</v>
      </c>
      <c r="AG246" s="28" t="s">
        <v>45</v>
      </c>
      <c r="AH246" s="4" t="str">
        <f>Animals!$C$238</f>
        <v>&lt;li&gt;AA_BoulderMit&lt;/li&gt;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403"/>
        <v>1941672.496722416</v>
      </c>
      <c r="AP246" s="8">
        <f>IFERROR(C246*_xlfn.XLOOKUP(E246,Groups!A:A,Groups!K:K),0.106*C246^0.94)</f>
        <v>31200</v>
      </c>
      <c r="AQ246" s="8">
        <f>AP246*10000/(_xlfn.XLOOKUP(E246,Groups!A:A,Groups!J:J)*AO246)</f>
        <v>59.513412148864319</v>
      </c>
      <c r="AR246" s="8">
        <f t="shared" si="404"/>
        <v>890539.01022581954</v>
      </c>
      <c r="AS246" s="8">
        <f>IF(_xlfn.XLOOKUP(E246,Groups!A:A,Groups!M:M)=1,EXP(0.7444*LN('Base stats'!C246)+6.5696),EXP(0.7927*LN('Base stats'!C246)+4.28))</f>
        <v>3689402.7253265302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IF(_xlfn.XLOOKUP(E246,Groups!A:A,Groups!N:N)="Theropod",EXP(0.6966*LN(C246)+4.158)*S246,
"No"))))))))))))))))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0.67500000000000004</v>
      </c>
      <c r="AW246" s="8">
        <f>MROUND(40*Animals!AO318*_xlfn.XLOOKUP(Animals!BB318,Leathers!$A$2:$A$99,Leathers!$B$2:$B$99,0)+(140*_xlfn.XLOOKUP(B246,Animals!B:B,Animals!AO:AO)*2),5)</f>
        <v>4285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405"/>
        <v>3</v>
      </c>
      <c r="AZ246" s="8">
        <f t="shared" si="406"/>
        <v>0</v>
      </c>
      <c r="BA246" s="8">
        <f t="shared" si="407"/>
        <v>49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226.46210887232237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408"/>
        <v>226.46210887232237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650.52354986202681</v>
      </c>
      <c r="BF246" s="8">
        <f>(0.048*C246^1.01)/IF(_xlfn.XLOOKUP(E246,Groups!A:A,Groups!M:M)=1,0.25,0.8)*C246^-0.25</f>
        <v>1188.3510018122486</v>
      </c>
      <c r="BG246" s="8">
        <f>EXP(1.076*LN(AR246)-4.5397)*IF(_xlfn.XLOOKUP(E246,Groups!A:A,Groups!BC:BC)=1,1.25,IF(_xlfn.XLOOKUP(E246,Groups!A:A,Groups!BD:BD)=1,3.5,2.5))</f>
        <v>33664.326183855563</v>
      </c>
      <c r="BH246" s="8">
        <f>EXP(1.076*LN(AS246)-4.5397)*IF(_xlfn.XLOOKUP(E246,Groups!A:A,Groups!M:M)=1,0.8,IF(_xlfn.XLOOKUP(E246,Groups!A:A,Groups!BC:BC)=1,1.3,3))</f>
        <v>99441.588366902201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409"/>
        <v>17</v>
      </c>
      <c r="BL246" s="8">
        <f t="shared" si="409"/>
        <v>17</v>
      </c>
      <c r="BM246" s="8" t="str">
        <f t="shared" si="410"/>
        <v>No</v>
      </c>
      <c r="BN246" s="8" t="str">
        <f t="shared" si="411"/>
        <v>No</v>
      </c>
      <c r="BO246" s="8">
        <f t="shared" si="412"/>
        <v>12</v>
      </c>
      <c r="BP246" s="8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1.5924642941799696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413"/>
        <v>0.34675596673158476</v>
      </c>
      <c r="BT246" s="8">
        <f t="shared" si="414"/>
        <v>62445.097657972343</v>
      </c>
      <c r="BU246" s="8" t="str">
        <f t="shared" si="415"/>
        <v>No</v>
      </c>
      <c r="BV246" s="8" t="str">
        <f t="shared" si="416"/>
        <v>No</v>
      </c>
      <c r="BW246" s="4">
        <v>0</v>
      </c>
      <c r="BX246" s="4">
        <v>1</v>
      </c>
    </row>
    <row r="247" spans="1:76" s="16" customFormat="1" x14ac:dyDescent="0.25">
      <c r="A247" s="26" t="s">
        <v>1539</v>
      </c>
      <c r="B247" s="6" t="s">
        <v>1850</v>
      </c>
      <c r="C247" s="7">
        <v>25</v>
      </c>
      <c r="D247" s="7" t="s">
        <v>528</v>
      </c>
      <c r="E247" s="7" t="str">
        <f>Groups!$A$71</f>
        <v>BoulderCrab</v>
      </c>
      <c r="F247" s="7">
        <v>30</v>
      </c>
      <c r="G247" s="7">
        <v>4</v>
      </c>
      <c r="H247" s="7">
        <v>25</v>
      </c>
      <c r="I247" s="4">
        <v>1</v>
      </c>
      <c r="J247" s="7">
        <v>2</v>
      </c>
      <c r="K247" s="7" t="s">
        <v>528</v>
      </c>
      <c r="L247" s="7">
        <v>8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>
        <v>2</v>
      </c>
      <c r="V247" s="7" t="str">
        <f>IF(AT247="No","No",IF(_xlfn.XLOOKUP(E247,Groups!A:A,Groups!AM:AM)=1,MROUND(EXP(0.3582*LN(C247)-0.2221)*T247,0.05),IF(_xlfn.XLOOKUP(E247,Groups!A:A,Groups!AM:AM)=2,MROUND(EXP(0.3582*LN(C247)-0.2221)*T247,0.05),"Need a formula")))</f>
        <v>No</v>
      </c>
      <c r="W247" s="7" t="str">
        <f>IF(_xlfn.XLOOKUP(E247,Groups!A:A,Groups!V:V)&lt;&gt;"No","Need a formula","No")</f>
        <v>No</v>
      </c>
      <c r="X247" s="7" t="s">
        <v>933</v>
      </c>
      <c r="Y247" s="4" t="s">
        <v>1008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28" t="s">
        <v>45</v>
      </c>
      <c r="AH247" s="4" t="str">
        <f>Animals!$C$238</f>
        <v>&lt;li&gt;AA_BoulderMit&lt;/li&gt;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ref="AO247" si="419">(0.111*C247^0.65)*10000</f>
        <v>8994.6441116448314</v>
      </c>
      <c r="AP247" s="8">
        <f>IFERROR(C247*_xlfn.XLOOKUP(E247,Groups!A:A,Groups!K:K),0.106*C247^0.94)</f>
        <v>8</v>
      </c>
      <c r="AQ247" s="8">
        <f>AP247*10000/(_xlfn.XLOOKUP(E247,Groups!A:A,Groups!J:J)*AO247)</f>
        <v>3.2941414092493009</v>
      </c>
      <c r="AR247" s="8">
        <f t="shared" ref="AR247" si="420">EXP(0.8447*LN(C247)+3.996)</f>
        <v>824.67090957260996</v>
      </c>
      <c r="AS247" s="8">
        <f>IF(_xlfn.XLOOKUP(E247,Groups!A:A,Groups!M:M)=1,EXP(0.7444*LN('Base stats'!C247)+6.5696),EXP(0.7927*LN('Base stats'!C247)+4.28))</f>
        <v>7830.104727318685</v>
      </c>
      <c r="AT247" s="8" t="str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IF(_xlfn.XLOOKUP(E247,Groups!A:A,Groups!N:N)="Theropod",EXP(0.6966*LN(C247)+4.158)*S247,
"No"))))))))))))))))</f>
        <v>No</v>
      </c>
      <c r="AU247" s="8" t="str">
        <f>IF(_xlfn.XLOOKUP(E247,Groups!A:A,Groups!U:U)=3,AS247,IF(_xlfn.XLOOKUP(E247,Groups!A:A,Groups!U:U)=2,AR247,AT247))</f>
        <v>No</v>
      </c>
      <c r="AV247" s="46">
        <f>IFERROR(AVERAGE(_xlfn.XLOOKUP(B247,Animals!B:B,Animals!N:N),_xlfn.XLOOKUP(B247,Animals!B:B,Animals!O:O)),0)</f>
        <v>0.27500000000000002</v>
      </c>
      <c r="AW247" s="8">
        <f>MROUND(40*Animals!AO295*_xlfn.XLOOKUP(Animals!BB295,Leathers!$A$2:$A$99,Leathers!$B$2:$B$99,0)+(140*_xlfn.XLOOKUP(B247,Animals!B:B,Animals!AO:AO)*2),5)</f>
        <v>310</v>
      </c>
      <c r="AX247" s="8">
        <f>IFERROR(ROUND(SQRT(V247-1)*IF(_xlfn.XLOOKUP(E247,Groups!A:A,Groups!BF:BF)=0,2,1)*IF(_xlfn.XLOOKUP('Base stats'!E247,Groups!A:A,Groups!O:O)=0,1,0.1),1),0)</f>
        <v>0</v>
      </c>
      <c r="AY247" s="8">
        <f t="shared" ref="AY247" si="421">IFERROR(ROUND(SQRT(U247-1),1),0)</f>
        <v>1</v>
      </c>
      <c r="AZ247" s="8">
        <f t="shared" ref="AZ247" si="422">IFERROR(ROUND(SQRT(W247),1),0)</f>
        <v>0</v>
      </c>
      <c r="BA247" s="8">
        <f t="shared" ref="BA247" si="423">ROUND(
  EXP(0.3582*LN(C247)-0.2221) *
  (0.75 + 0.25*(C247^4/(C247^4+10^4))),
1)</f>
        <v>2.5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0.44394874596231243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ref="BD247" si="424">(0.0392*C247^IF(OR(Y247="Herbivore",Y247="Dendrovore",Y247="OmnivoreRough"),0.889,0.966))*C247^-0.135</f>
        <v>0.44394874596231243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1.0285671023961926</v>
      </c>
      <c r="BF247" s="8">
        <f>(0.048*C247^1.01)/IF(_xlfn.XLOOKUP(E247,Groups!A:A,Groups!M:M)=1,0.25,0.8)*C247^-0.25</f>
        <v>2.216846565212883</v>
      </c>
      <c r="BG247" s="8">
        <f>EXP(1.076*LN(AR247)-4.5397)*IF(_xlfn.XLOOKUP(E247,Groups!A:A,Groups!BC:BC)=1,1.25,IF(_xlfn.XLOOKUP(E247,Groups!A:A,Groups!BD:BD)=1,3.5,2.5))</f>
        <v>18.334174469833012</v>
      </c>
      <c r="BH247" s="8">
        <f>EXP(1.076*LN(AS247)-4.5397)*IF(_xlfn.XLOOKUP(E247,Groups!A:A,Groups!M:M)=1,0.8,IF(_xlfn.XLOOKUP(E247,Groups!A:A,Groups!BC:BC)=1,1.3,3))</f>
        <v>132.1956710188129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 t="str">
        <f>IFERROR(EXP(1.076*LN(AT247)-4.5397)*IF(_xlfn.XLOOKUP(E247,Groups!A:A,Groups!N:N)="Insect",1,IF(OR(_xlfn.XLOOKUP(E247,Groups!A:A,Groups!N:N)="Pig",_xlfn.XLOOKUP(E247,Groups!A:A,Groups!N:N)="StrongBitingHerbivore"),3.5,3.75)),"No")</f>
        <v>No</v>
      </c>
      <c r="BK247" s="8">
        <f t="shared" ref="BK247" si="425">ROUNDDOWN(SQRT((2*BG247)/BD247),0)</f>
        <v>9</v>
      </c>
      <c r="BL247" s="8">
        <f t="shared" ref="BL247" si="426">ROUNDDOWN(SQRT((2*BH247)/BE247),0)</f>
        <v>16</v>
      </c>
      <c r="BM247" s="8" t="str">
        <f t="shared" ref="BM247" si="427">IF(W247="No","No",ROUNDDOWN(SQRT((2*BI247)/BC247),0))</f>
        <v>No</v>
      </c>
      <c r="BN247" s="8" t="str">
        <f t="shared" ref="BN247" si="428">IF(V247="No","No",ROUNDDOWN(SQRT((2*BJ247)/BB247),0))</f>
        <v>No</v>
      </c>
      <c r="BO247" s="8">
        <f t="shared" ref="BO247" si="429">ROUNDDOWN(SQRT((2*BH247)/BF247),0)</f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5.4655460365074494E-2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 t="str">
        <f>IF(BJ247="No","No",IF(_xlfn.XLOOKUP(E247,Groups!A:A,Groups!BF:BF)=1,(0.0315*C247+2.1825)*2,(0.7354*C247^0.4078)*2)/IF(_xlfn.XLOOKUP(E247,Groups!A:A,Groups!BM:BM)=1,1000,100))</f>
        <v>No</v>
      </c>
      <c r="BS247" s="8">
        <f t="shared" ref="BS247" si="430">BG247/(AO247*5%)</f>
        <v>4.0766870244697828E-2</v>
      </c>
      <c r="BT247" s="8">
        <f t="shared" ref="BT247" si="431">IF(BP247="No","No",BH247/BP247)</f>
        <v>2418.7093135032405</v>
      </c>
      <c r="BU247" s="8" t="str">
        <f t="shared" ref="BU247" si="432">IF(W247="No","No",BI247/BQ247)</f>
        <v>No</v>
      </c>
      <c r="BV247" s="8" t="str">
        <f t="shared" ref="BV247" si="433">IF(BJ247="No","No",BJ247/BR247)</f>
        <v>No</v>
      </c>
      <c r="BW247" s="4">
        <v>0</v>
      </c>
      <c r="BX247" s="4">
        <v>1</v>
      </c>
    </row>
    <row r="248" spans="1:76" s="16" customFormat="1" x14ac:dyDescent="0.25">
      <c r="A248" s="26" t="s">
        <v>1389</v>
      </c>
      <c r="B248" s="6" t="s">
        <v>1852</v>
      </c>
      <c r="C248" s="7">
        <v>4500</v>
      </c>
      <c r="D248" s="7" t="s">
        <v>528</v>
      </c>
      <c r="E248" s="7" t="str">
        <f>Groups!$A$71</f>
        <v>BoulderCrab</v>
      </c>
      <c r="F248" s="7">
        <v>300</v>
      </c>
      <c r="G248" s="7">
        <v>15</v>
      </c>
      <c r="H248" s="7">
        <v>100</v>
      </c>
      <c r="I248" s="4">
        <v>1</v>
      </c>
      <c r="J248" s="7">
        <v>2</v>
      </c>
      <c r="K248" s="7" t="s">
        <v>528</v>
      </c>
      <c r="L248" s="7">
        <v>8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>
        <v>6</v>
      </c>
      <c r="V248" s="7" t="str">
        <f>IF(AT248="No","No",IF(_xlfn.XLOOKUP(E248,Groups!A:A,Groups!AM:AM)=1,MROUND(EXP(0.3582*LN(C248)-0.2221)*T248,0.05),IF(_xlfn.XLOOKUP(E248,Groups!A:A,Groups!AM:AM)=2,MROUND(EXP(0.3582*LN(C248)-0.2221)*T248,0.05),"Need a formula")))</f>
        <v>No</v>
      </c>
      <c r="W248" s="7" t="str">
        <f>IF(_xlfn.XLOOKUP(E248,Groups!A:A,Groups!V:V)&lt;&gt;"No","Need a formula","No")</f>
        <v>No</v>
      </c>
      <c r="X248" s="7" t="s">
        <v>933</v>
      </c>
      <c r="Y248" s="4" t="s">
        <v>1008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45</v>
      </c>
      <c r="AG248" s="28" t="s">
        <v>45</v>
      </c>
      <c r="AH248" s="4" t="s">
        <v>45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>(0.111*C248^0.65)*10000</f>
        <v>262972.97087744245</v>
      </c>
      <c r="AP248" s="8">
        <f>IFERROR(C248*_xlfn.XLOOKUP(E248,Groups!A:A,Groups!K:K),0.106*C248^0.94)</f>
        <v>1440</v>
      </c>
      <c r="AQ248" s="8">
        <f>AP248*10000/(_xlfn.XLOOKUP(E248,Groups!A:A,Groups!J:J)*AO248)</f>
        <v>20.280918284255581</v>
      </c>
      <c r="AR248" s="8">
        <f>EXP(0.8447*LN(C248)+3.996)</f>
        <v>66268.838703367117</v>
      </c>
      <c r="AS248" s="8">
        <f>IF(_xlfn.XLOOKUP(E248,Groups!A:A,Groups!M:M)=1,EXP(0.7444*LN('Base stats'!C248)+6.5696),EXP(0.7927*LN('Base stats'!C248)+4.28))</f>
        <v>373759.65787991846</v>
      </c>
      <c r="AT248" s="8" t="str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IF(_xlfn.XLOOKUP(E248,Groups!A:A,Groups!N:N)="Theropod",EXP(0.6966*LN(C248)+4.158)*S248,
"No"))))))))))))))))</f>
        <v>No</v>
      </c>
      <c r="AU248" s="8" t="str">
        <f>IF(_xlfn.XLOOKUP(E248,Groups!A:A,Groups!U:U)=3,AS248,IF(_xlfn.XLOOKUP(E248,Groups!A:A,Groups!U:U)=2,AR248,AT248))</f>
        <v>No</v>
      </c>
      <c r="AV248" s="46">
        <f>IFERROR(AVERAGE(_xlfn.XLOOKUP(B248,Animals!B:B,Animals!N:N),_xlfn.XLOOKUP(B248,Animals!B:B,Animals!O:O)),0)</f>
        <v>0.52500000000000002</v>
      </c>
      <c r="AW248" s="8">
        <f>MROUND(40*Animals!AO222*_xlfn.XLOOKUP(Animals!BB222,Leathers!$A$2:$A$99,Leathers!$B$2:$B$99,0)+(140*_xlfn.XLOOKUP(B248,Animals!B:B,Animals!AO:AO)*2),5)</f>
        <v>1475</v>
      </c>
      <c r="AX248" s="8">
        <f>IFERROR(ROUND(SQRT(V248-1)*IF(_xlfn.XLOOKUP(E248,Groups!A:A,Groups!BF:BF)=0,2,1)*IF(_xlfn.XLOOKUP('Base stats'!E248,Groups!A:A,Groups!O:O)=0,1,0.1),1),0)</f>
        <v>0</v>
      </c>
      <c r="AY248" s="8">
        <f>IFERROR(ROUND(SQRT(U248-1),1),0)</f>
        <v>2.2000000000000002</v>
      </c>
      <c r="AZ248" s="8">
        <f>IFERROR(ROUND(SQRT(W248),1),0)</f>
        <v>0</v>
      </c>
      <c r="BA248" s="8">
        <f>ROUND(
  EXP(0.3582*LN(C248)-0.2221) *
  (0.75 + 0.25*(C248^4/(C248^4+10^4))),
1)</f>
        <v>16.3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22.274517350066827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>(0.0392*C248^IF(OR(Y248="Herbivore",Y248="Dendrovore",Y248="OmnivoreRough"),0.889,0.966))*C248^-0.135</f>
        <v>22.274517350066827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59.067036729095243</v>
      </c>
      <c r="BF248" s="8">
        <f>(0.048*C248^1.01)/IF(_xlfn.XLOOKUP(E248,Groups!A:A,Groups!M:M)=1,0.25,0.8)*C248^-0.25</f>
        <v>114.74736969408519</v>
      </c>
      <c r="BG248" s="8">
        <f>EXP(1.076*LN(AR248)-4.5397)*IF(_xlfn.XLOOKUP(E248,Groups!A:A,Groups!BC:BC)=1,1.25,IF(_xlfn.XLOOKUP(E248,Groups!A:A,Groups!BD:BD)=1,3.5,2.5))</f>
        <v>2056.2325274309005</v>
      </c>
      <c r="BH248" s="8">
        <f>EXP(1.076*LN(AS248)-4.5397)*IF(_xlfn.XLOOKUP(E248,Groups!A:A,Groups!M:M)=1,0.8,IF(_xlfn.XLOOKUP(E248,Groups!A:A,Groups!BC:BC)=1,1.3,3))</f>
        <v>8465.1133004198837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 t="str">
        <f>IFERROR(EXP(1.076*LN(AT248)-4.5397)*IF(_xlfn.XLOOKUP(E248,Groups!A:A,Groups!N:N)="Insect",1,IF(OR(_xlfn.XLOOKUP(E248,Groups!A:A,Groups!N:N)="Pig",_xlfn.XLOOKUP(E248,Groups!A:A,Groups!N:N)="StrongBitingHerbivore"),3.5,3.75)),"No")</f>
        <v>No</v>
      </c>
      <c r="BK248" s="8">
        <f>ROUNDDOWN(SQRT((2*BG248)/BD248),0)</f>
        <v>13</v>
      </c>
      <c r="BL248" s="8">
        <f>ROUNDDOWN(SQRT((2*BH248)/BE248),0)</f>
        <v>16</v>
      </c>
      <c r="BM248" s="8" t="str">
        <f>IF(W248="No","No",ROUNDDOWN(SQRT((2*BI248)/BC248),0))</f>
        <v>No</v>
      </c>
      <c r="BN248" s="8" t="str">
        <f>IF(V248="No","No",ROUNDDOWN(SQRT((2*BJ248)/BB248),0))</f>
        <v>No</v>
      </c>
      <c r="BO248" s="8">
        <f>ROUNDDOWN(SQRT((2*BH248)/BF248),0)</f>
        <v>12</v>
      </c>
      <c r="BP248" s="8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0.45429053060041397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 t="str">
        <f>IF(BJ248="No","No",IF(_xlfn.XLOOKUP(E248,Groups!A:A,Groups!BF:BF)=1,(0.0315*C248+2.1825)*2,(0.7354*C248^0.4078)*2)/IF(_xlfn.XLOOKUP(E248,Groups!A:A,Groups!BM:BM)=1,1000,100))</f>
        <v>No</v>
      </c>
      <c r="BS248" s="8">
        <f>BG248/(AO248*5%)</f>
        <v>0.15638356448345406</v>
      </c>
      <c r="BT248" s="8">
        <f>IF(BP248="No","No",BH248/BP248)</f>
        <v>18633.699648619026</v>
      </c>
      <c r="BU248" s="8" t="str">
        <f>IF(W248="No","No",BI248/BQ248)</f>
        <v>No</v>
      </c>
      <c r="BV248" s="8" t="str">
        <f>IF(BJ248="No","No",BJ248/BR248)</f>
        <v>No</v>
      </c>
      <c r="BW248" s="4">
        <v>0</v>
      </c>
      <c r="BX248" s="4">
        <v>1</v>
      </c>
    </row>
    <row r="249" spans="1:76" s="16" customFormat="1" x14ac:dyDescent="0.25">
      <c r="A249" s="26" t="s">
        <v>1409</v>
      </c>
      <c r="B249" s="6" t="s">
        <v>1633</v>
      </c>
      <c r="C249" s="7">
        <v>15</v>
      </c>
      <c r="D249" s="7" t="s">
        <v>528</v>
      </c>
      <c r="E249" s="7" t="str">
        <f>Groups!$A$71</f>
        <v>BoulderCrab</v>
      </c>
      <c r="F249" s="7">
        <v>100</v>
      </c>
      <c r="G249" s="7">
        <v>3</v>
      </c>
      <c r="H249" s="7">
        <v>70</v>
      </c>
      <c r="I249" s="4">
        <v>1</v>
      </c>
      <c r="J249" s="7">
        <v>2</v>
      </c>
      <c r="K249" s="7" t="s">
        <v>528</v>
      </c>
      <c r="L249" s="7">
        <v>8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>
        <v>3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 t="str">
        <f>IF(_xlfn.XLOOKUP(E249,Groups!A:A,Groups!V:V)&lt;&gt;"No","Need a formula","No")</f>
        <v>No</v>
      </c>
      <c r="X249" s="7" t="s">
        <v>933</v>
      </c>
      <c r="Y249" s="4" t="s">
        <v>1008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28" t="s">
        <v>45</v>
      </c>
      <c r="AH249" s="4" t="str">
        <f>Animals!$C$238</f>
        <v>&lt;li&gt;AA_BoulderMit&lt;/li&gt;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434">(0.111*C249^0.65)*10000</f>
        <v>6453.306570514339</v>
      </c>
      <c r="AP249" s="8">
        <f>IFERROR(C249*_xlfn.XLOOKUP(E249,Groups!A:A,Groups!K:K),0.106*C249^0.94)</f>
        <v>4.8</v>
      </c>
      <c r="AQ249" s="8">
        <f>AP249*10000/(_xlfn.XLOOKUP(E249,Groups!A:A,Groups!J:J)*AO249)</f>
        <v>2.7548323612899206</v>
      </c>
      <c r="AR249" s="8">
        <f t="shared" ref="AR249" si="435">EXP(0.8447*LN(C249)+3.996)</f>
        <v>535.65484345622485</v>
      </c>
      <c r="AS249" s="8">
        <f>IF(_xlfn.XLOOKUP(E249,Groups!A:A,Groups!M:M)=1,EXP(0.7444*LN('Base stats'!C249)+6.5696),EXP(0.7927*LN('Base stats'!C249)+4.28))</f>
        <v>5353.3219353913164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IF(_xlfn.XLOOKUP(E249,Groups!A:A,Groups!N:N)="Theropod",EXP(0.6966*LN(C249)+4.158)*S249,
"No"))))))))))))))))</f>
        <v>No</v>
      </c>
      <c r="AU249" s="8" t="str">
        <f>IF(_xlfn.XLOOKUP(E249,Groups!A:A,Groups!U:U)=3,AS249,IF(_xlfn.XLOOKUP(E249,Groups!A:A,Groups!U:U)=2,AR249,AT249))</f>
        <v>No</v>
      </c>
      <c r="AV249" s="46">
        <f>IFERROR(AVERAGE(_xlfn.XLOOKUP(B249,Animals!B:B,Animals!N:N),_xlfn.XLOOKUP(B249,Animals!B:B,Animals!O:O)),0)</f>
        <v>0.22500000000000001</v>
      </c>
      <c r="AW249" s="8">
        <f>MROUND(40*Animals!AO233*_xlfn.XLOOKUP(Animals!BB233,Leathers!$A$2:$A$99,Leathers!$B$2:$B$99,0)+(140*_xlfn.XLOOKUP(B249,Animals!B:B,Animals!AO:AO)*2),5)</f>
        <v>140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436">IFERROR(ROUND(SQRT(U249-1),1),0)</f>
        <v>1.4</v>
      </c>
      <c r="AZ249" s="8">
        <f t="shared" ref="AZ249" si="437">IFERROR(ROUND(SQRT(W249),1),0)</f>
        <v>0</v>
      </c>
      <c r="BA249" s="8">
        <f t="shared" ref="BA249" si="438">ROUND(
  EXP(0.3582*LN(C249)-0.2221) *
  (0.75 + 0.25*(C249^4/(C249^4+10^4))),
1)</f>
        <v>2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0.30203611563721933</v>
      </c>
      <c r="BC249" s="8" t="str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No</v>
      </c>
      <c r="BD249" s="8">
        <f t="shared" ref="BD249" si="439">(0.0392*C249^IF(OR(Y249="Herbivore",Y249="Dendrovore",Y249="OmnivoreRough"),0.889,0.966))*C249^-0.135</f>
        <v>0.30203611563721933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0.69054280580117122</v>
      </c>
      <c r="BF249" s="8">
        <f>(0.048*C249^1.01)/IF(_xlfn.XLOOKUP(E249,Groups!A:A,Groups!M:M)=1,0.25,0.8)*C249^-0.25</f>
        <v>1.503594005422539</v>
      </c>
      <c r="BG249" s="8">
        <f>EXP(1.076*LN(AR249)-4.5397)*IF(_xlfn.XLOOKUP(E249,Groups!A:A,Groups!BC:BC)=1,1.25,IF(_xlfn.XLOOKUP(E249,Groups!A:A,Groups!BD:BD)=1,3.5,2.5))</f>
        <v>11.524541402552655</v>
      </c>
      <c r="BH249" s="8">
        <f>EXP(1.076*LN(AS249)-4.5397)*IF(_xlfn.XLOOKUP(E249,Groups!A:A,Groups!M:M)=1,0.8,IF(_xlfn.XLOOKUP(E249,Groups!A:A,Groups!BC:BC)=1,1.3,3))</f>
        <v>87.805569597772788</v>
      </c>
      <c r="BI249" s="8" t="str">
        <f>IF(W249="No","No",IF(_xlfn.XLOOKUP(E249,Groups!A:A,Groups!U:U)=1,'Base stats'!BJ249,IF(OR(_xlfn.XLOOKUP(E249,Groups!A:A,Groups!BD:BD)=1,_xlfn.XLOOKUP(E249,Groups!A:A,Groups!U:U)=2),BG249,BH249))*1.2)</f>
        <v>No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440">ROUNDDOWN(SQRT((2*BG249)/BD249),0)</f>
        <v>8</v>
      </c>
      <c r="BL249" s="8">
        <f t="shared" ref="BL249" si="441">ROUNDDOWN(SQRT((2*BH249)/BE249),0)</f>
        <v>15</v>
      </c>
      <c r="BM249" s="8" t="str">
        <f t="shared" ref="BM249" si="442">IF(W249="No","No",ROUNDDOWN(SQRT((2*BI249)/BC249),0))</f>
        <v>No</v>
      </c>
      <c r="BN249" s="8" t="str">
        <f t="shared" ref="BN249" si="443">IF(V249="No","No",ROUNDDOWN(SQRT((2*BJ249)/BB249),0))</f>
        <v>No</v>
      </c>
      <c r="BO249" s="8">
        <f t="shared" ref="BO249" si="444">ROUNDDOWN(SQRT((2*BH249)/BF249),0)</f>
        <v>10</v>
      </c>
      <c r="BP249" s="8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4.4377582152222601E-2</v>
      </c>
      <c r="BQ249" s="8" t="str">
        <f>IF(W249="No","No",IF(_xlfn.XLOOKUP(E249,Groups!A:A,Groups!BD:BD)=1,(AO249*5%),EXP(0.7354*LN(C249)^0.4078)*2/IF(_xlfn.XLOOKUP(E249,Groups!A:A,Groups!BL:BL)=1,1000,100)))</f>
        <v>No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445">BG249/(AO249*5%)</f>
        <v>3.5716702055374784E-2</v>
      </c>
      <c r="BT249" s="8">
        <f t="shared" ref="BT249" si="446">IF(BP249="No","No",BH249/BP249)</f>
        <v>1978.6019278063607</v>
      </c>
      <c r="BU249" s="8" t="str">
        <f t="shared" ref="BU249" si="447">IF(W249="No","No",BI249/BQ249)</f>
        <v>No</v>
      </c>
      <c r="BV249" s="8" t="str">
        <f t="shared" ref="BV249" si="44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1593</v>
      </c>
      <c r="B250" s="6" t="s">
        <v>1698</v>
      </c>
      <c r="C250" s="7">
        <v>40</v>
      </c>
      <c r="D250" s="7" t="s">
        <v>528</v>
      </c>
      <c r="E250" s="7" t="str">
        <f>Groups!$A$85</f>
        <v>Slug</v>
      </c>
      <c r="F250" s="7">
        <f t="shared" ref="F250:F255" si="449">ROUND(7.545*(C250*1000)^0.2689,0)</f>
        <v>130</v>
      </c>
      <c r="G250" s="7">
        <v>1.5</v>
      </c>
      <c r="H250" s="7">
        <v>20</v>
      </c>
      <c r="I250" s="4">
        <v>1</v>
      </c>
      <c r="J250" s="7">
        <v>1</v>
      </c>
      <c r="K250" s="7" t="s">
        <v>528</v>
      </c>
      <c r="L250" s="7">
        <v>8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">
        <v>45</v>
      </c>
      <c r="V250" s="7">
        <v>2</v>
      </c>
      <c r="W250" s="7" t="str">
        <f>IF(_xlfn.XLOOKUP(E250,Groups!A:A,Groups!V:V)&lt;&gt;"No","Need a formula","No")</f>
        <v>No</v>
      </c>
      <c r="X250" s="7" t="s">
        <v>933</v>
      </c>
      <c r="Y250" s="4" t="s">
        <v>42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45</v>
      </c>
      <c r="AH250" s="4" t="str">
        <f>Animals!$C$238</f>
        <v>&lt;li&gt;AA_BoulderMit&lt;/li&gt;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>(0.111*C250^0.65)*10000</f>
        <v>12208.490600010842</v>
      </c>
      <c r="AP250" s="8">
        <f>IFERROR(C250*_xlfn.XLOOKUP(E250,Groups!A:A,Groups!K:K),0.106*C250^0.94)</f>
        <v>3.398147743995128</v>
      </c>
      <c r="AQ250" s="8">
        <f>AP250*10000/(_xlfn.XLOOKUP(E250,Groups!A:A,Groups!J:J)*AO250)</f>
        <v>2.5536053880464471</v>
      </c>
      <c r="AR250" s="8">
        <f>EXP(0.8447*LN(C250)+3.996)</f>
        <v>1226.5939672257964</v>
      </c>
      <c r="AS250" s="8">
        <f>IF(_xlfn.XLOOKUP(E250,Groups!A:A,Groups!M:M)=1,EXP(0.7444*LN('Base stats'!C250)+6.5696),EXP(0.7927*LN('Base stats'!C250)+4.28))</f>
        <v>1345.0342323536652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IF(_xlfn.XLOOKUP(E250,Groups!A:A,Groups!N:N)="Theropod",EXP(0.6966*LN(C250)+4.158)*S250,
"No"))))))))))))))))</f>
        <v>695.1172444586856</v>
      </c>
      <c r="AU250" s="8">
        <f>IF(_xlfn.XLOOKUP(E250,Groups!A:A,Groups!U:U)=3,AS250,IF(_xlfn.XLOOKUP(E250,Groups!A:A,Groups!U:U)=2,AR250,AT250))</f>
        <v>695.1172444586856</v>
      </c>
      <c r="AV250" s="46">
        <f>IFERROR(AVERAGE(_xlfn.XLOOKUP(B250,Animals!B:B,Animals!N:N),_xlfn.XLOOKUP(B250,Animals!B:B,Animals!O:O)),0)</f>
        <v>0.125</v>
      </c>
      <c r="AW250" s="8">
        <f>MROUND(40*Animals!AO233*_xlfn.XLOOKUP(Animals!BB233,Leathers!$A$2:$A$99,Leathers!$B$2:$B$99,0)+(140*_xlfn.XLOOKUP(B250,Animals!B:B,Animals!AO:AO)*2),5)</f>
        <v>225</v>
      </c>
      <c r="AX250" s="8">
        <f>IFERROR(ROUND(SQRT(V250-1)*IF(_xlfn.XLOOKUP(E250,Groups!A:A,Groups!BF:BF)=0,2,1)*IF(_xlfn.XLOOKUP('Base stats'!E250,Groups!A:A,Groups!O:O)=0,1,0.1),1),0)</f>
        <v>2</v>
      </c>
      <c r="AY250" s="8">
        <f>IFERROR(ROUND(SQRT(U250-1),1),0)</f>
        <v>0</v>
      </c>
      <c r="AZ250" s="8">
        <f>IFERROR(ROUND(SQRT(W250),1),0)</f>
        <v>0</v>
      </c>
      <c r="BA250" s="8">
        <f>ROUND(
  EXP(0.3582*LN(C250)-0.2221) *
  (0.75 + 0.25*(C250^4/(C250^4+10^4))),
1)</f>
        <v>3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1.0535519493662189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>(0.0392*C250^IF(OR(Y250="Herbivore",Y250="Dendrovore",Y250="OmnivoreRough"),0.889,0.966))*C250^-0.135</f>
        <v>0.63276041247609605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0.74202104120764245</v>
      </c>
      <c r="BF250" s="8">
        <f>(0.048*C250^1.01)/IF(_xlfn.XLOOKUP(E250,Groups!A:A,Groups!M:M)=1,0.25,0.8)*C250^-0.25</f>
        <v>0.99018614167501795</v>
      </c>
      <c r="BG250" s="8">
        <f>EXP(1.076*LN(AR250)-4.5397)*IF(_xlfn.XLOOKUP(E250,Groups!A:A,Groups!BC:BC)=1,1.25,IF(_xlfn.XLOOKUP(E250,Groups!A:A,Groups!BD:BD)=1,3.5,2.5))</f>
        <v>28.105119779320624</v>
      </c>
      <c r="BH250" s="8">
        <f>EXP(1.076*LN(AS250)-4.5397)*IF(_xlfn.XLOOKUP(E250,Groups!A:A,Groups!M:M)=1,0.8,IF(_xlfn.XLOOKUP(E250,Groups!A:A,Groups!BC:BC)=1,1.3,3))</f>
        <v>32.277044734426674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45.763484366275321</v>
      </c>
      <c r="BK250" s="8">
        <f t="shared" ref="BK250:BL252" si="450">ROUNDDOWN(SQRT((2*BG250)/BD250),0)</f>
        <v>9</v>
      </c>
      <c r="BL250" s="8">
        <f t="shared" si="450"/>
        <v>9</v>
      </c>
      <c r="BM250" s="8" t="str">
        <f>IF(W250="No","No",ROUNDDOWN(SQRT((2*BI250)/BC250),0))</f>
        <v>No</v>
      </c>
      <c r="BN250" s="8">
        <f>IF(V250="No","No",ROUNDDOWN(SQRT((2*BJ250)/BB250),0))</f>
        <v>9</v>
      </c>
      <c r="BO250" s="8">
        <f>ROUNDDOWN(SQRT((2*BH250)/BF250),0)</f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6.6202392635939605E-2</v>
      </c>
      <c r="BS250" s="8">
        <f>BG250/(AO250*5%)</f>
        <v>4.6041923936601406E-2</v>
      </c>
      <c r="BT250" s="8" t="str">
        <f>IF(BP250="No","No",BH250/BP250)</f>
        <v>No</v>
      </c>
      <c r="BU250" s="8" t="str">
        <f>IF(W250="No","No",BI250/BQ250)</f>
        <v>No</v>
      </c>
      <c r="BV250" s="8">
        <f>IF(BJ250="No","No",BJ250/BR250)</f>
        <v>691.26632050805188</v>
      </c>
      <c r="BW250" s="4">
        <v>0</v>
      </c>
      <c r="BX250" s="4">
        <v>1</v>
      </c>
    </row>
    <row r="251" spans="1:76" s="16" customFormat="1" x14ac:dyDescent="0.25">
      <c r="A251" s="26" t="s">
        <v>1489</v>
      </c>
      <c r="B251" s="6" t="s">
        <v>1661</v>
      </c>
      <c r="C251" s="7">
        <v>800</v>
      </c>
      <c r="D251" s="7" t="s">
        <v>528</v>
      </c>
      <c r="E251" s="7" t="str">
        <f>Groups!$A$85</f>
        <v>Slug</v>
      </c>
      <c r="F251" s="7">
        <f t="shared" si="449"/>
        <v>292</v>
      </c>
      <c r="G251" s="7">
        <v>5</v>
      </c>
      <c r="H251" s="7">
        <v>90</v>
      </c>
      <c r="I251" s="4">
        <v>1</v>
      </c>
      <c r="J251" s="7" t="s">
        <v>1707</v>
      </c>
      <c r="K251" s="7" t="s">
        <v>528</v>
      </c>
      <c r="L251" s="7">
        <v>6</v>
      </c>
      <c r="M251" s="7" t="s">
        <v>528</v>
      </c>
      <c r="N251" s="4">
        <v>0</v>
      </c>
      <c r="O251" s="4">
        <v>1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2</v>
      </c>
      <c r="W251" s="7" t="str">
        <f>IF(_xlfn.XLOOKUP(E251,Groups!A:A,Groups!V:V)&lt;&gt;"No","Need a formula","No")</f>
        <v>No</v>
      </c>
      <c r="X251" s="7" t="s">
        <v>933</v>
      </c>
      <c r="Y251" s="4" t="s">
        <v>42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45</v>
      </c>
      <c r="AH251" s="4" t="s">
        <v>45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>(0.111*C251^0.65)*10000</f>
        <v>85571.958195882878</v>
      </c>
      <c r="AP251" s="8">
        <f>IFERROR(C251*_xlfn.XLOOKUP(E251,Groups!A:A,Groups!K:K),0.106*C251^0.94)</f>
        <v>56.78196962407911</v>
      </c>
      <c r="AQ251" s="8">
        <f>AP251*10000/(_xlfn.XLOOKUP(E251,Groups!A:A,Groups!J:J)*AO251)</f>
        <v>6.0876893800404366</v>
      </c>
      <c r="AR251" s="8">
        <f>EXP(0.8447*LN(C251)+3.996)</f>
        <v>15405.679611654272</v>
      </c>
      <c r="AS251" s="8">
        <f>IF(_xlfn.XLOOKUP(E251,Groups!A:A,Groups!M:M)=1,EXP(0.7444*LN('Base stats'!C251)+6.5696),EXP(0.7927*LN('Base stats'!C251)+4.28))</f>
        <v>14456.38864394653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IF(_xlfn.XLOOKUP(E251,Groups!A:A,Groups!N:N)="Theropod",EXP(0.6966*LN(C251)+4.158)*S251,
"No"))))))))))))))))</f>
        <v>5121.6676476678131</v>
      </c>
      <c r="AU251" s="8">
        <f>IF(_xlfn.XLOOKUP(E251,Groups!A:A,Groups!U:U)=3,AS251,IF(_xlfn.XLOOKUP(E251,Groups!A:A,Groups!U:U)=2,AR251,AT251))</f>
        <v>5121.6676476678131</v>
      </c>
      <c r="AV251" s="46">
        <f>IFERROR(AVERAGE(_xlfn.XLOOKUP(B251,Animals!B:B,Animals!N:N),_xlfn.XLOOKUP(B251,Animals!B:B,Animals!O:O)),0)</f>
        <v>0.22500000000000003</v>
      </c>
      <c r="AW251" s="8">
        <f>MROUND(40*Animals!AO271*_xlfn.XLOOKUP(Animals!BB271,Leathers!$A$2:$A$99,Leathers!$B$2:$B$99,0)+(140*_xlfn.XLOOKUP(B251,Animals!B:B,Animals!AO:AO)*2),5)</f>
        <v>920</v>
      </c>
      <c r="AX251" s="8">
        <f>IFERROR(ROUND(SQRT(V251-1)*IF(_xlfn.XLOOKUP(E251,Groups!A:A,Groups!BF:BF)=0,2,1)*IF(_xlfn.XLOOKUP('Base stats'!E251,Groups!A:A,Groups!O:O)=0,1,0.1),1),0)</f>
        <v>2</v>
      </c>
      <c r="AY251" s="8">
        <f>IFERROR(ROUND(SQRT(U251-1),1),0)</f>
        <v>0</v>
      </c>
      <c r="AZ251" s="8">
        <f>IFERROR(ROUND(SQRT(W251),1),0)</f>
        <v>0</v>
      </c>
      <c r="BA251" s="8">
        <f>ROUND(
  EXP(0.3582*LN(C251)-0.2221) *
  (0.75 + 0.25*(C251^4/(C251^4+10^4))),
1)</f>
        <v>8.8000000000000007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5.4632168281284494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>(0.0392*C251^IF(OR(Y251="Herbivore",Y251="Dendrovore",Y251="OmnivoreRough"),0.889,0.966))*C251^-0.135</f>
        <v>6.0564190554255397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7.6774963243605248</v>
      </c>
      <c r="BF251" s="8">
        <f>(0.048*C251^1.01)/IF(_xlfn.XLOOKUP(E251,Groups!A:A,Groups!M:M)=1,0.25,0.8)*C251^-0.25</f>
        <v>9.6493851304357605</v>
      </c>
      <c r="BG251" s="8">
        <f>EXP(1.076*LN(AR251)-4.5397)*IF(_xlfn.XLOOKUP(E251,Groups!A:A,Groups!BC:BC)=1,1.25,IF(_xlfn.XLOOKUP(E251,Groups!A:A,Groups!BD:BD)=1,3.5,2.5))</f>
        <v>427.84647744616552</v>
      </c>
      <c r="BH251" s="8">
        <f>EXP(1.076*LN(AS251)-4.5397)*IF(_xlfn.XLOOKUP(E251,Groups!A:A,Groups!M:M)=1,0.8,IF(_xlfn.XLOOKUP(E251,Groups!A:A,Groups!BC:BC)=1,1.3,3))</f>
        <v>415.52872747890433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392.45626572246931</v>
      </c>
      <c r="BK251" s="8">
        <f t="shared" si="450"/>
        <v>11</v>
      </c>
      <c r="BL251" s="8">
        <f t="shared" si="450"/>
        <v>10</v>
      </c>
      <c r="BM251" s="8" t="str">
        <f>IF(W251="No","No",ROUNDDOWN(SQRT((2*BI251)/BC251),0))</f>
        <v>No</v>
      </c>
      <c r="BN251" s="8">
        <f>IF(V251="No","No",ROUNDDOWN(SQRT((2*BJ251)/BB251),0))</f>
        <v>11</v>
      </c>
      <c r="BO251" s="8">
        <f>ROUNDDOWN(SQRT((2*BH251)/BF251),0)</f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0.22461239459598975</v>
      </c>
      <c r="BS251" s="8">
        <f>BG251/(AO251*5%)</f>
        <v>9.9996888342038764E-2</v>
      </c>
      <c r="BT251" s="8" t="str">
        <f>IF(BP251="No","No",BH251/BP251)</f>
        <v>No</v>
      </c>
      <c r="BU251" s="8" t="str">
        <f>IF(W251="No","No",BI251/BQ251)</f>
        <v>No</v>
      </c>
      <c r="BV251" s="8">
        <f>IF(BJ251="No","No",BJ251/BR251)</f>
        <v>1747.2600585038074</v>
      </c>
      <c r="BW251" s="4">
        <v>0</v>
      </c>
      <c r="BX251" s="4">
        <v>1</v>
      </c>
    </row>
    <row r="252" spans="1:76" s="16" customFormat="1" x14ac:dyDescent="0.25">
      <c r="A252" s="26" t="s">
        <v>1595</v>
      </c>
      <c r="B252" s="6" t="s">
        <v>1699</v>
      </c>
      <c r="C252" s="7">
        <v>4500</v>
      </c>
      <c r="D252" s="7" t="s">
        <v>528</v>
      </c>
      <c r="E252" s="7" t="str">
        <f>Groups!$A$86</f>
        <v>Slug (TRAINABLE)</v>
      </c>
      <c r="F252" s="7">
        <f t="shared" si="449"/>
        <v>464</v>
      </c>
      <c r="G252" s="7">
        <v>15</v>
      </c>
      <c r="H252" s="7">
        <v>120</v>
      </c>
      <c r="I252" s="4">
        <v>1</v>
      </c>
      <c r="J252" s="7" t="s">
        <v>1707</v>
      </c>
      <c r="K252" s="7" t="s">
        <v>528</v>
      </c>
      <c r="L252" s="7">
        <v>6</v>
      </c>
      <c r="M252" s="7" t="s">
        <v>528</v>
      </c>
      <c r="N252" s="4">
        <v>0</v>
      </c>
      <c r="O252" s="4">
        <v>1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 t="str">
        <f>IF(OR(_xlfn.XLOOKUP(E252,Groups!A:A,Groups!P:P)=1,_xlfn.XLOOKUP(E252,Groups!A:A,Groups!AD:AD)=1),"Need a formula","No")</f>
        <v>No</v>
      </c>
      <c r="V252" s="7">
        <v>3</v>
      </c>
      <c r="W252" s="7" t="str">
        <f>IF(_xlfn.XLOOKUP(E252,Groups!A:A,Groups!V:V)&lt;&gt;"No","Need a formula","No")</f>
        <v>No</v>
      </c>
      <c r="X252" s="7" t="s">
        <v>933</v>
      </c>
      <c r="Y252" s="4" t="s">
        <v>42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45</v>
      </c>
      <c r="AH252" s="4" t="str">
        <f>Animals!$C$287</f>
        <v>&lt;li&gt;AA_Helixien&lt;/li&gt;</v>
      </c>
      <c r="AI252" s="4">
        <v>0</v>
      </c>
      <c r="AJ252" s="4">
        <v>0</v>
      </c>
      <c r="AK252" s="4">
        <v>0</v>
      </c>
      <c r="AL252" s="4">
        <v>1</v>
      </c>
      <c r="AM252" s="4">
        <v>1</v>
      </c>
      <c r="AN252" s="44" t="s">
        <v>40</v>
      </c>
      <c r="AO252" s="8">
        <f>(0.111*C252^0.65)*10000</f>
        <v>262972.97087744245</v>
      </c>
      <c r="AP252" s="8">
        <f>IFERROR(C252*_xlfn.XLOOKUP(E252,Groups!A:A,Groups!K:K),0.106*C252^0.94)</f>
        <v>287.95566587228683</v>
      </c>
      <c r="AQ252" s="8">
        <f>AP252*10000/(_xlfn.XLOOKUP(E252,Groups!A:A,Groups!J:J)*AO252)</f>
        <v>10.045880726566947</v>
      </c>
      <c r="AR252" s="8">
        <f>EXP(0.8447*LN(C252)+3.996)</f>
        <v>66268.838703367117</v>
      </c>
      <c r="AS252" s="8">
        <f>IF(_xlfn.XLOOKUP(E252,Groups!A:A,Groups!M:M)=1,EXP(0.7444*LN('Base stats'!C252)+6.5696),EXP(0.7927*LN('Base stats'!C252)+4.28))</f>
        <v>56843.648100459453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IF(_xlfn.XLOOKUP(E252,Groups!A:A,Groups!N:N)="Theropod",EXP(0.6966*LN(C252)+4.158)*S252,
"No"))))))))))))))))</f>
        <v>16199.181730733268</v>
      </c>
      <c r="AU252" s="8">
        <f>IF(_xlfn.XLOOKUP(E252,Groups!A:A,Groups!U:U)=3,AS252,IF(_xlfn.XLOOKUP(E252,Groups!A:A,Groups!U:U)=2,AR252,AT252))</f>
        <v>16199.181730733268</v>
      </c>
      <c r="AV252" s="46">
        <f>IFERROR(AVERAGE(_xlfn.XLOOKUP(B252,Animals!B:B,Animals!N:N),_xlfn.XLOOKUP(B252,Animals!B:B,Animals!O:O)),0)</f>
        <v>0.32500000000000001</v>
      </c>
      <c r="AW252" s="8">
        <f>MROUND(40*Animals!AO272*_xlfn.XLOOKUP(Animals!BB272,Leathers!$A$2:$A$99,Leathers!$B$2:$B$99,0)+(140*_xlfn.XLOOKUP(B252,Animals!B:B,Animals!AO:AO)*2),5)</f>
        <v>1400</v>
      </c>
      <c r="AX252" s="8">
        <f>IFERROR(ROUND(SQRT(V252-1)*IF(_xlfn.XLOOKUP(E252,Groups!A:A,Groups!BF:BF)=0,2,1)*IF(_xlfn.XLOOKUP('Base stats'!E252,Groups!A:A,Groups!O:O)=0,1,0.1),1),0)</f>
        <v>2.8</v>
      </c>
      <c r="AY252" s="8">
        <f>IFERROR(ROUND(SQRT(U252-1),1),0)</f>
        <v>0</v>
      </c>
      <c r="AZ252" s="8">
        <f>IFERROR(ROUND(SQRT(W252),1),0)</f>
        <v>0</v>
      </c>
      <c r="BA252" s="8">
        <f>ROUND(
  EXP(0.3582*LN(C252)-0.2221) *
  (0.75 + 0.25*(C252^4/(C252^4+10^4))),
1)</f>
        <v>16.3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14.186523865260316</v>
      </c>
      <c r="BC252" s="8" t="str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No</v>
      </c>
      <c r="BD252" s="8">
        <f>(0.0392*C252^IF(OR(Y252="Herbivore",Y252="Dendrovore",Y252="OmnivoreRough"),0.889,0.966))*C252^-0.135</f>
        <v>22.274517350066827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29.533518364547621</v>
      </c>
      <c r="BF252" s="8">
        <f>(0.048*C252^1.01)/IF(_xlfn.XLOOKUP(E252,Groups!A:A,Groups!M:M)=1,0.25,0.8)*C252^-0.25</f>
        <v>35.858553029401619</v>
      </c>
      <c r="BG252" s="8">
        <f>EXP(1.076*LN(AR252)-4.5397)*IF(_xlfn.XLOOKUP(E252,Groups!A:A,Groups!BC:BC)=1,1.25,IF(_xlfn.XLOOKUP(E252,Groups!A:A,Groups!BD:BD)=1,3.5,2.5))</f>
        <v>2056.2325274309005</v>
      </c>
      <c r="BH252" s="8">
        <f>EXP(1.076*LN(AS252)-4.5397)*IF(_xlfn.XLOOKUP(E252,Groups!A:A,Groups!M:M)=1,0.8,IF(_xlfn.XLOOKUP(E252,Groups!A:A,Groups!BC:BC)=1,1.3,3))</f>
        <v>1813.0695438509977</v>
      </c>
      <c r="BI252" s="8" t="str">
        <f>IF(W252="No","No",IF(_xlfn.XLOOKUP(E252,Groups!A:A,Groups!U:U)=1,'Base stats'!BJ252,IF(OR(_xlfn.XLOOKUP(E252,Groups!A:A,Groups!BD:BD)=1,_xlfn.XLOOKUP(E252,Groups!A:A,Groups!U:U)=2),BG252,BH252))*1.2)</f>
        <v>No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1354.8123900503408</v>
      </c>
      <c r="BK252" s="8">
        <f t="shared" si="450"/>
        <v>13</v>
      </c>
      <c r="BL252" s="8">
        <f t="shared" si="450"/>
        <v>11</v>
      </c>
      <c r="BM252" s="8" t="str">
        <f>IF(W252="No","No",ROUNDDOWN(SQRT((2*BI252)/BC252),0))</f>
        <v>No</v>
      </c>
      <c r="BN252" s="8">
        <f>IF(V252="No","No",ROUNDDOWN(SQRT((2*BJ252)/BB252),0))</f>
        <v>13</v>
      </c>
      <c r="BO252" s="8">
        <f>ROUNDDOWN(SQRT((2*BH252)/BF252),0)</f>
        <v>10</v>
      </c>
      <c r="BP252" s="8" t="str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No</v>
      </c>
      <c r="BQ252" s="8" t="str">
        <f>IF(W252="No","No",IF(_xlfn.XLOOKUP(E252,Groups!A:A,Groups!BD:BD)=1,(AO252*5%),EXP(0.7354*LN(C252)^0.4078)*2/IF(_xlfn.XLOOKUP(E252,Groups!A:A,Groups!BL:BL)=1,1000,100)))</f>
        <v>No</v>
      </c>
      <c r="BR252" s="8">
        <f>IF(BJ252="No","No",IF(_xlfn.XLOOKUP(E252,Groups!A:A,Groups!BF:BF)=1,(0.0315*C252+2.1825)*2,(0.7354*C252^0.4078)*2)/IF(_xlfn.XLOOKUP(E252,Groups!A:A,Groups!BM:BM)=1,1000,100))</f>
        <v>0.45429053060041397</v>
      </c>
      <c r="BS252" s="8">
        <f>BG252/(AO252*5%)</f>
        <v>0.15638356448345406</v>
      </c>
      <c r="BT252" s="8" t="str">
        <f>IF(BP252="No","No",BH252/BP252)</f>
        <v>No</v>
      </c>
      <c r="BU252" s="8" t="str">
        <f>IF(W252="No","No",BI252/BQ252)</f>
        <v>No</v>
      </c>
      <c r="BV252" s="8">
        <f>IF(BJ252="No","No",BJ252/BR252)</f>
        <v>2982.2598068679758</v>
      </c>
      <c r="BW252" s="4">
        <v>0</v>
      </c>
      <c r="BX252" s="4">
        <v>1</v>
      </c>
    </row>
    <row r="253" spans="1:76" s="16" customFormat="1" x14ac:dyDescent="0.25">
      <c r="A253" s="26" t="s">
        <v>1545</v>
      </c>
      <c r="B253" s="6" t="s">
        <v>1681</v>
      </c>
      <c r="C253" s="7">
        <v>20</v>
      </c>
      <c r="D253" s="7" t="s">
        <v>528</v>
      </c>
      <c r="E253" s="7" t="str">
        <f>Groups!$A$57</f>
        <v>Snail</v>
      </c>
      <c r="F253" s="7">
        <f t="shared" si="449"/>
        <v>108</v>
      </c>
      <c r="G253" s="7">
        <v>5</v>
      </c>
      <c r="H253" s="7">
        <v>30</v>
      </c>
      <c r="I253" s="4">
        <v>0</v>
      </c>
      <c r="J253" s="7">
        <v>10</v>
      </c>
      <c r="K253" s="7" t="s">
        <v>528</v>
      </c>
      <c r="L253" s="7">
        <v>5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1</v>
      </c>
      <c r="W253" s="7" t="s">
        <v>45</v>
      </c>
      <c r="X253" s="7" t="s">
        <v>933</v>
      </c>
      <c r="Y253" s="4" t="s">
        <v>42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45</v>
      </c>
      <c r="AH253" s="4" t="str">
        <f>Animals!$C$287</f>
        <v>&lt;li&gt;AA_Helixien&lt;/li&gt;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ref="AO253" si="451">(0.111*C253^0.65)*10000</f>
        <v>7780.2307188855666</v>
      </c>
      <c r="AP253" s="8">
        <f>IFERROR(C253*_xlfn.XLOOKUP(E253,Groups!A:A,Groups!K:K),0.106*C253^0.94)</f>
        <v>6.4</v>
      </c>
      <c r="AQ253" s="8">
        <f>AP253*10000/(_xlfn.XLOOKUP(E253,Groups!A:A,Groups!J:J)*AO253)</f>
        <v>3.0466581982158751</v>
      </c>
      <c r="AR253" s="8">
        <f t="shared" ref="AR253" si="452">EXP(0.8447*LN(C253)+3.996)</f>
        <v>683.0001310678939</v>
      </c>
      <c r="AS253" s="8">
        <f>IF(_xlfn.XLOOKUP(E253,Groups!A:A,Groups!M:M)=1,EXP(0.7444*LN('Base stats'!C253)+6.5696),EXP(0.7927*LN('Base stats'!C253)+4.28))</f>
        <v>776.43813921979063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IF(_xlfn.XLOOKUP(E253,Groups!A:A,Groups!N:N)="Theropod",EXP(0.6966*LN(C253)+4.158)*S253,
"No"))))))))))))))))</f>
        <v>437.89642421920917</v>
      </c>
      <c r="AU253" s="8">
        <f>IF(_xlfn.XLOOKUP(E253,Groups!A:A,Groups!U:U)=3,AS253,IF(_xlfn.XLOOKUP(E253,Groups!A:A,Groups!U:U)=2,AR253,AT253))</f>
        <v>437.89642421920917</v>
      </c>
      <c r="AV253" s="46">
        <f>IFERROR(AVERAGE(_xlfn.XLOOKUP(B253,Animals!B:B,Animals!N:N),_xlfn.XLOOKUP(B253,Animals!B:B,Animals!O:O)),0)</f>
        <v>0.25</v>
      </c>
      <c r="AW253" s="8">
        <f>MROUND(40*Animals!AO253*_xlfn.XLOOKUP(Animals!BB253,Leathers!$A$2:$A$99,Leathers!$B$2:$B$99,0)+(140*_xlfn.XLOOKUP(B253,Animals!B:B,Animals!AO:AO)*2),5)</f>
        <v>275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ref="AY253" si="453">IFERROR(ROUND(SQRT(U253-1),1),0)</f>
        <v>0</v>
      </c>
      <c r="AZ253" s="8">
        <f t="shared" ref="AZ253" si="454">IFERROR(ROUND(SQRT(W253),1),0)</f>
        <v>0</v>
      </c>
      <c r="BA253" s="8">
        <f t="shared" ref="BA253" si="455">ROUND(
  EXP(0.3582*LN(C253)-0.2221) *
  (0.75 + 0.25*(C253^4/(C253^4+10^4))),
1)</f>
        <v>2.2999999999999998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0.72098709403972994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ref="BD253" si="456">(0.0392*C253^IF(OR(Y253="Herbivore",Y253="Dendrovore",Y253="OmnivoreRough"),0.889,0.966))*C253^-0.135</f>
        <v>0.37519987390432724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0.43212841428041765</v>
      </c>
      <c r="BF253" s="8">
        <f>(0.048*C253^1.01)/IF(_xlfn.XLOOKUP(E253,Groups!A:A,Groups!M:M)=1,0.25,0.8)*C253^-0.25</f>
        <v>0.58470128338370886</v>
      </c>
      <c r="BG253" s="8">
        <f>EXP(1.076*LN(AR253)-4.5397)*IF(_xlfn.XLOOKUP(E253,Groups!A:A,Groups!BC:BC)=1,1.25,IF(_xlfn.XLOOKUP(E253,Groups!A:A,Groups!BD:BD)=1,3.5,2.5))</f>
        <v>14.968563372073916</v>
      </c>
      <c r="BH253" s="8">
        <f>EXP(1.076*LN(AS253)-4.5397)*IF(_xlfn.XLOOKUP(E253,Groups!A:A,Groups!M:M)=1,0.8,IF(_xlfn.XLOOKUP(E253,Groups!A:A,Groups!BC:BC)=1,1.3,3))</f>
        <v>17.870293043760679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27.834295487904829</v>
      </c>
      <c r="BK253" s="8">
        <f t="shared" ref="BK253" si="457">ROUNDDOWN(SQRT((2*BG253)/BD253),0)</f>
        <v>8</v>
      </c>
      <c r="BL253" s="8">
        <f t="shared" ref="BL253" si="458">ROUNDDOWN(SQRT((2*BH253)/BE253),0)</f>
        <v>9</v>
      </c>
      <c r="BM253" s="8" t="str">
        <f t="shared" ref="BM253" si="459">IF(W253="No","No",ROUNDDOWN(SQRT((2*BI253)/BC253),0))</f>
        <v>No</v>
      </c>
      <c r="BN253" s="8">
        <f t="shared" ref="BN253" si="460">IF(V253="No","No",ROUNDDOWN(SQRT((2*BJ253)/BB253),0))</f>
        <v>8</v>
      </c>
      <c r="BO253" s="8">
        <f t="shared" ref="BO253" si="461">ROUNDDOWN(SQRT((2*BH253)/BF253),0)</f>
        <v>7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4.9901506096388083E-2</v>
      </c>
      <c r="BS253" s="8">
        <f t="shared" ref="BS253" si="462">BG253/(AO253*5%)</f>
        <v>3.8478456264129914E-2</v>
      </c>
      <c r="BT253" s="8" t="str">
        <f t="shared" ref="BT253" si="463">IF(BP253="No","No",BH253/BP253)</f>
        <v>No</v>
      </c>
      <c r="BU253" s="8" t="str">
        <f t="shared" ref="BU253" si="464">IF(W253="No","No",BI253/BQ253)</f>
        <v>No</v>
      </c>
      <c r="BV253" s="8">
        <f t="shared" ref="BV253" si="465">IF(BJ253="No","No",BJ253/BR253)</f>
        <v>557.78467756345935</v>
      </c>
      <c r="BW253" s="4">
        <v>0</v>
      </c>
      <c r="BX253" s="4">
        <v>1</v>
      </c>
    </row>
    <row r="254" spans="1:76" s="16" customFormat="1" x14ac:dyDescent="0.25">
      <c r="A254" s="26" t="s">
        <v>1571</v>
      </c>
      <c r="B254" s="6" t="s">
        <v>1691</v>
      </c>
      <c r="C254" s="7">
        <v>200</v>
      </c>
      <c r="D254" s="7" t="s">
        <v>528</v>
      </c>
      <c r="E254" s="7" t="str">
        <f>Groups!$A$91</f>
        <v>LandSquid</v>
      </c>
      <c r="F254" s="7">
        <f t="shared" si="449"/>
        <v>201</v>
      </c>
      <c r="G254" s="7">
        <v>1.5</v>
      </c>
      <c r="H254" s="7">
        <v>20</v>
      </c>
      <c r="I254" s="4">
        <v>1</v>
      </c>
      <c r="J254" s="7">
        <v>3</v>
      </c>
      <c r="K254" s="7" t="s">
        <v>528</v>
      </c>
      <c r="L254" s="7">
        <v>10</v>
      </c>
      <c r="M254" s="7" t="s">
        <v>528</v>
      </c>
      <c r="N254" s="4">
        <v>0</v>
      </c>
      <c r="O254" s="4">
        <v>1</v>
      </c>
      <c r="P254" s="4">
        <v>0</v>
      </c>
      <c r="Q254" s="4">
        <v>0</v>
      </c>
      <c r="R254" s="4">
        <v>0.8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8</v>
      </c>
      <c r="W254" s="7" t="str">
        <f>IF(_xlfn.XLOOKUP(E254,Groups!A:A,Groups!V:V)&lt;&gt;"No","Need a formula","No")</f>
        <v>No</v>
      </c>
      <c r="X254" s="7" t="s">
        <v>933</v>
      </c>
      <c r="Y254" s="4" t="s">
        <v>1008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45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1</v>
      </c>
      <c r="AN254" s="44" t="s">
        <v>40</v>
      </c>
      <c r="AO254" s="8">
        <f>(0.111*C254^0.65)*10000</f>
        <v>34753.014052750754</v>
      </c>
      <c r="AP254" s="8">
        <f>IFERROR(C254*_xlfn.XLOOKUP(E254,Groups!A:A,Groups!K:K),0.106*C254^0.94)</f>
        <v>15.426736488345595</v>
      </c>
      <c r="AQ254" s="8">
        <f>AP254*10000/(_xlfn.XLOOKUP(E254,Groups!A:A,Groups!J:J)*AO254)</f>
        <v>4.0724436832674371</v>
      </c>
      <c r="AR254" s="8">
        <f>EXP(0.8447*LN(C254)+3.996)</f>
        <v>4776.6210371506204</v>
      </c>
      <c r="AS254" s="8">
        <f>IF(_xlfn.XLOOKUP(E254,Groups!A:A,Groups!M:M)=1,EXP(0.7444*LN('Base stats'!C254)+6.5696),EXP(0.7927*LN('Base stats'!C254)+4.28))</f>
        <v>4817.3351295400244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IF(_xlfn.XLOOKUP(E254,Groups!A:A,Groups!N:N)="Theropod",EXP(0.6966*LN(C254)+4.158)*S254,
"No"))))))))))))))))</f>
        <v>2032.5351529348454</v>
      </c>
      <c r="AU254" s="8">
        <f>IF(_xlfn.XLOOKUP(E254,Groups!A:A,Groups!U:U)=3,AS254,IF(_xlfn.XLOOKUP(E254,Groups!A:A,Groups!U:U)=2,AR254,AT254))</f>
        <v>2032.5351529348454</v>
      </c>
      <c r="AV254" s="46">
        <f>IFERROR(AVERAGE(_xlfn.XLOOKUP(B254,Animals!B:B,Animals!N:N),_xlfn.XLOOKUP(B254,Animals!B:B,Animals!O:O)),0)</f>
        <v>0</v>
      </c>
      <c r="AW254" s="8">
        <f>MROUND(40*Animals!AO237*_xlfn.XLOOKUP(Animals!BB237,Leathers!$A$2:$A$99,Leathers!$B$2:$B$99,0)+(140*_xlfn.XLOOKUP(B254,Animals!B:B,Animals!AO:AO)*2),5)</f>
        <v>505</v>
      </c>
      <c r="AX254" s="8">
        <f>IFERROR(ROUND(SQRT(V254-1)*IF(_xlfn.XLOOKUP(E254,Groups!A:A,Groups!BF:BF)=0,2,1)*IF(_xlfn.XLOOKUP('Base stats'!E254,Groups!A:A,Groups!O:O)=0,1,0.1),1),0)</f>
        <v>5.3</v>
      </c>
      <c r="AY254" s="8">
        <f>IFERROR(ROUND(SQRT(U254-1),1),0)</f>
        <v>0</v>
      </c>
      <c r="AZ254" s="8">
        <f>IFERROR(ROUND(SQRT(W254),1),0)</f>
        <v>0</v>
      </c>
      <c r="BA254" s="8">
        <f>ROUND(
  EXP(0.3582*LN(C254)-0.2221) *
  (0.75 + 0.25*(C254^4/(C254^4+10^4))),
1)</f>
        <v>5.3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2.547269777532978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>(0.0392*C254^IF(OR(Y254="Herbivore",Y254="Dendrovore",Y254="OmnivoreRough"),0.889,0.966))*C254^-0.135</f>
        <v>2.1294266438436793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4.4265130134762103</v>
      </c>
      <c r="BF254" s="8">
        <f>(0.048*C254^1.01)/IF(_xlfn.XLOOKUP(E254,Groups!A:A,Groups!M:M)=1,0.25,0.8)*C254^-0.25</f>
        <v>3.3646046987127658</v>
      </c>
      <c r="BG254" s="8">
        <f>EXP(1.076*LN(AR254)-4.5397)*IF(_xlfn.XLOOKUP(E254,Groups!A:A,Groups!BC:BC)=1,1.25,IF(_xlfn.XLOOKUP(E254,Groups!A:A,Groups!BD:BD)=1,3.5,2.5))</f>
        <v>242.72097948417178</v>
      </c>
      <c r="BH254" s="8">
        <f>EXP(1.076*LN(AS254)-4.5397)*IF(_xlfn.XLOOKUP(E254,Groups!A:A,Groups!M:M)=1,0.8,IF(_xlfn.XLOOKUP(E254,Groups!A:A,Groups!BC:BC)=1,1.3,3))</f>
        <v>293.93735151357987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145.18226471000062</v>
      </c>
      <c r="BK254" s="8">
        <f t="shared" ref="BK254:BL257" si="466">ROUNDDOWN(SQRT((2*BG254)/BD254),0)</f>
        <v>15</v>
      </c>
      <c r="BL254" s="8">
        <f t="shared" si="466"/>
        <v>11</v>
      </c>
      <c r="BM254" s="8" t="str">
        <f>IF(W254="No","No",ROUNDDOWN(SQRT((2*BI254)/BC254),0))</f>
        <v>No</v>
      </c>
      <c r="BN254" s="8">
        <f>IF(V254="No","No",ROUNDDOWN(SQRT((2*BJ254)/BB254),0))</f>
        <v>10</v>
      </c>
      <c r="BO254" s="8">
        <f>ROUNDDOWN(SQRT((2*BH254)/BF254),0)</f>
        <v>13</v>
      </c>
      <c r="BP254" s="8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7.7602344878672103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0.12761850520553555</v>
      </c>
      <c r="BS254" s="8">
        <f>BG254/(AO254*5%)</f>
        <v>0.13968341227368164</v>
      </c>
      <c r="BT254" s="8">
        <f>IF(BP254="No","No",BH254/BP254)</f>
        <v>37.87738011952321</v>
      </c>
      <c r="BU254" s="8" t="str">
        <f>IF(W254="No","No",BI254/BQ254)</f>
        <v>No</v>
      </c>
      <c r="BV254" s="8">
        <f>IF(BJ254="No","No",BJ254/BR254)</f>
        <v>1137.6270586791297</v>
      </c>
      <c r="BW254" s="4">
        <v>0</v>
      </c>
      <c r="BX254" s="4">
        <v>1</v>
      </c>
    </row>
    <row r="255" spans="1:76" s="16" customFormat="1" x14ac:dyDescent="0.25">
      <c r="A255" s="26" t="s">
        <v>1589</v>
      </c>
      <c r="B255" s="6" t="s">
        <v>1696</v>
      </c>
      <c r="C255" s="7">
        <v>200</v>
      </c>
      <c r="D255" s="7" t="s">
        <v>528</v>
      </c>
      <c r="E255" s="7" t="str">
        <f>Groups!$A$91</f>
        <v>LandSquid</v>
      </c>
      <c r="F255" s="7">
        <f t="shared" si="449"/>
        <v>201</v>
      </c>
      <c r="G255" s="7">
        <v>1.5</v>
      </c>
      <c r="H255" s="7">
        <v>20</v>
      </c>
      <c r="I255" s="4">
        <v>1</v>
      </c>
      <c r="J255" s="7">
        <v>1</v>
      </c>
      <c r="K255" s="7" t="s">
        <v>528</v>
      </c>
      <c r="L255" s="7">
        <v>10</v>
      </c>
      <c r="M255" s="7" t="s">
        <v>528</v>
      </c>
      <c r="N255" s="4">
        <v>0</v>
      </c>
      <c r="O255" s="4">
        <v>0</v>
      </c>
      <c r="P255" s="4">
        <v>0</v>
      </c>
      <c r="Q255" s="4">
        <v>0</v>
      </c>
      <c r="R255" s="4">
        <v>1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4</v>
      </c>
      <c r="W255" s="7" t="str">
        <f>IF(_xlfn.XLOOKUP(E255,Groups!A:A,Groups!V:V)&lt;&gt;"No","Need a formula","No")</f>
        <v>No</v>
      </c>
      <c r="X255" s="7" t="s">
        <v>933</v>
      </c>
      <c r="Y255" s="4" t="s">
        <v>53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45</v>
      </c>
      <c r="AH255" s="4" t="str">
        <f>Animals!$C$326</f>
        <v>&lt;li&gt;AA_SandSquid&lt;/li&gt;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>(0.111*C255^0.65)*10000</f>
        <v>34753.014052750754</v>
      </c>
      <c r="AP255" s="8">
        <f>IFERROR(C255*_xlfn.XLOOKUP(E255,Groups!A:A,Groups!K:K),0.106*C255^0.94)</f>
        <v>15.426736488345595</v>
      </c>
      <c r="AQ255" s="8">
        <f>AP255*10000/(_xlfn.XLOOKUP(E255,Groups!A:A,Groups!J:J)*AO255)</f>
        <v>4.0724436832674371</v>
      </c>
      <c r="AR255" s="8">
        <f>EXP(0.8447*LN(C255)+3.996)</f>
        <v>4776.6210371506204</v>
      </c>
      <c r="AS255" s="8">
        <f>IF(_xlfn.XLOOKUP(E255,Groups!A:A,Groups!M:M)=1,EXP(0.7444*LN('Base stats'!C255)+6.5696),EXP(0.7927*LN('Base stats'!C255)+4.28))</f>
        <v>4817.3351295400244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IF(_xlfn.XLOOKUP(E255,Groups!A:A,Groups!N:N)="Theropod",EXP(0.6966*LN(C255)+4.158)*S255,
"No"))))))))))))))))</f>
        <v>2032.5351529348454</v>
      </c>
      <c r="AU255" s="8">
        <f>IF(_xlfn.XLOOKUP(E255,Groups!A:A,Groups!U:U)=3,AS255,IF(_xlfn.XLOOKUP(E255,Groups!A:A,Groups!U:U)=2,AR255,AT255))</f>
        <v>2032.5351529348454</v>
      </c>
      <c r="AV255" s="46">
        <f>IFERROR(AVERAGE(_xlfn.XLOOKUP(B255,Animals!B:B,Animals!N:N),_xlfn.XLOOKUP(B255,Animals!B:B,Animals!O:O)),0)</f>
        <v>0</v>
      </c>
      <c r="AW255" s="8">
        <f>MROUND(40*Animals!AO238*_xlfn.XLOOKUP(Animals!BB238,Leathers!$A$2:$A$99,Leathers!$B$2:$B$99,0)+(140*_xlfn.XLOOKUP(B255,Animals!B:B,Animals!AO:AO)*2),5)</f>
        <v>505</v>
      </c>
      <c r="AX255" s="8">
        <f>IFERROR(ROUND(SQRT(V255-1)*IF(_xlfn.XLOOKUP(E255,Groups!A:A,Groups!BF:BF)=0,2,1)*IF(_xlfn.XLOOKUP('Base stats'!E255,Groups!A:A,Groups!O:O)=0,1,0.1),1),0)</f>
        <v>3.5</v>
      </c>
      <c r="AY255" s="8">
        <f>IFERROR(ROUND(SQRT(U255-1),1),0)</f>
        <v>0</v>
      </c>
      <c r="AZ255" s="8">
        <f>IFERROR(ROUND(SQRT(W255),1),0)</f>
        <v>0</v>
      </c>
      <c r="BA255" s="8">
        <f>ROUND(
  EXP(0.3582*LN(C255)-0.2221) *
  (0.75 + 0.25*(C255^4/(C255^4+10^4))),
1)</f>
        <v>5.3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2.8095826788885021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>(0.0392*C255^IF(OR(Y255="Herbivore",Y255="Dendrovore",Y255="OmnivoreRough"),0.889,0.966))*C255^-0.135</f>
        <v>3.2021523702866714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4.4265130134762103</v>
      </c>
      <c r="BF255" s="8">
        <f>(0.048*C255^1.01)/IF(_xlfn.XLOOKUP(E255,Groups!A:A,Groups!M:M)=1,0.25,0.8)*C255^-0.25</f>
        <v>3.3646046987127658</v>
      </c>
      <c r="BG255" s="8">
        <f>EXP(1.076*LN(AR255)-4.5397)*IF(_xlfn.XLOOKUP(E255,Groups!A:A,Groups!BC:BC)=1,1.25,IF(_xlfn.XLOOKUP(E255,Groups!A:A,Groups!BD:BD)=1,3.5,2.5))</f>
        <v>242.72097948417178</v>
      </c>
      <c r="BH255" s="8">
        <f>EXP(1.076*LN(AS255)-4.5397)*IF(_xlfn.XLOOKUP(E255,Groups!A:A,Groups!M:M)=1,0.8,IF(_xlfn.XLOOKUP(E255,Groups!A:A,Groups!BC:BC)=1,1.3,3))</f>
        <v>293.93735151357987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145.18226471000062</v>
      </c>
      <c r="BK255" s="8">
        <f t="shared" si="466"/>
        <v>12</v>
      </c>
      <c r="BL255" s="8">
        <f t="shared" si="466"/>
        <v>11</v>
      </c>
      <c r="BM255" s="8" t="str">
        <f>IF(W255="No","No",ROUNDDOWN(SQRT((2*BI255)/BC255),0))</f>
        <v>No</v>
      </c>
      <c r="BN255" s="8">
        <f>IF(V255="No","No",ROUNDDOWN(SQRT((2*BJ255)/BB255),0))</f>
        <v>10</v>
      </c>
      <c r="BO255" s="8">
        <f>ROUNDDOWN(SQRT((2*BH255)/BF255),0)</f>
        <v>13</v>
      </c>
      <c r="BP255" s="8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7.7602344878672103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0.12761850520553555</v>
      </c>
      <c r="BS255" s="8">
        <f>BG255/(AO255*5%)</f>
        <v>0.13968341227368164</v>
      </c>
      <c r="BT255" s="8">
        <f>IF(BP255="No","No",BH255/BP255)</f>
        <v>37.87738011952321</v>
      </c>
      <c r="BU255" s="8" t="str">
        <f>IF(W255="No","No",BI255/BQ255)</f>
        <v>No</v>
      </c>
      <c r="BV255" s="8">
        <f>IF(BJ255="No","No",BJ255/BR255)</f>
        <v>1137.6270586791297</v>
      </c>
      <c r="BW255" s="4">
        <v>0</v>
      </c>
      <c r="BX255" s="4">
        <v>1</v>
      </c>
    </row>
    <row r="256" spans="1:76" s="16" customFormat="1" x14ac:dyDescent="0.25">
      <c r="A256" s="26" t="s">
        <v>1367</v>
      </c>
      <c r="B256" s="6" t="s">
        <v>1620</v>
      </c>
      <c r="C256" s="7">
        <v>70</v>
      </c>
      <c r="D256" s="7" t="s">
        <v>528</v>
      </c>
      <c r="E256" s="7" t="str">
        <f>Groups!$A$73</f>
        <v>Butterfly</v>
      </c>
      <c r="F256" s="7" t="s">
        <v>1707</v>
      </c>
      <c r="G256" s="7" t="s">
        <v>1707</v>
      </c>
      <c r="H256" s="7">
        <v>8</v>
      </c>
      <c r="I256" s="4">
        <v>1</v>
      </c>
      <c r="J256" s="7" t="s">
        <v>1707</v>
      </c>
      <c r="K256" s="7" t="s">
        <v>528</v>
      </c>
      <c r="L256" s="7">
        <v>26</v>
      </c>
      <c r="M256" s="7" t="s">
        <v>528</v>
      </c>
      <c r="N256" s="4">
        <v>0</v>
      </c>
      <c r="O256" s="4">
        <v>0</v>
      </c>
      <c r="P256" s="4">
        <v>100</v>
      </c>
      <c r="Q256" s="4">
        <v>500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tr">
        <f>IF(OR(_xlfn.XLOOKUP(E256,Groups!A:A,Groups!P:P)=1,_xlfn.XLOOKUP(E256,Groups!A:A,Groups!AD:AD)=1),"Need a formula","No")</f>
        <v>No</v>
      </c>
      <c r="V256" s="7" t="str">
        <f>IF(AT256="No","No",IF(_xlfn.XLOOKUP(E256,Groups!A:A,Groups!AM:AM)=1,MROUND(EXP(0.3582*LN(C256)-0.2221)*T256,0.05),IF(_xlfn.XLOOKUP(E256,Groups!A:A,Groups!AM:AM)=2,MROUND(EXP(0.3582*LN(C256)-0.2221)*T256,0.05),"Need a formula")))</f>
        <v>No</v>
      </c>
      <c r="W256" s="7" t="str">
        <f>IF(_xlfn.XLOOKUP(E256,Groups!A:A,Groups!V:V)&lt;&gt;"No","Need a formula","No")</f>
        <v>No</v>
      </c>
      <c r="X256" s="7" t="s">
        <v>933</v>
      </c>
      <c r="Y256" s="4" t="s">
        <v>42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45</v>
      </c>
      <c r="AG256" s="28" t="s">
        <v>1719</v>
      </c>
      <c r="AH256" s="4" t="str">
        <f>Animals!$C$105</f>
        <v>&lt;li&gt;Megaspider&lt;/li&gt;</v>
      </c>
      <c r="AI256" s="4">
        <v>0</v>
      </c>
      <c r="AJ256" s="4">
        <v>0</v>
      </c>
      <c r="AK256" s="4">
        <v>0</v>
      </c>
      <c r="AL256" s="4">
        <v>0</v>
      </c>
      <c r="AM256" s="4">
        <v>1</v>
      </c>
      <c r="AN256" s="44" t="s">
        <v>40</v>
      </c>
      <c r="AO256" s="8">
        <f>(0.111*C256^0.65)*10000</f>
        <v>17564.536938929268</v>
      </c>
      <c r="AP256" s="8">
        <f>IFERROR(C256*_xlfn.XLOOKUP(E256,Groups!A:A,Groups!K:K),0.106*C256^0.94)</f>
        <v>22.400000000000002</v>
      </c>
      <c r="AQ256" s="8">
        <f>AP256*10000/(_xlfn.XLOOKUP(E256,Groups!A:A,Groups!J:J)*AO256)</f>
        <v>10.627474400019445</v>
      </c>
      <c r="AR256" s="8">
        <f>EXP(0.8447*LN(C256)+3.996)</f>
        <v>1967.863924091341</v>
      </c>
      <c r="AS256" s="8">
        <f>IF(_xlfn.XLOOKUP(E256,Groups!A:A,Groups!M:M)=1,EXP(0.7444*LN('Base stats'!C256)+6.5696),EXP(0.7927*LN('Base stats'!C256)+4.28))</f>
        <v>2095.9918946402931</v>
      </c>
      <c r="AT256" s="8" t="str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IF(_xlfn.XLOOKUP(E256,Groups!A:A,Groups!N:N)="Theropod",EXP(0.6966*LN(C256)+4.158)*S256,
"No"))))))))))))))))</f>
        <v>No</v>
      </c>
      <c r="AU256" s="8" t="str">
        <f>IF(_xlfn.XLOOKUP(E256,Groups!A:A,Groups!U:U)=3,AS256,IF(_xlfn.XLOOKUP(E256,Groups!A:A,Groups!U:U)=2,AR256,AT256))</f>
        <v>No</v>
      </c>
      <c r="AV256" s="46">
        <f>IFERROR(AVERAGE(_xlfn.XLOOKUP(B256,Animals!B:B,Animals!N:N),_xlfn.XLOOKUP(B256,Animals!B:B,Animals!O:O)),0)</f>
        <v>0.32500000000000001</v>
      </c>
      <c r="AW256" s="8">
        <f>MROUND(40*Animals!AO210*_xlfn.XLOOKUP(Animals!BB210,Leathers!$A$2:$A$99,Leathers!$B$2:$B$99,0)+(140*_xlfn.XLOOKUP(B256,Animals!B:B,Animals!AO:AO)*2),5)</f>
        <v>280</v>
      </c>
      <c r="AX256" s="8">
        <f>IFERROR(ROUND(SQRT(V256-1)*IF(_xlfn.XLOOKUP(E256,Groups!A:A,Groups!BF:BF)=0,2,1)*IF(_xlfn.XLOOKUP('Base stats'!E256,Groups!A:A,Groups!O:O)=0,1,0.1),1),0)</f>
        <v>0</v>
      </c>
      <c r="AY256" s="8">
        <f>IFERROR(ROUND(SQRT(U256-1),1),0)</f>
        <v>0</v>
      </c>
      <c r="AZ256" s="8">
        <f>IFERROR(ROUND(SQRT(W256),1),0)</f>
        <v>0</v>
      </c>
      <c r="BA256" s="8">
        <f>ROUND(
  EXP(0.3582*LN(C256)-0.2221) *
  (0.75 + 0.25*(C256^4/(C256^4+10^4))),
1)</f>
        <v>3.7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0.96491706949761447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>(0.0392*C256^IF(OR(Y256="Herbivore",Y256="Dendrovore",Y256="OmnivoreRough"),0.889,0.966))*C256^-0.135</f>
        <v>0.96491706949761447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1.1481163418018743</v>
      </c>
      <c r="BF256" s="8">
        <f>(0.048*C256^1.01)/IF(_xlfn.XLOOKUP(E256,Groups!A:A,Groups!M:M)=1,0.25,0.8)*C256^-0.25</f>
        <v>1.515045796469928</v>
      </c>
      <c r="BG256" s="8">
        <f>EXP(1.076*LN(AR256)-4.5397)*IF(_xlfn.XLOOKUP(E256,Groups!A:A,Groups!BC:BC)=1,1.25,IF(_xlfn.XLOOKUP(E256,Groups!A:A,Groups!BD:BD)=1,3.5,2.5))</f>
        <v>46.739282636034801</v>
      </c>
      <c r="BH256" s="8">
        <f>EXP(1.076*LN(AS256)-4.5397)*IF(_xlfn.XLOOKUP(E256,Groups!A:A,Groups!M:M)=1,0.8,IF(_xlfn.XLOOKUP(E256,Groups!A:A,Groups!BC:BC)=1,1.3,3))</f>
        <v>52.022581732173485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 t="str">
        <f>IFERROR(EXP(1.076*LN(AT256)-4.5397)*IF(_xlfn.XLOOKUP(E256,Groups!A:A,Groups!N:N)="Insect",1,IF(OR(_xlfn.XLOOKUP(E256,Groups!A:A,Groups!N:N)="Pig",_xlfn.XLOOKUP(E256,Groups!A:A,Groups!N:N)="StrongBitingHerbivore"),3.5,3.75)),"No")</f>
        <v>No</v>
      </c>
      <c r="BK256" s="8">
        <f t="shared" si="466"/>
        <v>9</v>
      </c>
      <c r="BL256" s="8">
        <f t="shared" si="466"/>
        <v>9</v>
      </c>
      <c r="BM256" s="8" t="str">
        <f>IF(W256="No","No",ROUNDDOWN(SQRT((2*BI256)/BC256),0))</f>
        <v>No</v>
      </c>
      <c r="BN256" s="8" t="str">
        <f>IF(V256="No","No",ROUNDDOWN(SQRT((2*BJ256)/BB256),0))</f>
        <v>No</v>
      </c>
      <c r="BO256" s="8">
        <f>ROUNDDOWN(SQRT((2*BH256)/BF256),0)</f>
        <v>8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 t="str">
        <f>IF(BJ256="No","No",IF(_xlfn.XLOOKUP(E256,Groups!A:A,Groups!BF:BF)=1,(0.0315*C256+2.1825)*2,(0.7354*C256^0.4078)*2)/IF(_xlfn.XLOOKUP(E256,Groups!A:A,Groups!BM:BM)=1,1000,100))</f>
        <v>No</v>
      </c>
      <c r="BS256" s="8">
        <f>BG256/(AO256*5%)</f>
        <v>5.3220056752471406E-2</v>
      </c>
      <c r="BT256" s="8" t="str">
        <f>IF(BP256="No","No",BH256/BP256)</f>
        <v>No</v>
      </c>
      <c r="BU256" s="8" t="str">
        <f>IF(W256="No","No",BI256/BQ256)</f>
        <v>No</v>
      </c>
      <c r="BV256" s="8" t="str">
        <f>IF(BJ256="No","No",BJ256/BR256)</f>
        <v>No</v>
      </c>
      <c r="BW256" s="4">
        <v>0</v>
      </c>
      <c r="BX256" s="4">
        <v>1</v>
      </c>
    </row>
    <row r="257" spans="1:76" s="16" customFormat="1" x14ac:dyDescent="0.25">
      <c r="A257" s="26" t="s">
        <v>1469</v>
      </c>
      <c r="B257" s="6" t="s">
        <v>1654</v>
      </c>
      <c r="C257" s="7">
        <v>70</v>
      </c>
      <c r="D257" s="7" t="s">
        <v>528</v>
      </c>
      <c r="E257" s="7" t="str">
        <f>Groups!$A$44</f>
        <v>Human (MYCOTICHUSK)</v>
      </c>
      <c r="F257" s="7" t="s">
        <v>1707</v>
      </c>
      <c r="G257" s="7" t="s">
        <v>1707</v>
      </c>
      <c r="H257" s="7">
        <v>85</v>
      </c>
      <c r="I257" s="4">
        <v>1</v>
      </c>
      <c r="J257" s="7" t="s">
        <v>1707</v>
      </c>
      <c r="K257" s="7" t="s">
        <v>528</v>
      </c>
      <c r="L257" s="7">
        <v>24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>
        <v>1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 t="s">
        <v>45</v>
      </c>
      <c r="V257" s="7">
        <v>1.5</v>
      </c>
      <c r="W257" s="7" t="str">
        <f>IF(_xlfn.XLOOKUP(E257,Groups!A:A,Groups!V:V)&lt;&gt;"No","Need a formula","No")</f>
        <v>No</v>
      </c>
      <c r="X257" s="7" t="s">
        <v>933</v>
      </c>
      <c r="Y257" s="4" t="s">
        <v>1803</v>
      </c>
      <c r="Z257" s="4">
        <v>1</v>
      </c>
      <c r="AA257" s="4">
        <v>0</v>
      </c>
      <c r="AB257" s="4">
        <v>1</v>
      </c>
      <c r="AC257" s="4">
        <v>0</v>
      </c>
      <c r="AD257" s="4">
        <v>0</v>
      </c>
      <c r="AE257" s="4" t="s">
        <v>45</v>
      </c>
      <c r="AF257" s="4" t="s">
        <v>45</v>
      </c>
      <c r="AG257" s="4" t="s">
        <v>45</v>
      </c>
      <c r="AH257" s="4" t="s">
        <v>45</v>
      </c>
      <c r="AI257" s="4">
        <v>0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>(0.111*C257^0.65)*10000</f>
        <v>17564.536938929268</v>
      </c>
      <c r="AP257" s="8">
        <f>IFERROR(C257*_xlfn.XLOOKUP(E257,Groups!A:A,Groups!K:K),0.106*C257^0.94)</f>
        <v>5.7503995690030791</v>
      </c>
      <c r="AQ257" s="8">
        <f>AP257*10000/(_xlfn.XLOOKUP(E257,Groups!A:A,Groups!J:J)*AO257)</f>
        <v>3.273869154078378</v>
      </c>
      <c r="AR257" s="8">
        <f>EXP(0.8447*LN(C257)+3.996)</f>
        <v>1967.863924091341</v>
      </c>
      <c r="AS257" s="8">
        <f>IF(_xlfn.XLOOKUP(E257,Groups!A:A,Groups!M:M)=1,EXP(0.7444*LN('Base stats'!C257)+6.5696),EXP(0.7927*LN('Base stats'!C257)+4.28))</f>
        <v>2095.9918946402931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IF(_xlfn.XLOOKUP(E257,Groups!A:A,Groups!N:N)="Theropod",EXP(0.6966*LN(C257)+4.158)*S257,
"No"))))))))))))))))</f>
        <v>922.32182758943668</v>
      </c>
      <c r="AU257" s="8">
        <f>IF(_xlfn.XLOOKUP(E257,Groups!A:A,Groups!U:U)=3,AS257,IF(_xlfn.XLOOKUP(E257,Groups!A:A,Groups!U:U)=2,AR257,AT257))</f>
        <v>922.32182758943668</v>
      </c>
      <c r="AV257" s="46">
        <f>IFERROR(AVERAGE(_xlfn.XLOOKUP(B257,Animals!B:B,Animals!N:N),_xlfn.XLOOKUP(B257,Animals!B:B,Animals!O:O)),0)</f>
        <v>0.52500000000000002</v>
      </c>
      <c r="AW257" s="8">
        <f>MROUND(40*Animals!AO261*_xlfn.XLOOKUP(Animals!BB261,Leathers!$A$2:$A$99,Leathers!$B$2:$B$99,0)+(140*_xlfn.XLOOKUP(B257,Animals!B:B,Animals!AO:AO)*2),5)</f>
        <v>280</v>
      </c>
      <c r="AX257" s="8">
        <f>IFERROR(ROUND(SQRT(V257-1)*IF(_xlfn.XLOOKUP(E257,Groups!A:A,Groups!BF:BF)=0,2,1)*IF(_xlfn.XLOOKUP('Base stats'!E257,Groups!A:A,Groups!O:O)=0,1,0.1),1),0)</f>
        <v>1.4</v>
      </c>
      <c r="AY257" s="8">
        <f>IFERROR(ROUND(SQRT(U257-1),1),0)</f>
        <v>0</v>
      </c>
      <c r="AZ257" s="8">
        <f>IFERROR(ROUND(SQRT(W257),1),0)</f>
        <v>0</v>
      </c>
      <c r="BA257" s="8">
        <f>ROUND(
  EXP(0.3582*LN(C257)-0.2221) *
  (0.75 + 0.25*(C257^4/(C257^4+10^4))),
1)</f>
        <v>3.7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1.4367218106239352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>(0.0392*C257^IF(OR(Y257="Herbivore",Y257="Dendrovore",Y257="OmnivoreRough"),0.889,0.966))*C257^-0.135</f>
        <v>1.3383279200893237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1.1481163418018743</v>
      </c>
      <c r="BF257" s="8">
        <f>(0.048*C257^1.01)/IF(_xlfn.XLOOKUP(E257,Groups!A:A,Groups!M:M)=1,0.25,0.8)*C257^-0.25</f>
        <v>1.515045796469928</v>
      </c>
      <c r="BG257" s="8">
        <f>EXP(1.076*LN(AR257)-4.5397)*IF(_xlfn.XLOOKUP(E257,Groups!A:A,Groups!BC:BC)=1,1.25,IF(_xlfn.XLOOKUP(E257,Groups!A:A,Groups!BD:BD)=1,3.5,2.5))</f>
        <v>46.739282636034801</v>
      </c>
      <c r="BH257" s="8">
        <f>EXP(1.076*LN(AS257)-4.5397)*IF(_xlfn.XLOOKUP(E257,Groups!A:A,Groups!M:M)=1,0.8,IF(_xlfn.XLOOKUP(E257,Groups!A:A,Groups!BC:BC)=1,1.3,3))</f>
        <v>52.022581732173485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62.040910664500117</v>
      </c>
      <c r="BK257" s="8">
        <f t="shared" si="466"/>
        <v>8</v>
      </c>
      <c r="BL257" s="8">
        <f t="shared" si="466"/>
        <v>9</v>
      </c>
      <c r="BM257" s="8" t="str">
        <f>IF(W257="No","No",ROUNDDOWN(SQRT((2*BI257)/BC257),0))</f>
        <v>No</v>
      </c>
      <c r="BN257" s="8">
        <f>IF(V257="No","No",ROUNDDOWN(SQRT((2*BJ257)/BB257),0))</f>
        <v>9</v>
      </c>
      <c r="BO257" s="8">
        <f>ROUNDDOWN(SQRT((2*BH257)/BF257),0)</f>
        <v>8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3.0832136828916186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8.3173428110674564E-3</v>
      </c>
      <c r="BS257" s="8">
        <f>BG257/(AO257*5%)</f>
        <v>5.3220056752471406E-2</v>
      </c>
      <c r="BT257" s="8">
        <f>IF(BP257="No","No",BH257/BP257)</f>
        <v>16.872843429840923</v>
      </c>
      <c r="BU257" s="8" t="str">
        <f>IF(W257="No","No",BI257/BQ257)</f>
        <v>No</v>
      </c>
      <c r="BV257" s="8">
        <f>IF(BJ257="No","No",BJ257/BR257)</f>
        <v>7459.222503363153</v>
      </c>
      <c r="BW257" s="4">
        <v>0</v>
      </c>
      <c r="BX257" s="4">
        <v>1</v>
      </c>
    </row>
    <row r="258" spans="1:76" s="16" customFormat="1" x14ac:dyDescent="0.25">
      <c r="A258" s="26" t="s">
        <v>1515</v>
      </c>
      <c r="B258" s="6" t="s">
        <v>1671</v>
      </c>
      <c r="C258" s="7">
        <v>70</v>
      </c>
      <c r="D258" s="7" t="s">
        <v>528</v>
      </c>
      <c r="E258" s="7" t="str">
        <f>Groups!$A$43</f>
        <v>Human (MIME)</v>
      </c>
      <c r="F258" s="7" t="s">
        <v>1707</v>
      </c>
      <c r="G258" s="7" t="s">
        <v>1707</v>
      </c>
      <c r="H258" s="7">
        <v>85</v>
      </c>
      <c r="I258" s="4">
        <v>1</v>
      </c>
      <c r="J258" s="7" t="s">
        <v>1707</v>
      </c>
      <c r="K258" s="7" t="s">
        <v>528</v>
      </c>
      <c r="L258" s="7">
        <v>24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>
        <v>1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 t="s">
        <v>45</v>
      </c>
      <c r="V258" s="7">
        <v>1.5</v>
      </c>
      <c r="W258" s="7" t="str">
        <f>IF(_xlfn.XLOOKUP(E258,Groups!A:A,Groups!V:V)&lt;&gt;"No","Need a formula","No")</f>
        <v>No</v>
      </c>
      <c r="X258" s="7" t="s">
        <v>933</v>
      </c>
      <c r="Y258" s="4" t="s">
        <v>1803</v>
      </c>
      <c r="Z258" s="4">
        <v>1</v>
      </c>
      <c r="AA258" s="4">
        <v>0</v>
      </c>
      <c r="AB258" s="4">
        <v>1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384</v>
      </c>
      <c r="AH258" s="4" t="s">
        <v>1832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" si="467">(0.111*C258^0.65)*10000</f>
        <v>17564.536938929268</v>
      </c>
      <c r="AP258" s="8">
        <f>IFERROR(C258*_xlfn.XLOOKUP(E258,Groups!A:A,Groups!K:K),0.106*C258^0.94)</f>
        <v>5.7503995690030791</v>
      </c>
      <c r="AQ258" s="8">
        <f>AP258*10000/(_xlfn.XLOOKUP(E258,Groups!A:A,Groups!J:J)*AO258)</f>
        <v>3.0035496826407138</v>
      </c>
      <c r="AR258" s="8">
        <f t="shared" ref="AR258" si="468">EXP(0.8447*LN(C258)+3.996)</f>
        <v>1967.863924091341</v>
      </c>
      <c r="AS258" s="8">
        <f>IF(_xlfn.XLOOKUP(E258,Groups!A:A,Groups!M:M)=1,EXP(0.7444*LN('Base stats'!C258)+6.5696),EXP(0.7927*LN('Base stats'!C258)+4.28))</f>
        <v>2095.9918946402931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IF(_xlfn.XLOOKUP(E258,Groups!A:A,Groups!N:N)="Theropod",EXP(0.6966*LN(C258)+4.158)*S258,
"No"))))))))))))))))</f>
        <v>922.32182758943668</v>
      </c>
      <c r="AU258" s="8">
        <f>IF(_xlfn.XLOOKUP(E258,Groups!A:A,Groups!U:U)=3,AS258,IF(_xlfn.XLOOKUP(E258,Groups!A:A,Groups!U:U)=2,AR258,AT258))</f>
        <v>922.32182758943668</v>
      </c>
      <c r="AV258" s="46">
        <f>IFERROR(AVERAGE(_xlfn.XLOOKUP(B258,Animals!B:B,Animals!N:N),_xlfn.XLOOKUP(B258,Animals!B:B,Animals!O:O)),0)</f>
        <v>0</v>
      </c>
      <c r="AW258" s="8">
        <f>MROUND(40*Animals!AO282*_xlfn.XLOOKUP(Animals!BB282,Leathers!$A$2:$A$99,Leathers!$B$2:$B$99,0)+(140*_xlfn.XLOOKUP(B258,Animals!B:B,Animals!AO:AO)*2),5)</f>
        <v>580</v>
      </c>
      <c r="AX258" s="8">
        <f>IFERROR(ROUND(SQRT(V258-1)*IF(_xlfn.XLOOKUP(E258,Groups!A:A,Groups!BF:BF)=0,2,1)*IF(_xlfn.XLOOKUP('Base stats'!E258,Groups!A:A,Groups!O:O)=0,1,0.1),1),0)</f>
        <v>1.4</v>
      </c>
      <c r="AY258" s="8">
        <f t="shared" ref="AY258" si="469">IFERROR(ROUND(SQRT(U258-1),1),0)</f>
        <v>0</v>
      </c>
      <c r="AZ258" s="8">
        <f t="shared" ref="AZ258" si="470">IFERROR(ROUND(SQRT(W258),1),0)</f>
        <v>0</v>
      </c>
      <c r="BA258" s="8">
        <f t="shared" ref="BA258" si="471">ROUND(
  EXP(0.3582*LN(C258)-0.2221) *
  (0.75 + 0.25*(C258^4/(C258^4+10^4))),
1)</f>
        <v>3.7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1.4367218106239352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" si="472">(0.0392*C258^IF(OR(Y258="Herbivore",Y258="Dendrovore",Y258="OmnivoreRough"),0.889,0.966))*C258^-0.135</f>
        <v>1.3383279200893237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3.1638344182391287</v>
      </c>
      <c r="BF258" s="8">
        <f>(0.048*C258^1.01)/IF(_xlfn.XLOOKUP(E258,Groups!A:A,Groups!M:M)=1,0.25,0.8)*C258^-0.25</f>
        <v>1.515045796469928</v>
      </c>
      <c r="BG258" s="8">
        <f>EXP(1.076*LN(AR258)-4.5397)*IF(_xlfn.XLOOKUP(E258,Groups!A:A,Groups!BC:BC)=1,1.25,IF(_xlfn.XLOOKUP(E258,Groups!A:A,Groups!BD:BD)=1,3.5,2.5))</f>
        <v>93.478565272069602</v>
      </c>
      <c r="BH258" s="8">
        <f>EXP(1.076*LN(AS258)-4.5397)*IF(_xlfn.XLOOKUP(E258,Groups!A:A,Groups!M:M)=1,0.8,IF(_xlfn.XLOOKUP(E258,Groups!A:A,Groups!BC:BC)=1,1.3,3))</f>
        <v>120.05211168963112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62.040910664500117</v>
      </c>
      <c r="BK258" s="8">
        <f t="shared" ref="BK258" si="473">ROUNDDOWN(SQRT((2*BG258)/BD258),0)</f>
        <v>11</v>
      </c>
      <c r="BL258" s="8">
        <f t="shared" ref="BL258" si="474">ROUNDDOWN(SQRT((2*BH258)/BE258),0)</f>
        <v>8</v>
      </c>
      <c r="BM258" s="8" t="str">
        <f t="shared" ref="BM258" si="475">IF(W258="No","No",ROUNDDOWN(SQRT((2*BI258)/BC258),0))</f>
        <v>No</v>
      </c>
      <c r="BN258" s="8">
        <f t="shared" ref="BN258" si="476">IF(V258="No","No",ROUNDDOWN(SQRT((2*BJ258)/BB258),0))</f>
        <v>9</v>
      </c>
      <c r="BO258" s="8">
        <f t="shared" ref="BO258" si="477">ROUNDDOWN(SQRT((2*BH258)/BF258),0)</f>
        <v>12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3.0832136828916186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8.3173428110674564E-3</v>
      </c>
      <c r="BS258" s="8">
        <f t="shared" ref="BS258" si="478">BG258/(AO258*5%)</f>
        <v>0.10644011350494281</v>
      </c>
      <c r="BT258" s="8">
        <f t="shared" ref="BT258" si="479">IF(BP258="No","No",BH258/BP258)</f>
        <v>38.937330991940591</v>
      </c>
      <c r="BU258" s="8" t="str">
        <f t="shared" ref="BU258" si="480">IF(W258="No","No",BI258/BQ258)</f>
        <v>No</v>
      </c>
      <c r="BV258" s="8">
        <f t="shared" ref="BV258" si="481">IF(BJ258="No","No",BJ258/BR258)</f>
        <v>7459.222503363153</v>
      </c>
      <c r="BW258" s="4">
        <v>0</v>
      </c>
      <c r="BX258" s="4">
        <v>1</v>
      </c>
    </row>
    <row r="259" spans="1:76" s="16" customFormat="1" x14ac:dyDescent="0.25">
      <c r="A259" s="26" t="s">
        <v>1505</v>
      </c>
      <c r="B259" s="6" t="s">
        <v>1666</v>
      </c>
      <c r="C259" s="7">
        <v>40</v>
      </c>
      <c r="D259" s="7" t="s">
        <v>528</v>
      </c>
      <c r="E259" s="7" t="str">
        <f>Groups!A$94</f>
        <v>SentientPlant (ACID)</v>
      </c>
      <c r="F259" s="7">
        <f>ROUND(7.545*(C259*1000)^0.2689,0)</f>
        <v>130</v>
      </c>
      <c r="G259" s="7">
        <v>3</v>
      </c>
      <c r="H259" s="7">
        <v>20</v>
      </c>
      <c r="I259" s="4">
        <v>1</v>
      </c>
      <c r="J259" s="7">
        <v>2</v>
      </c>
      <c r="K259" s="7" t="s">
        <v>528</v>
      </c>
      <c r="L259" s="7">
        <v>18</v>
      </c>
      <c r="M259" s="7" t="s">
        <v>528</v>
      </c>
      <c r="N259" s="4">
        <v>0</v>
      </c>
      <c r="O259" s="4">
        <v>0</v>
      </c>
      <c r="P259" s="4">
        <v>0</v>
      </c>
      <c r="Q259" s="4">
        <v>0</v>
      </c>
      <c r="R259" s="4" t="s">
        <v>40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v>5</v>
      </c>
      <c r="W259" s="7" t="str">
        <f>IF(_xlfn.XLOOKUP(E259,Groups!A:A,Groups!V:V)&lt;&gt;"No","Need a formula","No")</f>
        <v>No</v>
      </c>
      <c r="X259" s="7" t="s">
        <v>933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1787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ref="AO259:AO265" si="482">(0.111*C259^0.65)*10000</f>
        <v>12208.490600010842</v>
      </c>
      <c r="AP259" s="8">
        <f>IFERROR(C259*_xlfn.XLOOKUP(E259,Groups!A:A,Groups!K:K),0.106*C259^0.94)</f>
        <v>28</v>
      </c>
      <c r="AQ259" s="8">
        <f>AP259*10000/(_xlfn.XLOOKUP(E259,Groups!A:A,Groups!J:J)*AO259)</f>
        <v>22.934858138790009</v>
      </c>
      <c r="AR259" s="8">
        <f t="shared" ref="AR259:AR265" si="483">EXP(0.8447*LN(C259)+3.996)</f>
        <v>1226.5939672257964</v>
      </c>
      <c r="AS259" s="8">
        <f>IF(_xlfn.XLOOKUP(E259,Groups!A:A,Groups!M:M)=1,EXP(0.7444*LN('Base stats'!C259)+6.5696),EXP(0.7927*LN('Base stats'!C259)+4.28))</f>
        <v>1345.0342323536652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IF(_xlfn.XLOOKUP(E259,Groups!A:A,Groups!N:N)="Theropod",EXP(0.6966*LN(C259)+4.158)*S259,
"No"))))))))))))))))</f>
        <v>11110.010921232448</v>
      </c>
      <c r="AU259" s="8">
        <f>IF(_xlfn.XLOOKUP(E259,Groups!A:A,Groups!U:U)=3,AS259,IF(_xlfn.XLOOKUP(E259,Groups!A:A,Groups!U:U)=2,AR259,AT259))</f>
        <v>11110.010921232448</v>
      </c>
      <c r="AV259" s="46">
        <f>IFERROR(AVERAGE(_xlfn.XLOOKUP(B259,Animals!B:B,Animals!N:N),_xlfn.XLOOKUP(B259,Animals!B:B,Animals!O:O)),0)</f>
        <v>0</v>
      </c>
      <c r="AW259" s="8">
        <f>MROUND(40*Animals!AO278*_xlfn.XLOOKUP(Animals!BB278,Leathers!$A$2:$A$99,Leathers!$B$2:$B$99,0)+(140*_xlfn.XLOOKUP(B259,Animals!B:B,Animals!AO:AO)*2),5)</f>
        <v>225</v>
      </c>
      <c r="AX259" s="8">
        <f>IFERROR(ROUND(SQRT(V259-1)*IF(_xlfn.XLOOKUP(E259,Groups!A:A,Groups!BF:BF)=0,2,1)*IF(_xlfn.XLOOKUP('Base stats'!E259,Groups!A:A,Groups!O:O)=0,1,0.1),1),0)</f>
        <v>4</v>
      </c>
      <c r="AY259" s="8">
        <f t="shared" ref="AY259:AY265" si="484">IFERROR(ROUND(SQRT(U259-1),1),0)</f>
        <v>0</v>
      </c>
      <c r="AZ259" s="8">
        <f t="shared" ref="AZ259:AZ265" si="485">IFERROR(ROUND(SQRT(W259),1),0)</f>
        <v>0</v>
      </c>
      <c r="BA259" s="8">
        <f t="shared" ref="BA259:BA265" si="486">ROUND(
  EXP(0.3582*LN(C259)-0.2221) *
  (0.75 + 0.25*(C259^4/(C259^4+10^4))),
1)</f>
        <v>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2.101541296129207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ref="BD259:BD265" si="487">(0.0392*C259^IF(OR(Y259="Herbivore",Y259="Dendrovore",Y259="OmnivoreRough"),0.889,0.966))*C259^-0.135</f>
        <v>0.84061651845168284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0.74202104120764245</v>
      </c>
      <c r="BF259" s="8">
        <f>(0.048*C259^1.01)/IF(_xlfn.XLOOKUP(E259,Groups!A:A,Groups!M:M)=1,0.25,0.8)*C259^-0.25</f>
        <v>0.99018614167501795</v>
      </c>
      <c r="BG259" s="8">
        <f>EXP(1.076*LN(AR259)-4.5397)*IF(_xlfn.XLOOKUP(E259,Groups!A:A,Groups!BC:BC)=1,1.25,IF(_xlfn.XLOOKUP(E259,Groups!A:A,Groups!BD:BD)=1,3.5,2.5))</f>
        <v>28.105119779320624</v>
      </c>
      <c r="BH259" s="8">
        <f>EXP(1.076*LN(AS259)-4.5397)*IF(_xlfn.XLOOKUP(E259,Groups!A:A,Groups!M:M)=1,0.8,IF(_xlfn.XLOOKUP(E259,Groups!A:A,Groups!BC:BC)=1,1.3,3))</f>
        <v>32.277044734426674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240.78095202778914</v>
      </c>
      <c r="BK259" s="8">
        <f t="shared" ref="BK259:BL265" si="488">ROUNDDOWN(SQRT((2*BG259)/BD259),0)</f>
        <v>8</v>
      </c>
      <c r="BL259" s="8">
        <f t="shared" si="488"/>
        <v>9</v>
      </c>
      <c r="BM259" s="8" t="str">
        <f t="shared" ref="BM259:BM265" si="489">IF(W259="No","No",ROUNDDOWN(SQRT((2*BI259)/BC259),0))</f>
        <v>No</v>
      </c>
      <c r="BN259" s="8">
        <f t="shared" ref="BN259:BN265" si="490">IF(V259="No","No",ROUNDDOWN(SQRT((2*BJ259)/BB259),0))</f>
        <v>15</v>
      </c>
      <c r="BO259" s="8">
        <f t="shared" ref="BO259:BO265" si="491">ROUNDDOWN(SQRT((2*BH259)/BF259),0)</f>
        <v>8</v>
      </c>
      <c r="BP259" s="8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1.9054010785934037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6.6202392635939605E-2</v>
      </c>
      <c r="BS259" s="8">
        <f t="shared" ref="BS259:BS265" si="492">BG259/(AO259*5%)</f>
        <v>4.6041923936601406E-2</v>
      </c>
      <c r="BT259" s="8">
        <f t="shared" ref="BT259:BT265" si="493">IF(BP259="No","No",BH259/BP259)</f>
        <v>16.939764072272954</v>
      </c>
      <c r="BU259" s="8" t="str">
        <f t="shared" ref="BU259:BU265" si="494">IF(W259="No","No",BI259/BQ259)</f>
        <v>No</v>
      </c>
      <c r="BV259" s="8">
        <f t="shared" ref="BV259:BV265" si="495">IF(BJ259="No","No",BJ259/BR259)</f>
        <v>3637.0430499678837</v>
      </c>
      <c r="BW259" s="4">
        <v>0</v>
      </c>
      <c r="BX259" s="4">
        <v>1</v>
      </c>
    </row>
    <row r="260" spans="1:76" s="16" customFormat="1" x14ac:dyDescent="0.25">
      <c r="A260" s="26" t="s">
        <v>1521</v>
      </c>
      <c r="B260" s="6" t="s">
        <v>1674</v>
      </c>
      <c r="C260" s="7">
        <v>35</v>
      </c>
      <c r="D260" s="7" t="s">
        <v>528</v>
      </c>
      <c r="E260" s="7" t="str">
        <f>Groups!A$93</f>
        <v>SentientPlant</v>
      </c>
      <c r="F260" s="7">
        <f>ROUND(7.545*(C260*1000)^0.2689,0)</f>
        <v>126</v>
      </c>
      <c r="G260" s="7">
        <v>3</v>
      </c>
      <c r="H260" s="7">
        <v>20</v>
      </c>
      <c r="I260" s="4">
        <v>1</v>
      </c>
      <c r="J260" s="7">
        <v>2</v>
      </c>
      <c r="K260" s="7" t="s">
        <v>528</v>
      </c>
      <c r="L260" s="7">
        <v>18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 t="s">
        <v>40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 t="s">
        <v>45</v>
      </c>
      <c r="V260" s="7">
        <v>5</v>
      </c>
      <c r="W260" s="7" t="str">
        <f>IF(_xlfn.XLOOKUP(E260,Groups!A:A,Groups!V:V)&lt;&gt;"No","Need a formula","No")</f>
        <v>No</v>
      </c>
      <c r="X260" s="7" t="s">
        <v>933</v>
      </c>
      <c r="Y260" s="4" t="s">
        <v>42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1787</v>
      </c>
      <c r="AH260" s="4" t="s">
        <v>45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82"/>
        <v>11193.533609727016</v>
      </c>
      <c r="AP260" s="8">
        <f>IFERROR(C260*_xlfn.XLOOKUP(E260,Groups!A:A,Groups!K:K),0.106*C260^0.94)</f>
        <v>24.5</v>
      </c>
      <c r="AQ260" s="8">
        <f>AP260*10000/(_xlfn.XLOOKUP(E260,Groups!A:A,Groups!J:J)*AO260)</f>
        <v>21.887636964532685</v>
      </c>
      <c r="AR260" s="8">
        <f t="shared" si="483"/>
        <v>1095.7589503868378</v>
      </c>
      <c r="AS260" s="8">
        <f>IF(_xlfn.XLOOKUP(E260,Groups!A:A,Groups!M:M)=1,EXP(0.7444*LN('Base stats'!C260)+6.5696),EXP(0.7927*LN('Base stats'!C260)+4.28))</f>
        <v>1209.9380129875831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IF(_xlfn.XLOOKUP(E260,Groups!A:A,Groups!N:N)="Theropod",EXP(0.6966*LN(C260)+4.158)*S260,
"No"))))))))))))))))</f>
        <v>10058.779326452872</v>
      </c>
      <c r="AU260" s="8">
        <f>IF(_xlfn.XLOOKUP(E260,Groups!A:A,Groups!U:U)=3,AS260,IF(_xlfn.XLOOKUP(E260,Groups!A:A,Groups!U:U)=2,AR260,AT260))</f>
        <v>10058.779326452872</v>
      </c>
      <c r="AV260" s="46">
        <f>IFERROR(AVERAGE(_xlfn.XLOOKUP(B260,Animals!B:B,Animals!N:N),_xlfn.XLOOKUP(B260,Animals!B:B,Animals!O:O)),0)</f>
        <v>0</v>
      </c>
      <c r="AW260" s="8">
        <f>MROUND(40*Animals!AO279*_xlfn.XLOOKUP(Animals!BB279,Leathers!$A$2:$A$99,Leathers!$B$2:$B$99,0)+(140*_xlfn.XLOOKUP(B260,Animals!B:B,Animals!AO:AO)*2),5)</f>
        <v>210</v>
      </c>
      <c r="AX260" s="8">
        <f>IFERROR(ROUND(SQRT(V260-1)*IF(_xlfn.XLOOKUP(E260,Groups!A:A,Groups!BF:BF)=0,2,1)*IF(_xlfn.XLOOKUP('Base stats'!E260,Groups!A:A,Groups!O:O)=0,1,0.1),1),0)</f>
        <v>4</v>
      </c>
      <c r="AY260" s="8">
        <f t="shared" si="484"/>
        <v>0</v>
      </c>
      <c r="AZ260" s="8">
        <f t="shared" si="485"/>
        <v>0</v>
      </c>
      <c r="BA260" s="8">
        <f t="shared" si="486"/>
        <v>2.9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1.4303864293079271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87"/>
        <v>0.57215457172317086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0.66862483223497027</v>
      </c>
      <c r="BF260" s="8">
        <f>(0.048*C260^1.01)/IF(_xlfn.XLOOKUP(E260,Groups!A:A,Groups!M:M)=1,0.25,0.8)*C260^-0.25</f>
        <v>0.89462898368032151</v>
      </c>
      <c r="BG260" s="8">
        <f>EXP(1.076*LN(AR260)-4.5397)*IF(_xlfn.XLOOKUP(E260,Groups!A:A,Groups!BC:BC)=1,1.25,IF(_xlfn.XLOOKUP(E260,Groups!A:A,Groups!BD:BD)=1,3.5,2.5))</f>
        <v>24.892970376789926</v>
      </c>
      <c r="BH260" s="8">
        <f>EXP(1.076*LN(AS260)-4.5397)*IF(_xlfn.XLOOKUP(E260,Groups!A:A,Groups!M:M)=1,0.8,IF(_xlfn.XLOOKUP(E260,Groups!A:A,Groups!BC:BC)=1,1.3,3))</f>
        <v>28.80247519858462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216.35755370474666</v>
      </c>
      <c r="BK260" s="8">
        <f t="shared" si="488"/>
        <v>9</v>
      </c>
      <c r="BL260" s="8">
        <f t="shared" si="488"/>
        <v>9</v>
      </c>
      <c r="BM260" s="8" t="str">
        <f t="shared" si="489"/>
        <v>No</v>
      </c>
      <c r="BN260" s="8">
        <f t="shared" si="490"/>
        <v>17</v>
      </c>
      <c r="BO260" s="8">
        <f t="shared" si="491"/>
        <v>8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1.7006395456125865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6.2693796472684152E-2</v>
      </c>
      <c r="BS260" s="8">
        <f t="shared" si="492"/>
        <v>4.447741212865667E-2</v>
      </c>
      <c r="BT260" s="8">
        <f t="shared" si="493"/>
        <v>16.936260992454869</v>
      </c>
      <c r="BU260" s="8" t="str">
        <f t="shared" si="494"/>
        <v>No</v>
      </c>
      <c r="BV260" s="8">
        <f t="shared" si="495"/>
        <v>3451.0201308197088</v>
      </c>
      <c r="BW260" s="4">
        <v>0</v>
      </c>
      <c r="BX260" s="4">
        <v>1</v>
      </c>
    </row>
    <row r="261" spans="1:76" s="16" customFormat="1" x14ac:dyDescent="0.25">
      <c r="A261" s="26" t="s">
        <v>1523</v>
      </c>
      <c r="B261" s="6" t="s">
        <v>1675</v>
      </c>
      <c r="C261" s="7">
        <v>35</v>
      </c>
      <c r="D261" s="7" t="s">
        <v>528</v>
      </c>
      <c r="E261" s="7" t="str">
        <f>Groups!A$93</f>
        <v>SentientPlant</v>
      </c>
      <c r="F261" s="7">
        <f>ROUND(7.545*(C261*1000)^0.2689,0)</f>
        <v>126</v>
      </c>
      <c r="G261" s="7">
        <v>3</v>
      </c>
      <c r="H261" s="7">
        <v>20</v>
      </c>
      <c r="I261" s="4">
        <v>1</v>
      </c>
      <c r="J261" s="7">
        <v>2</v>
      </c>
      <c r="K261" s="7" t="s">
        <v>528</v>
      </c>
      <c r="L261" s="7">
        <v>18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 t="s">
        <v>40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5</v>
      </c>
      <c r="W261" s="7" t="str">
        <f>IF(_xlfn.XLOOKUP(E261,Groups!A:A,Groups!V:V)&lt;&gt;"No","Need a formula","No")</f>
        <v>No</v>
      </c>
      <c r="X261" s="7" t="s">
        <v>933</v>
      </c>
      <c r="Y261" s="4" t="s">
        <v>42</v>
      </c>
      <c r="Z261" s="4">
        <v>1</v>
      </c>
      <c r="AA261" s="4">
        <v>0</v>
      </c>
      <c r="AB261" s="4">
        <v>0</v>
      </c>
      <c r="AC261" s="4">
        <v>0</v>
      </c>
      <c r="AD261" s="4">
        <v>0</v>
      </c>
      <c r="AE261" s="4" t="s">
        <v>45</v>
      </c>
      <c r="AF261" s="4" t="s">
        <v>45</v>
      </c>
      <c r="AG261" s="28" t="s">
        <v>1787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si="482"/>
        <v>11193.533609727016</v>
      </c>
      <c r="AP261" s="8">
        <f>IFERROR(C261*_xlfn.XLOOKUP(E261,Groups!A:A,Groups!K:K),0.106*C261^0.94)</f>
        <v>24.5</v>
      </c>
      <c r="AQ261" s="8">
        <f>AP261*10000/(_xlfn.XLOOKUP(E261,Groups!A:A,Groups!J:J)*AO261)</f>
        <v>21.887636964532685</v>
      </c>
      <c r="AR261" s="8">
        <f t="shared" si="483"/>
        <v>1095.7589503868378</v>
      </c>
      <c r="AS261" s="8">
        <f>IF(_xlfn.XLOOKUP(E261,Groups!A:A,Groups!M:M)=1,EXP(0.7444*LN('Base stats'!C261)+6.5696),EXP(0.7927*LN('Base stats'!C261)+4.28))</f>
        <v>1209.9380129875831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IF(_xlfn.XLOOKUP(E261,Groups!A:A,Groups!N:N)="Theropod",EXP(0.6966*LN(C261)+4.158)*S261,
"No"))))))))))))))))</f>
        <v>10058.779326452872</v>
      </c>
      <c r="AU261" s="8">
        <f>IF(_xlfn.XLOOKUP(E261,Groups!A:A,Groups!U:U)=3,AS261,IF(_xlfn.XLOOKUP(E261,Groups!A:A,Groups!U:U)=2,AR261,AT261))</f>
        <v>10058.779326452872</v>
      </c>
      <c r="AV261" s="46">
        <f>IFERROR(AVERAGE(_xlfn.XLOOKUP(B261,Animals!B:B,Animals!N:N),_xlfn.XLOOKUP(B261,Animals!B:B,Animals!O:O)),0)</f>
        <v>0</v>
      </c>
      <c r="AW261" s="8">
        <f>MROUND(40*Animals!AO280*_xlfn.XLOOKUP(Animals!BB280,Leathers!$A$2:$A$99,Leathers!$B$2:$B$99,0)+(140*_xlfn.XLOOKUP(B261,Animals!B:B,Animals!AO:AO)*2),5)</f>
        <v>545</v>
      </c>
      <c r="AX261" s="8">
        <f>IFERROR(ROUND(SQRT(V261-1)*IF(_xlfn.XLOOKUP(E261,Groups!A:A,Groups!BF:BF)=0,2,1)*IF(_xlfn.XLOOKUP('Base stats'!E261,Groups!A:A,Groups!O:O)=0,1,0.1),1),0)</f>
        <v>4</v>
      </c>
      <c r="AY261" s="8">
        <f t="shared" si="484"/>
        <v>0</v>
      </c>
      <c r="AZ261" s="8">
        <f t="shared" si="485"/>
        <v>0</v>
      </c>
      <c r="BA261" s="8">
        <f t="shared" si="486"/>
        <v>2.9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1.4303864293079271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si="487"/>
        <v>0.57215457172317086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0.66862483223497027</v>
      </c>
      <c r="BF261" s="8">
        <f>(0.048*C261^1.01)/IF(_xlfn.XLOOKUP(E261,Groups!A:A,Groups!M:M)=1,0.25,0.8)*C261^-0.25</f>
        <v>0.89462898368032151</v>
      </c>
      <c r="BG261" s="8">
        <f>EXP(1.076*LN(AR261)-4.5397)*IF(_xlfn.XLOOKUP(E261,Groups!A:A,Groups!BC:BC)=1,1.25,IF(_xlfn.XLOOKUP(E261,Groups!A:A,Groups!BD:BD)=1,3.5,2.5))</f>
        <v>24.892970376789926</v>
      </c>
      <c r="BH261" s="8">
        <f>EXP(1.076*LN(AS261)-4.5397)*IF(_xlfn.XLOOKUP(E261,Groups!A:A,Groups!M:M)=1,0.8,IF(_xlfn.XLOOKUP(E261,Groups!A:A,Groups!BC:BC)=1,1.3,3))</f>
        <v>28.80247519858462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216.35755370474666</v>
      </c>
      <c r="BK261" s="8">
        <f t="shared" si="488"/>
        <v>9</v>
      </c>
      <c r="BL261" s="8">
        <f t="shared" si="488"/>
        <v>9</v>
      </c>
      <c r="BM261" s="8" t="str">
        <f t="shared" si="489"/>
        <v>No</v>
      </c>
      <c r="BN261" s="8">
        <f t="shared" si="490"/>
        <v>17</v>
      </c>
      <c r="BO261" s="8">
        <f t="shared" si="491"/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1.7006395456125865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6.2693796472684152E-2</v>
      </c>
      <c r="BS261" s="8">
        <f t="shared" si="492"/>
        <v>4.447741212865667E-2</v>
      </c>
      <c r="BT261" s="8">
        <f t="shared" si="493"/>
        <v>16.936260992454869</v>
      </c>
      <c r="BU261" s="8" t="str">
        <f t="shared" si="494"/>
        <v>No</v>
      </c>
      <c r="BV261" s="8">
        <f t="shared" si="495"/>
        <v>3451.0201308197088</v>
      </c>
      <c r="BW261" s="4">
        <v>0</v>
      </c>
      <c r="BX261" s="4">
        <v>1</v>
      </c>
    </row>
    <row r="262" spans="1:76" s="16" customFormat="1" x14ac:dyDescent="0.25">
      <c r="A262" s="26" t="s">
        <v>1397</v>
      </c>
      <c r="B262" s="6" t="s">
        <v>1627</v>
      </c>
      <c r="C262" s="7">
        <v>10</v>
      </c>
      <c r="D262" s="7" t="s">
        <v>528</v>
      </c>
      <c r="E262" s="7" t="str">
        <f>Groups!$A$48</f>
        <v>Rodent (TAILLESS)</v>
      </c>
      <c r="F262" s="7">
        <f>ROUND(7.545*(C262*1000)^0.2689,0)</f>
        <v>90</v>
      </c>
      <c r="G262" s="7">
        <v>1</v>
      </c>
      <c r="H262" s="7">
        <v>15</v>
      </c>
      <c r="I262" s="4">
        <v>0</v>
      </c>
      <c r="J262" s="7">
        <v>5</v>
      </c>
      <c r="K262" s="7" t="s">
        <v>528</v>
      </c>
      <c r="L262" s="7">
        <f>MIN(20*C262^0.183,19.9*C262^0.142)</f>
        <v>27.596440994550576</v>
      </c>
      <c r="M262" s="7" t="s">
        <v>627</v>
      </c>
      <c r="N262" s="4">
        <v>0</v>
      </c>
      <c r="O262" s="4">
        <v>0</v>
      </c>
      <c r="P262" s="4">
        <v>0</v>
      </c>
      <c r="Q262" s="4">
        <v>0</v>
      </c>
      <c r="R262" s="4" t="s">
        <v>40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 t="s">
        <v>45</v>
      </c>
      <c r="V262" s="7">
        <v>4.5</v>
      </c>
      <c r="W262" s="7" t="s">
        <v>45</v>
      </c>
      <c r="X262" s="7" t="s">
        <v>933</v>
      </c>
      <c r="Y262" s="4" t="s">
        <v>1008</v>
      </c>
      <c r="Z262" s="4">
        <v>1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1787</v>
      </c>
      <c r="AH262" s="4" t="s">
        <v>45</v>
      </c>
      <c r="AI262" s="4">
        <v>0</v>
      </c>
      <c r="AJ262" s="4">
        <v>0</v>
      </c>
      <c r="AK262" s="4">
        <v>0</v>
      </c>
      <c r="AL262" s="4">
        <v>0</v>
      </c>
      <c r="AM262" s="4">
        <v>1</v>
      </c>
      <c r="AN262" s="44" t="s">
        <v>40</v>
      </c>
      <c r="AO262" s="8">
        <f t="shared" si="482"/>
        <v>4958.187872875691</v>
      </c>
      <c r="AP262" s="8">
        <f>IFERROR(C262*_xlfn.XLOOKUP(E262,Groups!A:A,Groups!K:K),0.106*C262^0.94)</f>
        <v>0.92322140535344532</v>
      </c>
      <c r="AQ262" s="8">
        <f>AP262*10000/(_xlfn.XLOOKUP(E262,Groups!A:A,Groups!J:J)*AO262)</f>
        <v>1.7082695063588127</v>
      </c>
      <c r="AR262" s="8">
        <f t="shared" si="483"/>
        <v>380.31263115847975</v>
      </c>
      <c r="AS262" s="8">
        <f>IF(_xlfn.XLOOKUP(E262,Groups!A:A,Groups!M:M)=1,EXP(0.7444*LN('Base stats'!C262)+6.5696),EXP(0.7927*LN('Base stats'!C262)+4.28))</f>
        <v>448.20880356342906</v>
      </c>
      <c r="AT262" s="8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IF(_xlfn.XLOOKUP(E262,Groups!A:A,Groups!N:N)="Theropod",EXP(0.6966*LN(C262)+4.158)*S262,
"No"))))))))))))))))</f>
        <v>269.29410643172787</v>
      </c>
      <c r="AU262" s="8">
        <f>IF(_xlfn.XLOOKUP(E262,Groups!A:A,Groups!U:U)=3,AS262,IF(_xlfn.XLOOKUP(E262,Groups!A:A,Groups!U:U)=2,AR262,AT262))</f>
        <v>269.29410643172787</v>
      </c>
      <c r="AV262" s="46">
        <f>IFERROR(AVERAGE(_xlfn.XLOOKUP(B262,Animals!B:B,Animals!N:N),_xlfn.XLOOKUP(B262,Animals!B:B,Animals!O:O)),0)</f>
        <v>0</v>
      </c>
      <c r="AW262" s="8">
        <f>MROUND(40*Animals!AO226*_xlfn.XLOOKUP(Animals!BB226,Leathers!$A$2:$A$99,Leathers!$B$2:$B$99,0)+(140*_xlfn.XLOOKUP(B262,Animals!B:B,Animals!AO:AO)*2),5)</f>
        <v>110</v>
      </c>
      <c r="AX262" s="8">
        <f>IFERROR(ROUND(SQRT(V262-1)*IF(_xlfn.XLOOKUP(E262,Groups!A:A,Groups!BF:BF)=0,2,1)*IF(_xlfn.XLOOKUP('Base stats'!E262,Groups!A:A,Groups!O:O)=0,1,0.1),1),0)</f>
        <v>3.7</v>
      </c>
      <c r="AY262" s="8">
        <f t="shared" si="484"/>
        <v>0</v>
      </c>
      <c r="AZ262" s="8">
        <f t="shared" si="485"/>
        <v>0</v>
      </c>
      <c r="BA262" s="8">
        <f t="shared" si="486"/>
        <v>1.6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0.48385350070247429</v>
      </c>
      <c r="BC262" s="8" t="str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No</v>
      </c>
      <c r="BD262" s="8">
        <f t="shared" si="487"/>
        <v>0.22247748532015049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0.42781730611279417</v>
      </c>
      <c r="BF262" s="8">
        <f>(0.048*C262^1.01)/IF(_xlfn.XLOOKUP(E262,Groups!A:A,Groups!M:M)=1,0.25,0.8)*C262^-0.25</f>
        <v>0.34526396240229418</v>
      </c>
      <c r="BG262" s="8">
        <f>EXP(1.076*LN(AR262)-4.5397)*IF(_xlfn.XLOOKUP(E262,Groups!A:A,Groups!BC:BC)=1,1.25,IF(_xlfn.XLOOKUP(E262,Groups!A:A,Groups!BD:BD)=1,3.5,2.5))</f>
        <v>15.944275717953127</v>
      </c>
      <c r="BH262" s="8">
        <f>EXP(1.076*LN(AS262)-4.5397)*IF(_xlfn.XLOOKUP(E262,Groups!A:A,Groups!M:M)=1,0.8,IF(_xlfn.XLOOKUP(E262,Groups!A:A,Groups!BC:BC)=1,1.3,3))</f>
        <v>22.832185638487289</v>
      </c>
      <c r="BI262" s="8" t="str">
        <f>IF(W262="No","No",IF(_xlfn.XLOOKUP(E262,Groups!A:A,Groups!U:U)=1,'Base stats'!BJ262,IF(OR(_xlfn.XLOOKUP(E262,Groups!A:A,Groups!BD:BD)=1,_xlfn.XLOOKUP(E262,Groups!A:A,Groups!U:U)=2),BG262,BH262))*1.2)</f>
        <v>No</v>
      </c>
      <c r="BJ262" s="8">
        <f>IFERROR(EXP(1.076*LN(AT262)-4.5397)*IF(_xlfn.XLOOKUP(E262,Groups!A:A,Groups!N:N)="Insect",1,IF(OR(_xlfn.XLOOKUP(E262,Groups!A:A,Groups!N:N)="Pig",_xlfn.XLOOKUP(E262,Groups!A:A,Groups!N:N)="StrongBitingHerbivore"),3.5,3.75)),"No")</f>
        <v>16.496381725854601</v>
      </c>
      <c r="BK262" s="8">
        <f t="shared" si="488"/>
        <v>11</v>
      </c>
      <c r="BL262" s="8">
        <f t="shared" si="488"/>
        <v>10</v>
      </c>
      <c r="BM262" s="8" t="str">
        <f t="shared" si="489"/>
        <v>No</v>
      </c>
      <c r="BN262" s="8">
        <f t="shared" si="490"/>
        <v>8</v>
      </c>
      <c r="BO262" s="8">
        <f t="shared" si="491"/>
        <v>11</v>
      </c>
      <c r="BP262" s="8" t="str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No</v>
      </c>
      <c r="BQ262" s="8" t="str">
        <f>IF(W262="No","No",IF(_xlfn.XLOOKUP(E262,Groups!A:A,Groups!BD:BD)=1,(AO262*5%),EXP(0.7354*LN(C262)^0.4078)*2/IF(_xlfn.XLOOKUP(E262,Groups!A:A,Groups!BL:BL)=1,1000,100)))</f>
        <v>No</v>
      </c>
      <c r="BR262" s="8">
        <f>IF(BJ262="No","No",IF(_xlfn.XLOOKUP(E262,Groups!A:A,Groups!BF:BF)=1,(0.0315*C262+2.1825)*2,(0.7354*C262^0.4078)*2)/IF(_xlfn.XLOOKUP(E262,Groups!A:A,Groups!BM:BM)=1,1000,100))</f>
        <v>3.7614355184740135E-2</v>
      </c>
      <c r="BS262" s="8">
        <f t="shared" si="492"/>
        <v>6.4314931691790186E-2</v>
      </c>
      <c r="BT262" s="8" t="str">
        <f t="shared" si="493"/>
        <v>No</v>
      </c>
      <c r="BU262" s="8" t="str">
        <f t="shared" si="494"/>
        <v>No</v>
      </c>
      <c r="BV262" s="8">
        <f t="shared" si="495"/>
        <v>438.56611777162834</v>
      </c>
      <c r="BW262" s="4">
        <v>0</v>
      </c>
      <c r="BX262" s="4">
        <v>1</v>
      </c>
    </row>
    <row r="263" spans="1:76" s="16" customFormat="1" x14ac:dyDescent="0.25">
      <c r="A263" s="26" t="s">
        <v>1581</v>
      </c>
      <c r="B263" s="6" t="s">
        <v>1880</v>
      </c>
      <c r="C263" s="7">
        <v>4000</v>
      </c>
      <c r="D263" s="7" t="s">
        <v>528</v>
      </c>
      <c r="E263" s="7" t="str">
        <f>Groups!$A$123</f>
        <v>MechaWorm</v>
      </c>
      <c r="F263" s="7" t="s">
        <v>1707</v>
      </c>
      <c r="G263" s="7" t="s">
        <v>1707</v>
      </c>
      <c r="H263" s="7">
        <v>3000</v>
      </c>
      <c r="I263" s="4">
        <v>1</v>
      </c>
      <c r="J263" s="7" t="s">
        <v>1707</v>
      </c>
      <c r="K263" s="7" t="s">
        <v>528</v>
      </c>
      <c r="L263" s="7">
        <v>8</v>
      </c>
      <c r="M263" s="7" t="s">
        <v>528</v>
      </c>
      <c r="N263" s="4">
        <v>1</v>
      </c>
      <c r="O263" s="4">
        <v>2</v>
      </c>
      <c r="P263" s="4">
        <v>100</v>
      </c>
      <c r="Q263" s="4">
        <v>100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 t="str">
        <f>IF(OR(_xlfn.XLOOKUP(E263,Groups!A:A,Groups!P:P)=1,_xlfn.XLOOKUP(E263,Groups!A:A,Groups!AD:AD)=1),"Need a formula","No")</f>
        <v>No</v>
      </c>
      <c r="V263" s="7" t="str">
        <f>IF(AT263="No","No",IF(_xlfn.XLOOKUP(E263,Groups!A:A,Groups!AM:AM)=1,MROUND(EXP(0.3582*LN(C263)-0.2221)*T263,0.05),IF(_xlfn.XLOOKUP(E263,Groups!A:A,Groups!AM:AM)=2,MROUND(EXP(0.3582*LN(C263)-0.2221)*T263,0.05),"Need a formula")))</f>
        <v>No</v>
      </c>
      <c r="W263" s="7" t="str">
        <f>IF(_xlfn.XLOOKUP(E263,Groups!A:A,Groups!V:V)&lt;&gt;"No","Need a formula","No")</f>
        <v>No</v>
      </c>
      <c r="X263" s="7" t="s">
        <v>933</v>
      </c>
      <c r="Y263" s="4" t="s">
        <v>1008</v>
      </c>
      <c r="Z263" s="4">
        <v>1</v>
      </c>
      <c r="AA263" s="4">
        <v>0</v>
      </c>
      <c r="AB263" s="4">
        <v>0</v>
      </c>
      <c r="AC263" s="4">
        <v>0</v>
      </c>
      <c r="AD263" s="4">
        <v>0</v>
      </c>
      <c r="AE263" s="4" t="s">
        <v>45</v>
      </c>
      <c r="AF263" s="4" t="s">
        <v>45</v>
      </c>
      <c r="AG263" s="4" t="s">
        <v>45</v>
      </c>
      <c r="AH263" s="4" t="s">
        <v>45</v>
      </c>
      <c r="AI263" s="4">
        <v>0</v>
      </c>
      <c r="AJ263" s="4">
        <v>0</v>
      </c>
      <c r="AK263" s="4">
        <v>0</v>
      </c>
      <c r="AL263" s="4">
        <v>0</v>
      </c>
      <c r="AM263" s="4">
        <v>1</v>
      </c>
      <c r="AN263" s="44" t="s">
        <v>40</v>
      </c>
      <c r="AO263" s="8">
        <f t="shared" si="482"/>
        <v>243591.41216853441</v>
      </c>
      <c r="AP263" s="8">
        <f>IFERROR(C263*_xlfn.XLOOKUP(E263,Groups!A:A,Groups!K:K),0.106*C263^0.94)</f>
        <v>1280</v>
      </c>
      <c r="AQ263" s="8">
        <f>AP263*10000/(_xlfn.XLOOKUP(E263,Groups!A:A,Groups!J:J)*AO263)</f>
        <v>59.041582557760997</v>
      </c>
      <c r="AR263" s="8">
        <f t="shared" si="483"/>
        <v>59993.033791828515</v>
      </c>
      <c r="AS263" s="8">
        <f>IF(_xlfn.XLOOKUP(E263,Groups!A:A,Groups!M:M)=1,EXP(0.7444*LN('Base stats'!C263)+6.5696),EXP(0.7927*LN('Base stats'!C263)+4.28))</f>
        <v>51776.577268894063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IF(_xlfn.XLOOKUP(E263,Groups!A:A,Groups!N:N)="Theropod",EXP(0.6966*LN(C263)+4.158)*S263,
"No"))))))))))))))))</f>
        <v>No</v>
      </c>
      <c r="AU263" s="8" t="str">
        <f>IF(_xlfn.XLOOKUP(E263,Groups!A:A,Groups!U:U)=3,AS263,IF(_xlfn.XLOOKUP(E263,Groups!A:A,Groups!U:U)=2,AR263,AT263))</f>
        <v>No</v>
      </c>
      <c r="AV263" s="46">
        <f>IFERROR(AVERAGE(_xlfn.XLOOKUP(B263,Animals!B:B,Animals!N:N),_xlfn.XLOOKUP(B263,Animals!B:B,Animals!O:O)),0)</f>
        <v>0.95</v>
      </c>
      <c r="AW263" s="8">
        <f>MROUND(40*Animals!AO294*_xlfn.XLOOKUP(Animals!BB294,Leathers!$A$2:$A$99,Leathers!$B$2:$B$99,0)+(140*_xlfn.XLOOKUP(B263,Animals!B:B,Animals!AO:AO)*2),5)</f>
        <v>1330</v>
      </c>
      <c r="AX263" s="8">
        <f>IFERROR(ROUND(SQRT(V263-1)*IF(_xlfn.XLOOKUP(E263,Groups!A:A,Groups!BF:BF)=0,2,1)*IF(_xlfn.XLOOKUP('Base stats'!E263,Groups!A:A,Groups!O:O)=0,1,0.1),1),0)</f>
        <v>0</v>
      </c>
      <c r="AY263" s="8">
        <f t="shared" si="484"/>
        <v>0</v>
      </c>
      <c r="AZ263" s="8">
        <f t="shared" si="485"/>
        <v>0</v>
      </c>
      <c r="BA263" s="8">
        <f t="shared" si="486"/>
        <v>15.6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20.381648169863855</v>
      </c>
      <c r="BC263" s="8" t="str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No</v>
      </c>
      <c r="BD263" s="8">
        <f t="shared" si="487"/>
        <v>20.381648169863855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26.941155624015625</v>
      </c>
      <c r="BF263" s="8">
        <f>(0.048*C263^1.01)/IF(_xlfn.XLOOKUP(E263,Groups!A:A,Groups!M:M)=1,0.25,0.8)*C263^-0.25</f>
        <v>32.788144756936866</v>
      </c>
      <c r="BG263" s="8">
        <f>EXP(1.076*LN(AR263)-4.5397)*IF(_xlfn.XLOOKUP(E263,Groups!A:A,Groups!BC:BC)=1,1.25,IF(_xlfn.XLOOKUP(E263,Groups!A:A,Groups!BD:BD)=1,3.5,2.5))</f>
        <v>1847.480403748275</v>
      </c>
      <c r="BH263" s="8">
        <f>EXP(1.076*LN(AS263)-4.5397)*IF(_xlfn.XLOOKUP(E263,Groups!A:A,Groups!M:M)=1,0.8,IF(_xlfn.XLOOKUP(E263,Groups!A:A,Groups!BC:BC)=1,1.3,3))</f>
        <v>1639.7746347730574</v>
      </c>
      <c r="BI263" s="8" t="str">
        <f>IF(W263="No","No",IF(_xlfn.XLOOKUP(E263,Groups!A:A,Groups!U:U)=1,'Base stats'!BJ263,IF(OR(_xlfn.XLOOKUP(E263,Groups!A:A,Groups!BD:BD)=1,_xlfn.XLOOKUP(E263,Groups!A:A,Groups!U:U)=2),BG263,BH263))*1.2)</f>
        <v>No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si="488"/>
        <v>13</v>
      </c>
      <c r="BL263" s="8">
        <f t="shared" si="488"/>
        <v>11</v>
      </c>
      <c r="BM263" s="8" t="str">
        <f t="shared" si="489"/>
        <v>No</v>
      </c>
      <c r="BN263" s="8" t="str">
        <f t="shared" si="490"/>
        <v>No</v>
      </c>
      <c r="BO263" s="8">
        <f t="shared" si="491"/>
        <v>10</v>
      </c>
      <c r="BP263" s="8" t="str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No</v>
      </c>
      <c r="BQ263" s="8" t="str">
        <f>IF(W263="No","No",IF(_xlfn.XLOOKUP(E263,Groups!A:A,Groups!BD:BD)=1,(AO263*5%),EXP(0.7354*LN(C263)^0.4078)*2/IF(_xlfn.XLOOKUP(E263,Groups!A:A,Groups!BL:BL)=1,1000,100)))</f>
        <v>No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si="492"/>
        <v>0.15168682568087025</v>
      </c>
      <c r="BT263" s="8" t="str">
        <f t="shared" si="493"/>
        <v>No</v>
      </c>
      <c r="BU263" s="8" t="str">
        <f t="shared" si="494"/>
        <v>No</v>
      </c>
      <c r="BV263" s="8" t="str">
        <f t="shared" si="495"/>
        <v>No</v>
      </c>
      <c r="BW263" s="4">
        <v>0</v>
      </c>
      <c r="BX263" s="4">
        <v>1</v>
      </c>
    </row>
    <row r="264" spans="1:76" s="16" customFormat="1" x14ac:dyDescent="0.25">
      <c r="A264" s="26" t="s">
        <v>1439</v>
      </c>
      <c r="B264" s="6" t="s">
        <v>1643</v>
      </c>
      <c r="C264" s="7">
        <v>7500</v>
      </c>
      <c r="D264" s="7" t="s">
        <v>528</v>
      </c>
      <c r="E264" s="7" t="str">
        <f>Groups!$A$87</f>
        <v>TeethedGoo</v>
      </c>
      <c r="F264" s="7" t="s">
        <v>1707</v>
      </c>
      <c r="G264" s="7" t="s">
        <v>1707</v>
      </c>
      <c r="H264" s="7">
        <v>100</v>
      </c>
      <c r="I264" s="4">
        <v>1</v>
      </c>
      <c r="J264" s="7" t="s">
        <v>1707</v>
      </c>
      <c r="K264" s="7" t="s">
        <v>528</v>
      </c>
      <c r="L264" s="7">
        <v>10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 t="s">
        <v>45</v>
      </c>
      <c r="V264" s="7">
        <v>10</v>
      </c>
      <c r="W264" s="7" t="str">
        <f>IF(_xlfn.XLOOKUP(E264,Groups!A:A,Groups!V:V)&lt;&gt;"No","Need a formula","No")</f>
        <v>No</v>
      </c>
      <c r="X264" s="7" t="s">
        <v>933</v>
      </c>
      <c r="Y264" s="4" t="s">
        <v>53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45</v>
      </c>
      <c r="AH264" s="4" t="str">
        <f>Animals!$C$30</f>
        <v>&lt;li&gt;Pig&lt;/li&gt;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82"/>
        <v>366532.76241857099</v>
      </c>
      <c r="AP264" s="8">
        <f>IFERROR(C264*_xlfn.XLOOKUP(E264,Groups!A:A,Groups!K:K),0.106*C264^0.94)</f>
        <v>465.43973094595839</v>
      </c>
      <c r="AQ264" s="8">
        <f>AP264*10000/(_xlfn.XLOOKUP(E264,Groups!A:A,Groups!J:J)*AO264)</f>
        <v>12.698448233515295</v>
      </c>
      <c r="AR264" s="8">
        <f t="shared" si="483"/>
        <v>102024.62305242383</v>
      </c>
      <c r="AS264" s="8">
        <f>IF(_xlfn.XLOOKUP(E264,Groups!A:A,Groups!M:M)=1,EXP(0.7444*LN('Base stats'!C264)+6.5696),EXP(0.7927*LN('Base stats'!C264)+4.28))</f>
        <v>85219.983550759658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IF(_xlfn.XLOOKUP(E264,Groups!A:A,Groups!N:N)="Theropod",EXP(0.6966*LN(C264)+4.158)*S264,
"No"))))))))))))))))</f>
        <v>546684.33906406618</v>
      </c>
      <c r="AU264" s="8">
        <f>IF(_xlfn.XLOOKUP(E264,Groups!A:A,Groups!U:U)=3,AS264,IF(_xlfn.XLOOKUP(E264,Groups!A:A,Groups!U:U)=2,AR264,AT264))</f>
        <v>546684.33906406618</v>
      </c>
      <c r="AV264" s="46">
        <f>IFERROR(AVERAGE(_xlfn.XLOOKUP(B264,Animals!B:B,Animals!N:N),_xlfn.XLOOKUP(B264,Animals!B:B,Animals!O:O)),0)</f>
        <v>0</v>
      </c>
      <c r="AW264" s="8">
        <f>MROUND(40*Animals!AO247*_xlfn.XLOOKUP(Animals!BB247,Leathers!$A$2:$A$99,Leathers!$B$2:$B$99,0)+(140*_xlfn.XLOOKUP(B264,Animals!B:B,Animals!AO:AO)*2),5)</f>
        <v>1830</v>
      </c>
      <c r="AX264" s="8">
        <f>IFERROR(ROUND(SQRT(V264-1)*IF(_xlfn.XLOOKUP(E264,Groups!A:A,Groups!BF:BF)=0,2,1)*IF(_xlfn.XLOOKUP('Base stats'!E264,Groups!A:A,Groups!O:O)=0,1,0.1),1),0)</f>
        <v>6</v>
      </c>
      <c r="AY264" s="8">
        <f t="shared" si="484"/>
        <v>0</v>
      </c>
      <c r="AZ264" s="8">
        <f t="shared" si="485"/>
        <v>0</v>
      </c>
      <c r="BA264" s="8">
        <f t="shared" si="486"/>
        <v>19.600000000000001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162.7054069961525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87"/>
        <v>65.082162798460999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43.990329278057857</v>
      </c>
      <c r="BF264" s="8">
        <f>(0.048*C264^1.01)/IF(_xlfn.XLOOKUP(E264,Groups!A:A,Groups!M:M)=1,0.25,0.8)*C264^-0.25</f>
        <v>52.868600054303784</v>
      </c>
      <c r="BG264" s="8">
        <f>EXP(1.076*LN(AR264)-4.5397)*IF(_xlfn.XLOOKUP(E264,Groups!A:A,Groups!BC:BC)=1,1.25,IF(_xlfn.XLOOKUP(E264,Groups!A:A,Groups!BD:BD)=1,3.5,2.5))</f>
        <v>3271.2213520369346</v>
      </c>
      <c r="BH264" s="8">
        <f>EXP(1.076*LN(AS264)-4.5397)*IF(_xlfn.XLOOKUP(E264,Groups!A:A,Groups!M:M)=1,0.8,IF(_xlfn.XLOOKUP(E264,Groups!A:A,Groups!BC:BC)=1,1.3,3))</f>
        <v>2803.1045009334848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15930.813644930662</v>
      </c>
      <c r="BK264" s="8">
        <f t="shared" si="488"/>
        <v>10</v>
      </c>
      <c r="BL264" s="8">
        <f t="shared" si="488"/>
        <v>11</v>
      </c>
      <c r="BM264" s="8" t="str">
        <f t="shared" si="489"/>
        <v>No</v>
      </c>
      <c r="BN264" s="8">
        <f t="shared" si="490"/>
        <v>13</v>
      </c>
      <c r="BO264" s="8">
        <f t="shared" si="491"/>
        <v>10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221.14832488176725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0.55950452650372784</v>
      </c>
      <c r="BS264" s="8">
        <f t="shared" si="492"/>
        <v>0.17849544092330191</v>
      </c>
      <c r="BT264" s="8">
        <f t="shared" si="493"/>
        <v>12.675223755061728</v>
      </c>
      <c r="BU264" s="8" t="str">
        <f t="shared" si="494"/>
        <v>No</v>
      </c>
      <c r="BV264" s="8">
        <f t="shared" si="495"/>
        <v>28473.073747017344</v>
      </c>
      <c r="BW264" s="4">
        <v>0</v>
      </c>
      <c r="BX264" s="4">
        <v>1</v>
      </c>
    </row>
    <row r="265" spans="1:76" s="16" customFormat="1" x14ac:dyDescent="0.25">
      <c r="A265" s="26" t="s">
        <v>1507</v>
      </c>
      <c r="B265" s="6" t="s">
        <v>1667</v>
      </c>
      <c r="C265" s="7">
        <v>7500</v>
      </c>
      <c r="D265" s="7" t="s">
        <v>528</v>
      </c>
      <c r="E265" s="7" t="str">
        <f>Groups!$A$101</f>
        <v>Fleshbeast</v>
      </c>
      <c r="F265" s="7" t="s">
        <v>1707</v>
      </c>
      <c r="G265" s="7" t="s">
        <v>1707</v>
      </c>
      <c r="H265" s="7">
        <v>100</v>
      </c>
      <c r="I265" s="4">
        <v>1</v>
      </c>
      <c r="J265" s="7" t="s">
        <v>1707</v>
      </c>
      <c r="K265" s="7" t="s">
        <v>528</v>
      </c>
      <c r="L265" s="7">
        <v>10</v>
      </c>
      <c r="M265" s="7" t="s">
        <v>528</v>
      </c>
      <c r="N265" s="4">
        <v>0</v>
      </c>
      <c r="O265" s="4">
        <v>0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 t="s">
        <v>45</v>
      </c>
      <c r="V265" s="7">
        <v>10</v>
      </c>
      <c r="W265" s="7" t="str">
        <f>IF(_xlfn.XLOOKUP(E265,Groups!A:A,Groups!V:V)&lt;&gt;"No","Need a formula","No")</f>
        <v>Need a formula</v>
      </c>
      <c r="X265" s="7" t="s">
        <v>933</v>
      </c>
      <c r="Y265" s="4" t="s">
        <v>53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</v>
      </c>
      <c r="AG265" s="28" t="s">
        <v>45</v>
      </c>
      <c r="AH265" s="4" t="str">
        <f>Animals!$C$287</f>
        <v>&lt;li&gt;AA_Helixien&lt;/li&gt;</v>
      </c>
      <c r="AI265" s="4">
        <v>0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82"/>
        <v>366532.76241857099</v>
      </c>
      <c r="AP265" s="8">
        <f>IFERROR(C265*_xlfn.XLOOKUP(E265,Groups!A:A,Groups!K:K),0.106*C265^0.94)</f>
        <v>465.43973094595839</v>
      </c>
      <c r="AQ265" s="8">
        <f>AP265*10000/(_xlfn.XLOOKUP(E265,Groups!A:A,Groups!J:J)*AO265)</f>
        <v>12.698448233515295</v>
      </c>
      <c r="AR265" s="8">
        <f t="shared" si="483"/>
        <v>102024.62305242383</v>
      </c>
      <c r="AS265" s="8">
        <f>IF(_xlfn.XLOOKUP(E265,Groups!A:A,Groups!M:M)=1,EXP(0.7444*LN('Base stats'!C265)+6.5696),EXP(0.7927*LN('Base stats'!C265)+4.28))</f>
        <v>85219.983550759658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IF(_xlfn.XLOOKUP(E265,Groups!A:A,Groups!N:N)="Theropod",EXP(0.6966*LN(C265)+4.158)*S265,
"No"))))))))))))))))</f>
        <v>151361.89918602779</v>
      </c>
      <c r="AU265" s="8">
        <f>IF(_xlfn.XLOOKUP(E265,Groups!A:A,Groups!U:U)=3,AS265,IF(_xlfn.XLOOKUP(E265,Groups!A:A,Groups!U:U)=2,AR265,AT265))</f>
        <v>85219.983550759658</v>
      </c>
      <c r="AV265" s="46">
        <f>IFERROR(AVERAGE(_xlfn.XLOOKUP(B265,Animals!B:B,Animals!N:N),_xlfn.XLOOKUP(B265,Animals!B:B,Animals!O:O)),0)</f>
        <v>0</v>
      </c>
      <c r="AW265" s="8">
        <f>MROUND(40*Animals!AO278*_xlfn.XLOOKUP(Animals!BB278,Leathers!$A$2:$A$99,Leathers!$B$2:$B$99,0)+(140*_xlfn.XLOOKUP(B265,Animals!B:B,Animals!AO:AO)*2),5)</f>
        <v>1680</v>
      </c>
      <c r="AX265" s="8">
        <f>IFERROR(ROUND(SQRT(V265-1)*IF(_xlfn.XLOOKUP(E265,Groups!A:A,Groups!BF:BF)=0,2,1)*IF(_xlfn.XLOOKUP('Base stats'!E265,Groups!A:A,Groups!O:O)=0,1,0.1),1),0)</f>
        <v>6</v>
      </c>
      <c r="AY265" s="8">
        <f t="shared" si="484"/>
        <v>0</v>
      </c>
      <c r="AZ265" s="8">
        <f t="shared" si="485"/>
        <v>0</v>
      </c>
      <c r="BA265" s="8">
        <f t="shared" si="486"/>
        <v>19.600000000000001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102.27845004709692</v>
      </c>
      <c r="BC265" s="8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58.975381426382391</v>
      </c>
      <c r="BD265" s="8">
        <f t="shared" si="487"/>
        <v>65.082162798460999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43.990329278057857</v>
      </c>
      <c r="BF265" s="8">
        <f>(0.048*C265^1.01)/IF(_xlfn.XLOOKUP(E265,Groups!A:A,Groups!M:M)=1,0.25,0.8)*C265^-0.25</f>
        <v>52.868600054303784</v>
      </c>
      <c r="BG265" s="8">
        <f>EXP(1.076*LN(AR265)-4.5397)*IF(_xlfn.XLOOKUP(E265,Groups!A:A,Groups!BC:BC)=1,1.25,IF(_xlfn.XLOOKUP(E265,Groups!A:A,Groups!BD:BD)=1,3.5,2.5))</f>
        <v>3271.2213520369346</v>
      </c>
      <c r="BH265" s="8">
        <f>EXP(1.076*LN(AS265)-4.5397)*IF(_xlfn.XLOOKUP(E265,Groups!A:A,Groups!M:M)=1,0.8,IF(_xlfn.XLOOKUP(E265,Groups!A:A,Groups!BC:BC)=1,1.3,3))</f>
        <v>2803.1045009334848</v>
      </c>
      <c r="BI265" s="8">
        <f>IF(W265="No","No",IF(_xlfn.XLOOKUP(E265,Groups!A:A,Groups!U:U)=1,'Base stats'!BJ265,IF(OR(_xlfn.XLOOKUP(E265,Groups!A:A,Groups!BD:BD)=1,_xlfn.XLOOKUP(E265,Groups!A:A,Groups!U:U)=2),BG265,BH265))*1.2)</f>
        <v>3363.7254011201817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15002.458557300883</v>
      </c>
      <c r="BK265" s="8">
        <f t="shared" si="488"/>
        <v>10</v>
      </c>
      <c r="BL265" s="8">
        <f t="shared" si="488"/>
        <v>11</v>
      </c>
      <c r="BM265" s="8">
        <f t="shared" si="489"/>
        <v>10</v>
      </c>
      <c r="BN265" s="8">
        <f t="shared" si="490"/>
        <v>17</v>
      </c>
      <c r="BO265" s="8">
        <f t="shared" si="491"/>
        <v>10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221.14832488176725</v>
      </c>
      <c r="BQ265" s="8">
        <f>IF(W265="No","No",IF(_xlfn.XLOOKUP(E265,Groups!A:A,Groups!BD:BD)=1,(AO265*5%),EXP(0.7354*LN(C265)^0.4078)*2/IF(_xlfn.XLOOKUP(E265,Groups!A:A,Groups!BL:BL)=1,1000,100)))</f>
        <v>0.12042469800538096</v>
      </c>
      <c r="BR265" s="8">
        <f>IF(BJ265="No","No",IF(_xlfn.XLOOKUP(E265,Groups!A:A,Groups!BF:BF)=1,(0.0315*C265+2.1825)*2,(0.7354*C265^0.4078)*2)/IF(_xlfn.XLOOKUP(E265,Groups!A:A,Groups!BM:BM)=1,1000,100))</f>
        <v>5.5950452650372781E-2</v>
      </c>
      <c r="BS265" s="8">
        <f t="shared" si="492"/>
        <v>0.17849544092330191</v>
      </c>
      <c r="BT265" s="8">
        <f t="shared" si="493"/>
        <v>12.675223755061728</v>
      </c>
      <c r="BU265" s="8">
        <f t="shared" si="494"/>
        <v>27932.188802083438</v>
      </c>
      <c r="BV265" s="8">
        <f t="shared" si="495"/>
        <v>268138.28747819661</v>
      </c>
      <c r="BW265" s="4">
        <v>0</v>
      </c>
      <c r="BX265" s="4">
        <v>1</v>
      </c>
    </row>
    <row r="266" spans="1:76" s="16" customFormat="1" x14ac:dyDescent="0.25">
      <c r="A266" s="26" t="s">
        <v>1443</v>
      </c>
      <c r="B266" s="6" t="s">
        <v>1645</v>
      </c>
      <c r="C266" s="7">
        <v>12</v>
      </c>
      <c r="D266" s="7" t="s">
        <v>528</v>
      </c>
      <c r="E266" s="7" t="str">
        <f>Groups!$A$92</f>
        <v>FlyingEye</v>
      </c>
      <c r="F266" s="7" t="s">
        <v>1707</v>
      </c>
      <c r="G266" s="7">
        <v>1</v>
      </c>
      <c r="H266" s="7">
        <v>15</v>
      </c>
      <c r="I266" s="4">
        <v>1</v>
      </c>
      <c r="J266" s="7" t="s">
        <v>1707</v>
      </c>
      <c r="K266" s="7" t="s">
        <v>528</v>
      </c>
      <c r="L266" s="7">
        <v>10</v>
      </c>
      <c r="M266" s="7" t="s">
        <v>528</v>
      </c>
      <c r="N266" s="4">
        <v>0</v>
      </c>
      <c r="O266" s="4">
        <v>0</v>
      </c>
      <c r="P266" s="4">
        <v>0</v>
      </c>
      <c r="Q266" s="4">
        <v>0</v>
      </c>
      <c r="R266" s="4" t="s">
        <v>40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 t="str">
        <f>IF(AT266="No","No",IF(_xlfn.XLOOKUP(E266,Groups!A:A,Groups!AM:AM)=1,MROUND(EXP(0.3582*LN(C266)-0.2221)*T266,0.05),IF(_xlfn.XLOOKUP(E266,Groups!A:A,Groups!AM:AM)=2,MROUND(EXP(0.3582*LN(C266)-0.2221)*T266,0.05),"Need a formula")))</f>
        <v>No</v>
      </c>
      <c r="W266" s="7">
        <v>2</v>
      </c>
      <c r="X266" s="7" t="s">
        <v>933</v>
      </c>
      <c r="Y266" s="4" t="s">
        <v>53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45</v>
      </c>
      <c r="AG266" s="28" t="s">
        <v>45</v>
      </c>
      <c r="AH266" s="4" t="str">
        <f>Animals!$C$30</f>
        <v>&lt;li&gt;Pig&lt;/li&gt;</v>
      </c>
      <c r="AI266" s="4">
        <v>0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ref="AO266" si="496">(0.111*C266^0.65)*10000</f>
        <v>5582.0122947721893</v>
      </c>
      <c r="AP266" s="8">
        <f>IFERROR(C266*_xlfn.XLOOKUP(E266,Groups!A:A,Groups!K:K),0.106*C266^0.94)</f>
        <v>1.0958124656818273</v>
      </c>
      <c r="AQ266" s="8">
        <f>AP266*10000/(_xlfn.XLOOKUP(E266,Groups!A:A,Groups!J:J)*AO266)</f>
        <v>1.9631136726590626</v>
      </c>
      <c r="AR266" s="8">
        <f t="shared" ref="AR266" si="497">EXP(0.8447*LN(C266)+3.996)</f>
        <v>443.63433224212878</v>
      </c>
      <c r="AS266" s="8">
        <f>IF(_xlfn.XLOOKUP(E266,Groups!A:A,Groups!M:M)=1,EXP(0.7444*LN('Base stats'!C266)+6.5696),EXP(0.7927*LN('Base stats'!C266)+4.28))</f>
        <v>517.90172350006105</v>
      </c>
      <c r="AT266" s="8" t="str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IF(_xlfn.XLOOKUP(E266,Groups!A:A,Groups!N:N)="Theropod",EXP(0.6966*LN(C266)+4.158)*S266,
"No"))))))))))))))))</f>
        <v>No</v>
      </c>
      <c r="AU266" s="8">
        <f>IF(_xlfn.XLOOKUP(E266,Groups!A:A,Groups!U:U)=3,AS266,IF(_xlfn.XLOOKUP(E266,Groups!A:A,Groups!U:U)=2,AR266,AT266))</f>
        <v>517.90172350006105</v>
      </c>
      <c r="AV266" s="46">
        <f>IFERROR(AVERAGE(_xlfn.XLOOKUP(B266,Animals!B:B,Animals!N:N),_xlfn.XLOOKUP(B266,Animals!B:B,Animals!O:O)),0)</f>
        <v>0</v>
      </c>
      <c r="AW266" s="8">
        <f>MROUND(40*Animals!AO249*_xlfn.XLOOKUP(Animals!BB249,Leathers!$A$2:$A$99,Leathers!$B$2:$B$99,0)+(140*_xlfn.XLOOKUP(B266,Animals!B:B,Animals!AO:AO)*2),5)</f>
        <v>125</v>
      </c>
      <c r="AX266" s="8">
        <f>IFERROR(ROUND(SQRT(V266-1)*IF(_xlfn.XLOOKUP(E266,Groups!A:A,Groups!BF:BF)=0,2,1)*IF(_xlfn.XLOOKUP('Base stats'!E266,Groups!A:A,Groups!O:O)=0,1,0.1),1),0)</f>
        <v>0</v>
      </c>
      <c r="AY266" s="8">
        <f t="shared" ref="AY266" si="498">IFERROR(ROUND(SQRT(U266-1),1),0)</f>
        <v>0</v>
      </c>
      <c r="AZ266" s="8">
        <f t="shared" ref="AZ266" si="499">IFERROR(ROUND(SQRT(W266),1),0)</f>
        <v>1.4</v>
      </c>
      <c r="BA266" s="8">
        <f t="shared" ref="BA266" si="500">ROUND(
  EXP(0.3582*LN(C266)-0.2221) *
  (0.75 + 0.25*(C266^4/(C266^4+10^4))),
1)</f>
        <v>1.8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0.30909051808014126</v>
      </c>
      <c r="BC266" s="8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0.39657834622135213</v>
      </c>
      <c r="BD266" s="8">
        <f t="shared" ref="BD266" si="501">(0.0392*C266^IF(OR(Y266="Herbivore",Y266="Dendrovore",Y266="OmnivoreRough"),0.889,0.966))*C266^-0.135</f>
        <v>0.30909051808014126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0.29011541101055832</v>
      </c>
      <c r="BF266" s="8">
        <f>(0.048*C266^1.01)/IF(_xlfn.XLOOKUP(E266,Groups!A:A,Groups!M:M)=1,0.25,0.8)*C266^-0.25</f>
        <v>0.39657834622135213</v>
      </c>
      <c r="BG266" s="8">
        <f>EXP(1.076*LN(AR266)-4.5397)*IF(_xlfn.XLOOKUP(E266,Groups!A:A,Groups!BC:BC)=1,1.25,IF(_xlfn.XLOOKUP(E266,Groups!A:A,Groups!BD:BD)=1,3.5,2.5))</f>
        <v>9.4089771318604782</v>
      </c>
      <c r="BH266" s="8">
        <f>EXP(1.076*LN(AS266)-4.5397)*IF(_xlfn.XLOOKUP(E266,Groups!A:A,Groups!M:M)=1,0.8,IF(_xlfn.XLOOKUP(E266,Groups!A:A,Groups!BC:BC)=1,1.3,3))</f>
        <v>11.558642942689083</v>
      </c>
      <c r="BI266" s="8">
        <f>IF(W266="No","No",IF(_xlfn.XLOOKUP(E266,Groups!A:A,Groups!U:U)=1,'Base stats'!BJ266,IF(OR(_xlfn.XLOOKUP(E266,Groups!A:A,Groups!BD:BD)=1,_xlfn.XLOOKUP(E266,Groups!A:A,Groups!U:U)=2),BG266,BH266))*1.2)</f>
        <v>13.870371531226899</v>
      </c>
      <c r="BJ266" s="8" t="str">
        <f>IFERROR(EXP(1.076*LN(AT266)-4.5397)*IF(_xlfn.XLOOKUP(E266,Groups!A:A,Groups!N:N)="Insect",1,IF(OR(_xlfn.XLOOKUP(E266,Groups!A:A,Groups!N:N)="Pig",_xlfn.XLOOKUP(E266,Groups!A:A,Groups!N:N)="StrongBitingHerbivore"),3.5,3.75)),"No")</f>
        <v>No</v>
      </c>
      <c r="BK266" s="8">
        <f t="shared" ref="BK266" si="502">ROUNDDOWN(SQRT((2*BG266)/BD266),0)</f>
        <v>7</v>
      </c>
      <c r="BL266" s="8">
        <f t="shared" ref="BL266" si="503">ROUNDDOWN(SQRT((2*BH266)/BE266),0)</f>
        <v>8</v>
      </c>
      <c r="BM266" s="8">
        <f t="shared" ref="BM266" si="504">IF(W266="No","No",ROUNDDOWN(SQRT((2*BI266)/BC266),0))</f>
        <v>8</v>
      </c>
      <c r="BN266" s="8" t="str">
        <f t="shared" ref="BN266" si="505">IF(V266="No","No",ROUNDDOWN(SQRT((2*BJ266)/BB266),0))</f>
        <v>No</v>
      </c>
      <c r="BO266" s="8">
        <f t="shared" ref="BO266" si="506">ROUNDDOWN(SQRT((2*BH266)/BF266),0)</f>
        <v>7</v>
      </c>
      <c r="BP266" s="8" t="str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No</v>
      </c>
      <c r="BQ266" s="8">
        <f>IF(W266="No","No",IF(_xlfn.XLOOKUP(E266,Groups!A:A,Groups!BD:BD)=1,(AO266*5%),EXP(0.7354*LN(C266)^0.4078)*2/IF(_xlfn.XLOOKUP(E266,Groups!A:A,Groups!BL:BL)=1,1000,100)))</f>
        <v>5.8071101043151156E-2</v>
      </c>
      <c r="BR266" s="8" t="str">
        <f>IF(BJ266="No","No",IF(_xlfn.XLOOKUP(E266,Groups!A:A,Groups!BF:BF)=1,(0.0315*C266+2.1825)*2,(0.7354*C266^0.4078)*2)/IF(_xlfn.XLOOKUP(E266,Groups!A:A,Groups!BM:BM)=1,1000,100))</f>
        <v>No</v>
      </c>
      <c r="BS266" s="8">
        <f t="shared" ref="BS266" si="507">BG266/(AO266*5%)</f>
        <v>3.3711775019458184E-2</v>
      </c>
      <c r="BT266" s="8" t="str">
        <f t="shared" ref="BT266" si="508">IF(BP266="No","No",BH266/BP266)</f>
        <v>No</v>
      </c>
      <c r="BU266" s="8">
        <f t="shared" ref="BU266" si="509">IF(W266="No","No",BI266/BQ266)</f>
        <v>238.8515334145323</v>
      </c>
      <c r="BV266" s="8" t="str">
        <f t="shared" ref="BV266" si="510">IF(BJ266="No","No",BJ266/BR266)</f>
        <v>No</v>
      </c>
      <c r="BW266" s="4">
        <v>0</v>
      </c>
      <c r="BX266" s="4">
        <v>1</v>
      </c>
    </row>
    <row r="267" spans="1:76" s="16" customFormat="1" x14ac:dyDescent="0.25">
      <c r="A267" s="26" t="s">
        <v>1603</v>
      </c>
      <c r="B267" s="6" t="s">
        <v>1702</v>
      </c>
      <c r="C267" s="7">
        <v>11500</v>
      </c>
      <c r="D267" s="7" t="s">
        <v>528</v>
      </c>
      <c r="E267" s="7" t="str">
        <f>Groups!$A$92</f>
        <v>FlyingEye</v>
      </c>
      <c r="F267" s="7" t="s">
        <v>1707</v>
      </c>
      <c r="G267" s="7" t="s">
        <v>1707</v>
      </c>
      <c r="H267" s="7">
        <v>300</v>
      </c>
      <c r="I267" s="4">
        <v>1</v>
      </c>
      <c r="J267" s="7" t="s">
        <v>1707</v>
      </c>
      <c r="K267" s="7" t="s">
        <v>528</v>
      </c>
      <c r="L267" s="7">
        <v>10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">
        <v>45</v>
      </c>
      <c r="V267" s="7" t="str">
        <f>IF(AT267="No","No",IF(_xlfn.XLOOKUP(E267,Groups!A:A,Groups!AM:AM)=1,MROUND(EXP(0.3582*LN(C267)-0.2221)*T267,0.05),IF(_xlfn.XLOOKUP(E267,Groups!A:A,Groups!AM:AM)=2,MROUND(EXP(0.3582*LN(C267)-0.2221)*T267,0.05),"Need a formula")))</f>
        <v>No</v>
      </c>
      <c r="W267" s="7">
        <v>2</v>
      </c>
      <c r="X267" s="7" t="s">
        <v>933</v>
      </c>
      <c r="Y267" s="4" t="s">
        <v>53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45</v>
      </c>
      <c r="AG267" s="28" t="s">
        <v>45</v>
      </c>
      <c r="AH267" s="4" t="str">
        <f>Animals!$C$30</f>
        <v>&lt;li&gt;Pig&lt;/li&gt;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ref="AO267:AO268" si="511">(0.111*C267^0.65)*10000</f>
        <v>483923.34673161909</v>
      </c>
      <c r="AP267" s="8">
        <f>IFERROR(C267*_xlfn.XLOOKUP(E267,Groups!A:A,Groups!K:K),0.106*C267^0.94)</f>
        <v>695.60362279166077</v>
      </c>
      <c r="AQ267" s="8">
        <f>AP267*10000/(_xlfn.XLOOKUP(E267,Groups!A:A,Groups!J:J)*AO267)</f>
        <v>14.374252192825866</v>
      </c>
      <c r="AR267" s="8">
        <f t="shared" ref="AR267:AR268" si="512">EXP(0.8447*LN(C267)+3.996)</f>
        <v>146390.27122683005</v>
      </c>
      <c r="AS267" s="8">
        <f>IF(_xlfn.XLOOKUP(E267,Groups!A:A,Groups!M:M)=1,EXP(0.7444*LN('Base stats'!C267)+6.5696),EXP(0.7927*LN('Base stats'!C267)+4.28))</f>
        <v>119590.191299122</v>
      </c>
      <c r="AT267" s="8" t="str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IF(_xlfn.XLOOKUP(E267,Groups!A:A,Groups!N:N)="Theropod",EXP(0.6966*LN(C267)+4.158)*S267,
"No"))))))))))))))))</f>
        <v>No</v>
      </c>
      <c r="AU267" s="8">
        <f>IF(_xlfn.XLOOKUP(E267,Groups!A:A,Groups!U:U)=3,AS267,IF(_xlfn.XLOOKUP(E267,Groups!A:A,Groups!U:U)=2,AR267,AT267))</f>
        <v>119590.191299122</v>
      </c>
      <c r="AV267" s="46">
        <f>IFERROR(AVERAGE(_xlfn.XLOOKUP(B267,Animals!B:B,Animals!N:N),_xlfn.XLOOKUP(B267,Animals!B:B,Animals!O:O)),0)</f>
        <v>0</v>
      </c>
      <c r="AW267" s="8">
        <f>MROUND(40*Animals!AO250*_xlfn.XLOOKUP(Animals!BB250,Leathers!$A$2:$A$99,Leathers!$B$2:$B$99,0)+(140*_xlfn.XLOOKUP(B267,Animals!B:B,Animals!AO:AO)*2),5)</f>
        <v>3220</v>
      </c>
      <c r="AX267" s="8">
        <f>IFERROR(ROUND(SQRT(V267-1)*IF(_xlfn.XLOOKUP(E267,Groups!A:A,Groups!BF:BF)=0,2,1)*IF(_xlfn.XLOOKUP('Base stats'!E267,Groups!A:A,Groups!O:O)=0,1,0.1),1),0)</f>
        <v>0</v>
      </c>
      <c r="AY267" s="8">
        <f t="shared" ref="AY267:AY268" si="513">IFERROR(ROUND(SQRT(U267-1),1),0)</f>
        <v>0</v>
      </c>
      <c r="AZ267" s="8">
        <f t="shared" ref="AZ267:AZ268" si="514">IFERROR(ROUND(SQRT(W267),1),0)</f>
        <v>1.4</v>
      </c>
      <c r="BA267" s="8">
        <f t="shared" ref="BA267:BA268" si="515">ROUND(
  EXP(0.3582*LN(C267)-0.2221) *
  (0.75 + 0.25*(C267^4/(C267^4+10^4))),
1)</f>
        <v>22.8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92.838041991068934</v>
      </c>
      <c r="BC267" s="8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82.999687438882845</v>
      </c>
      <c r="BD267" s="8">
        <f t="shared" ref="BD267:BD268" si="516">(0.0392*C267^IF(OR(Y267="Herbivore",Y267="Dendrovore",Y267="OmnivoreRough"),0.889,0.966))*C267^-0.135</f>
        <v>92.838041991068934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61.39793190096065</v>
      </c>
      <c r="BF267" s="8">
        <f>(0.048*C267^1.01)/IF(_xlfn.XLOOKUP(E267,Groups!A:A,Groups!M:M)=1,0.25,0.8)*C267^-0.25</f>
        <v>73.161332886696755</v>
      </c>
      <c r="BG267" s="8">
        <f>EXP(1.076*LN(AR267)-4.5397)*IF(_xlfn.XLOOKUP(E267,Groups!A:A,Groups!BC:BC)=1,1.25,IF(_xlfn.XLOOKUP(E267,Groups!A:A,Groups!BD:BD)=1,3.5,2.5))</f>
        <v>4824.3021179336592</v>
      </c>
      <c r="BH267" s="8">
        <f>EXP(1.076*LN(AS267)-4.5397)*IF(_xlfn.XLOOKUP(E267,Groups!A:A,Groups!M:M)=1,0.8,IF(_xlfn.XLOOKUP(E267,Groups!A:A,Groups!BC:BC)=1,1.3,3))</f>
        <v>4036.2412451002019</v>
      </c>
      <c r="BI267" s="8">
        <f>IF(W267="No","No",IF(_xlfn.XLOOKUP(E267,Groups!A:A,Groups!U:U)=1,'Base stats'!BJ267,IF(OR(_xlfn.XLOOKUP(E267,Groups!A:A,Groups!BD:BD)=1,_xlfn.XLOOKUP(E267,Groups!A:A,Groups!U:U)=2),BG267,BH267))*1.2)</f>
        <v>4843.4894941202419</v>
      </c>
      <c r="BJ267" s="8" t="str">
        <f>IFERROR(EXP(1.076*LN(AT267)-4.5397)*IF(_xlfn.XLOOKUP(E267,Groups!A:A,Groups!N:N)="Insect",1,IF(OR(_xlfn.XLOOKUP(E267,Groups!A:A,Groups!N:N)="Pig",_xlfn.XLOOKUP(E267,Groups!A:A,Groups!N:N)="StrongBitingHerbivore"),3.5,3.75)),"No")</f>
        <v>No</v>
      </c>
      <c r="BK267" s="8">
        <f t="shared" ref="BK267:BK268" si="517">ROUNDDOWN(SQRT((2*BG267)/BD267),0)</f>
        <v>10</v>
      </c>
      <c r="BL267" s="8">
        <f t="shared" ref="BL267:BL268" si="518">ROUNDDOWN(SQRT((2*BH267)/BE267),0)</f>
        <v>11</v>
      </c>
      <c r="BM267" s="8">
        <f t="shared" ref="BM267:BM268" si="519">IF(W267="No","No",ROUNDDOWN(SQRT((2*BI267)/BC267),0))</f>
        <v>10</v>
      </c>
      <c r="BN267" s="8" t="str">
        <f t="shared" ref="BN267:BN268" si="520">IF(V267="No","No",ROUNDDOWN(SQRT((2*BJ267)/BB267),0))</f>
        <v>No</v>
      </c>
      <c r="BO267" s="8">
        <f t="shared" ref="BO267:BO268" si="521">ROUNDDOWN(SQRT((2*BH267)/BF267),0)</f>
        <v>10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>
        <f>IF(W267="No","No",IF(_xlfn.XLOOKUP(E267,Groups!A:A,Groups!BD:BD)=1,(AO267*5%),EXP(0.7354*LN(C267)^0.4078)*2/IF(_xlfn.XLOOKUP(E267,Groups!A:A,Groups!BL:BL)=1,1000,100)))</f>
        <v>0.12466273490989366</v>
      </c>
      <c r="BR267" s="8" t="str">
        <f>IF(BJ267="No","No",IF(_xlfn.XLOOKUP(E267,Groups!A:A,Groups!BF:BF)=1,(0.0315*C267+2.1825)*2,(0.7354*C267^0.4078)*2)/IF(_xlfn.XLOOKUP(E267,Groups!A:A,Groups!BM:BM)=1,1000,100))</f>
        <v>No</v>
      </c>
      <c r="BS267" s="8">
        <f t="shared" ref="BS267:BS268" si="522">BG267/(AO267*5%)</f>
        <v>0.19938290435940415</v>
      </c>
      <c r="BT267" s="8" t="str">
        <f t="shared" ref="BT267:BT268" si="523">IF(BP267="No","No",BH267/BP267)</f>
        <v>No</v>
      </c>
      <c r="BU267" s="8">
        <f t="shared" ref="BU267:BU268" si="524">IF(W267="No","No",BI267/BQ267)</f>
        <v>38852.74535025339</v>
      </c>
      <c r="BV267" s="8" t="str">
        <f t="shared" ref="BV267:BV268" si="525">IF(BJ267="No","No",BJ267/BR267)</f>
        <v>No</v>
      </c>
      <c r="BW267" s="4">
        <v>0</v>
      </c>
      <c r="BX267" s="4">
        <v>1</v>
      </c>
    </row>
    <row r="268" spans="1:76" s="16" customFormat="1" x14ac:dyDescent="0.25">
      <c r="A268" s="26" t="s">
        <v>1579</v>
      </c>
      <c r="B268" s="6" t="s">
        <v>1694</v>
      </c>
      <c r="C268" s="7">
        <v>10</v>
      </c>
      <c r="D268" s="7" t="s">
        <v>528</v>
      </c>
      <c r="E268" s="7" t="str">
        <f>Groups!$A$116</f>
        <v>Snake (SMART, ELECTRIC)</v>
      </c>
      <c r="F268" s="7">
        <f>ROUND(7.545*(C268*1000)^0.2689,0)</f>
        <v>90</v>
      </c>
      <c r="G268" s="7">
        <v>5</v>
      </c>
      <c r="H268" s="7">
        <v>20</v>
      </c>
      <c r="I268" s="4">
        <v>1</v>
      </c>
      <c r="J268" s="7">
        <v>3</v>
      </c>
      <c r="K268" s="7" t="s">
        <v>528</v>
      </c>
      <c r="L268" s="7">
        <v>25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>
        <f>MROUND(1.27,0.05)</f>
        <v>1.25</v>
      </c>
      <c r="W268" s="7" t="s">
        <v>45</v>
      </c>
      <c r="X268" s="7" t="s">
        <v>933</v>
      </c>
      <c r="Y268" s="4" t="s">
        <v>56</v>
      </c>
      <c r="Z268" s="4">
        <v>1</v>
      </c>
      <c r="AA268" s="4">
        <v>1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">
        <v>45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511"/>
        <v>4958.187872875691</v>
      </c>
      <c r="AP268" s="8">
        <f>IFERROR(C268*_xlfn.XLOOKUP(E268,Groups!A:A,Groups!K:K),0.106*C268^0.94)</f>
        <v>0.92322140535344532</v>
      </c>
      <c r="AQ268" s="8">
        <f>AP268*10000/(_xlfn.XLOOKUP(E268,Groups!A:A,Groups!J:J)*AO268)</f>
        <v>1.7082695063588127</v>
      </c>
      <c r="AR268" s="8">
        <f t="shared" si="512"/>
        <v>380.31263115847975</v>
      </c>
      <c r="AS268" s="8">
        <f>IF(_xlfn.XLOOKUP(E268,Groups!A:A,Groups!M:M)=1,EXP(0.7444*LN('Base stats'!C268)+6.5696),EXP(0.7927*LN('Base stats'!C268)+4.28))</f>
        <v>448.20880356342906</v>
      </c>
      <c r="AT268" s="8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IF(_xlfn.XLOOKUP(E268,Groups!A:A,Groups!N:N)="Theropod",EXP(0.6966*LN(C268)+4.158)*S268,
"No"))))))))))))))))</f>
        <v>232.07944168063898</v>
      </c>
      <c r="AU268" s="8">
        <f>IF(_xlfn.XLOOKUP(E268,Groups!A:A,Groups!U:U)=3,AS268,IF(_xlfn.XLOOKUP(E268,Groups!A:A,Groups!U:U)=2,AR268,AT268))</f>
        <v>232.07944168063898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110</v>
      </c>
      <c r="AX268" s="8">
        <f>IFERROR(ROUND(SQRT(V268-1)*IF(_xlfn.XLOOKUP(E268,Groups!A:A,Groups!BF:BF)=0,2,1)*IF(_xlfn.XLOOKUP('Base stats'!E268,Groups!A:A,Groups!O:O)=0,1,0.1),1),0)</f>
        <v>1</v>
      </c>
      <c r="AY268" s="8">
        <f t="shared" si="513"/>
        <v>0</v>
      </c>
      <c r="AZ268" s="8">
        <f t="shared" si="514"/>
        <v>0</v>
      </c>
      <c r="BA268" s="8">
        <f t="shared" si="515"/>
        <v>1.6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0.44406707665717465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516"/>
        <v>0.26563547098338458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0.42781730611279417</v>
      </c>
      <c r="BF268" s="8">
        <f>(0.048*C268^1.01)/IF(_xlfn.XLOOKUP(E268,Groups!A:A,Groups!M:M)=1,0.25,0.8)*C268^-0.25</f>
        <v>0.34526396240229418</v>
      </c>
      <c r="BG268" s="8">
        <f>EXP(1.076*LN(AR268)-4.5397)*IF(_xlfn.XLOOKUP(E268,Groups!A:A,Groups!BC:BC)=1,1.25,IF(_xlfn.XLOOKUP(E268,Groups!A:A,Groups!BD:BD)=1,3.5,2.5))</f>
        <v>15.944275717953127</v>
      </c>
      <c r="BH268" s="8">
        <f>EXP(1.076*LN(AS268)-4.5397)*IF(_xlfn.XLOOKUP(E268,Groups!A:A,Groups!M:M)=1,0.8,IF(_xlfn.XLOOKUP(E268,Groups!A:A,Groups!BC:BC)=1,1.3,3))</f>
        <v>22.832185638487289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>
        <f>IFERROR(EXP(1.076*LN(AT268)-4.5397)*IF(_xlfn.XLOOKUP(E268,Groups!A:A,Groups!N:N)="Insect",1,IF(OR(_xlfn.XLOOKUP(E268,Groups!A:A,Groups!N:N)="Pig",_xlfn.XLOOKUP(E268,Groups!A:A,Groups!N:N)="StrongBitingHerbivore"),3.5,3.75)),"No")</f>
        <v>14.056903590599084</v>
      </c>
      <c r="BK268" s="8">
        <f t="shared" si="517"/>
        <v>10</v>
      </c>
      <c r="BL268" s="8">
        <f t="shared" si="518"/>
        <v>10</v>
      </c>
      <c r="BM268" s="8" t="str">
        <f t="shared" si="519"/>
        <v>No</v>
      </c>
      <c r="BN268" s="8">
        <f t="shared" si="520"/>
        <v>7</v>
      </c>
      <c r="BO268" s="8">
        <f t="shared" si="521"/>
        <v>11</v>
      </c>
      <c r="BP268" s="8" t="str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No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>
        <f>IF(BJ268="No","No",IF(_xlfn.XLOOKUP(E268,Groups!A:A,Groups!BF:BF)=1,(0.0315*C268+2.1825)*2,(0.7354*C268^0.4078)*2)/IF(_xlfn.XLOOKUP(E268,Groups!A:A,Groups!BM:BM)=1,1000,100))</f>
        <v>3.7614355184740135E-2</v>
      </c>
      <c r="BS268" s="8">
        <f t="shared" si="522"/>
        <v>6.4314931691790186E-2</v>
      </c>
      <c r="BT268" s="8" t="str">
        <f t="shared" si="523"/>
        <v>No</v>
      </c>
      <c r="BU268" s="8" t="str">
        <f t="shared" si="524"/>
        <v>No</v>
      </c>
      <c r="BV268" s="8">
        <f t="shared" si="525"/>
        <v>373.71114090776348</v>
      </c>
      <c r="BW268" s="4">
        <v>0</v>
      </c>
      <c r="BX268" s="4">
        <v>1</v>
      </c>
    </row>
    <row r="269" spans="1:76" s="16" customFormat="1" x14ac:dyDescent="0.25">
      <c r="A269" s="26" t="s">
        <v>1350</v>
      </c>
      <c r="B269" s="6" t="s">
        <v>1846</v>
      </c>
      <c r="C269" s="7">
        <v>20</v>
      </c>
      <c r="D269" s="7" t="s">
        <v>528</v>
      </c>
      <c r="E269" s="7" t="str">
        <f>Groups!$A$95</f>
        <v>MycoticCreature</v>
      </c>
      <c r="F269" s="7" t="s">
        <v>1707</v>
      </c>
      <c r="G269" s="7">
        <v>3</v>
      </c>
      <c r="H269" s="7">
        <v>35</v>
      </c>
      <c r="I269" s="4">
        <v>1</v>
      </c>
      <c r="J269" s="7" t="s">
        <v>1707</v>
      </c>
      <c r="K269" s="7" t="s">
        <v>528</v>
      </c>
      <c r="L269" s="7">
        <v>28</v>
      </c>
      <c r="M269" s="7" t="s">
        <v>528</v>
      </c>
      <c r="N269" s="4">
        <v>0</v>
      </c>
      <c r="O269" s="4">
        <v>0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>
        <v>3</v>
      </c>
      <c r="V269" s="7">
        <f>IF(AT269="No","No",IF(_xlfn.XLOOKUP(E269,Groups!A:A,Groups!AM:AM)=1,MROUND(EXP(0.3582*LN(C269)-0.2221)*T269,0.05),IF(_xlfn.XLOOKUP(E269,Groups!A:A,Groups!AM:AM)=2,MROUND(EXP(0.3582*LN(C269)-0.2221)*T269,0.05),"Need a formula")))</f>
        <v>2.35</v>
      </c>
      <c r="W269" s="7" t="str">
        <f>IF(_xlfn.XLOOKUP(E269,Groups!A:A,Groups!V:V)&lt;&gt;"No","Need a formula","No")</f>
        <v>No</v>
      </c>
      <c r="X269" s="7" t="s">
        <v>933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452</v>
      </c>
      <c r="AG269" s="28" t="s">
        <v>45</v>
      </c>
      <c r="AH269" s="4" t="s">
        <v>45</v>
      </c>
      <c r="AI269" s="4">
        <v>0</v>
      </c>
      <c r="AJ269" s="4">
        <v>0</v>
      </c>
      <c r="AK269" s="4">
        <v>0</v>
      </c>
      <c r="AL269" s="4">
        <v>0</v>
      </c>
      <c r="AM269" s="4">
        <v>1</v>
      </c>
      <c r="AN269" s="44" t="s">
        <v>40</v>
      </c>
      <c r="AO269" s="8">
        <f>(0.111*C269^0.65)*10000</f>
        <v>7780.2307188855666</v>
      </c>
      <c r="AP269" s="8">
        <f>IFERROR(C269*_xlfn.XLOOKUP(E269,Groups!A:A,Groups!K:K),0.106*C269^0.94)</f>
        <v>14</v>
      </c>
      <c r="AQ269" s="8">
        <f>AP269*10000/(_xlfn.XLOOKUP(E269,Groups!A:A,Groups!J:J)*AO269)</f>
        <v>17.994324983212511</v>
      </c>
      <c r="AR269" s="8">
        <f>EXP(0.8447*LN(C269)+3.996)</f>
        <v>683.0001310678939</v>
      </c>
      <c r="AS269" s="8">
        <f>IF(_xlfn.XLOOKUP(E269,Groups!A:A,Groups!M:M)=1,EXP(0.7444*LN('Base stats'!C269)+6.5696),EXP(0.7927*LN('Base stats'!C269)+4.28))</f>
        <v>776.43813921979063</v>
      </c>
      <c r="AT269" s="8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IF(_xlfn.XLOOKUP(E269,Groups!A:A,Groups!N:N)="Theropod",EXP(0.6966*LN(C269)+4.158)*S269,
"No"))))))))))))))))</f>
        <v>641.17676285032178</v>
      </c>
      <c r="AU269" s="8">
        <f>IF(_xlfn.XLOOKUP(E269,Groups!A:A,Groups!U:U)=3,AS269,IF(_xlfn.XLOOKUP(E269,Groups!A:A,Groups!U:U)=2,AR269,AT269))</f>
        <v>641.17676285032178</v>
      </c>
      <c r="AV269" s="46">
        <f>IFERROR(AVERAGE(_xlfn.XLOOKUP(B269,Animals!B:B,Animals!N:N),_xlfn.XLOOKUP(B269,Animals!B:B,Animals!O:O)),0)</f>
        <v>0.97500000000000009</v>
      </c>
      <c r="AW269" s="8">
        <f>MROUND(40*Animals!AO200*_xlfn.XLOOKUP(Animals!BB200,Leathers!$A$2:$A$99,Leathers!$B$2:$B$99,0)+(140*_xlfn.XLOOKUP(B269,Animals!B:B,Animals!AO:AO)*2),5)</f>
        <v>155</v>
      </c>
      <c r="AX269" s="8">
        <f>IFERROR(ROUND(SQRT(V269-1)*IF(_xlfn.XLOOKUP(E269,Groups!A:A,Groups!BF:BF)=0,2,1)*IF(_xlfn.XLOOKUP('Base stats'!E269,Groups!A:A,Groups!O:O)=0,1,0.1),1),0)</f>
        <v>2.2999999999999998</v>
      </c>
      <c r="AY269" s="8">
        <f>IFERROR(ROUND(SQRT(U269-1),1),0)</f>
        <v>1.4</v>
      </c>
      <c r="AZ269" s="8">
        <f>IFERROR(ROUND(SQRT(W269),1),0)</f>
        <v>0</v>
      </c>
      <c r="BA269" s="8">
        <f>ROUND(
  EXP(0.3582*LN(C269)-0.2221) *
  (0.75 + 0.25*(C269^4/(C269^4+10^4))),
1)</f>
        <v>2.2999999999999998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0.99756489187892916</v>
      </c>
      <c r="BC269" s="8" t="str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No</v>
      </c>
      <c r="BD269" s="8">
        <f>(0.0392*C269^IF(OR(Y269="Herbivore",Y269="Dendrovore",Y269="OmnivoreRough"),0.889,0.966))*C269^-0.135</f>
        <v>0.37519987390432724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0.43212841428041765</v>
      </c>
      <c r="BF269" s="8">
        <f>(0.048*C269^1.01)/IF(_xlfn.XLOOKUP(E269,Groups!A:A,Groups!M:M)=1,0.25,0.8)*C269^-0.25</f>
        <v>0.58470128338370886</v>
      </c>
      <c r="BG269" s="8">
        <f>EXP(1.076*LN(AR269)-4.5397)*IF(_xlfn.XLOOKUP(E269,Groups!A:A,Groups!BC:BC)=1,1.25,IF(_xlfn.XLOOKUP(E269,Groups!A:A,Groups!BD:BD)=1,3.5,2.5))</f>
        <v>14.968563372073916</v>
      </c>
      <c r="BH269" s="8">
        <f>EXP(1.076*LN(AS269)-4.5397)*IF(_xlfn.XLOOKUP(E269,Groups!A:A,Groups!M:M)=1,0.8,IF(_xlfn.XLOOKUP(E269,Groups!A:A,Groups!BC:BC)=1,1.3,3))</f>
        <v>17.870293043760679</v>
      </c>
      <c r="BI269" s="8" t="str">
        <f>IF(W269="No","No",IF(_xlfn.XLOOKUP(E269,Groups!A:A,Groups!U:U)=1,'Base stats'!BJ269,IF(OR(_xlfn.XLOOKUP(E269,Groups!A:A,Groups!BD:BD)=1,_xlfn.XLOOKUP(E269,Groups!A:A,Groups!U:U)=2),BG269,BH269))*1.2)</f>
        <v>No</v>
      </c>
      <c r="BJ269" s="8">
        <f>IFERROR(EXP(1.076*LN(AT269)-4.5397)*IF(_xlfn.XLOOKUP(E269,Groups!A:A,Groups!N:N)="Insect",1,IF(OR(_xlfn.XLOOKUP(E269,Groups!A:A,Groups!N:N)="Pig",_xlfn.XLOOKUP(E269,Groups!A:A,Groups!N:N)="StrongBitingHerbivore"),3.5,3.75)),"No")</f>
        <v>41.953934286113075</v>
      </c>
      <c r="BK269" s="8">
        <f t="shared" ref="BK269:BL273" si="526">ROUNDDOWN(SQRT((2*BG269)/BD269),0)</f>
        <v>8</v>
      </c>
      <c r="BL269" s="8">
        <f t="shared" si="526"/>
        <v>9</v>
      </c>
      <c r="BM269" s="8" t="str">
        <f>IF(W269="No","No",ROUNDDOWN(SQRT((2*BI269)/BC269),0))</f>
        <v>No</v>
      </c>
      <c r="BN269" s="8">
        <f>IF(V269="No","No",ROUNDDOWN(SQRT((2*BJ269)/BB269),0))</f>
        <v>9</v>
      </c>
      <c r="BO269" s="8">
        <f>ROUNDDOWN(SQRT((2*BH269)/BF269),0)</f>
        <v>7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4.9901506096388083E-2</v>
      </c>
      <c r="BQ269" s="8" t="str">
        <f>IF(W269="No","No",IF(_xlfn.XLOOKUP(E269,Groups!A:A,Groups!BD:BD)=1,(AO269*5%),EXP(0.7354*LN(C269)^0.4078)*2/IF(_xlfn.XLOOKUP(E269,Groups!A:A,Groups!BL:BL)=1,1000,100)))</f>
        <v>No</v>
      </c>
      <c r="BR269" s="8">
        <f>IF(BJ269="No","No",IF(_xlfn.XLOOKUP(E269,Groups!A:A,Groups!BF:BF)=1,(0.0315*C269+2.1825)*2,(0.7354*C269^0.4078)*2)/IF(_xlfn.XLOOKUP(E269,Groups!A:A,Groups!BM:BM)=1,1000,100))</f>
        <v>4.9901506096388087E-3</v>
      </c>
      <c r="BS269" s="8">
        <f>BG269/(AO269*5%)</f>
        <v>3.8478456264129914E-2</v>
      </c>
      <c r="BT269" s="8">
        <f>IF(BP269="No","No",BH269/BP269)</f>
        <v>358.1112964655419</v>
      </c>
      <c r="BU269" s="8" t="str">
        <f>IF(W269="No","No",BI269/BQ269)</f>
        <v>No</v>
      </c>
      <c r="BV269" s="8">
        <f>IF(BJ269="No","No",BJ269/BR269)</f>
        <v>8407.3483083008068</v>
      </c>
      <c r="BW269" s="4">
        <v>0</v>
      </c>
      <c r="BX269" s="4">
        <v>1</v>
      </c>
    </row>
    <row r="270" spans="1:76" s="16" customFormat="1" x14ac:dyDescent="0.25">
      <c r="A270" s="26" t="s">
        <v>1352</v>
      </c>
      <c r="B270" s="6" t="s">
        <v>1847</v>
      </c>
      <c r="C270" s="7">
        <v>5000</v>
      </c>
      <c r="D270" s="7" t="s">
        <v>528</v>
      </c>
      <c r="E270" s="7" t="str">
        <f>Groups!$A$95</f>
        <v>MycoticCreature</v>
      </c>
      <c r="F270" s="7" t="s">
        <v>1707</v>
      </c>
      <c r="G270" s="7">
        <v>6</v>
      </c>
      <c r="H270" s="7">
        <v>70</v>
      </c>
      <c r="I270" s="4">
        <v>1</v>
      </c>
      <c r="J270" s="7" t="s">
        <v>1707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0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20</v>
      </c>
      <c r="V270" s="7">
        <f>IF(AT270="No","No",IF(_xlfn.XLOOKUP(E270,Groups!A:A,Groups!AM:AM)=1,MROUND(EXP(0.3582*LN(C270)-0.2221)*T270,0.05),IF(_xlfn.XLOOKUP(E270,Groups!A:A,Groups!AM:AM)=2,MROUND(EXP(0.3582*LN(C270)-0.2221)*T270,0.05),"Need a formula")))</f>
        <v>16.900000000000002</v>
      </c>
      <c r="W270" s="7" t="str">
        <f>IF(_xlfn.XLOOKUP(E270,Groups!A:A,Groups!V:V)&lt;&gt;"No","Need a formula","No")</f>
        <v>No</v>
      </c>
      <c r="X270" s="7" t="s">
        <v>933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45</v>
      </c>
      <c r="AF270" s="4" t="s">
        <v>45</v>
      </c>
      <c r="AG270" s="28" t="s">
        <v>45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1</v>
      </c>
      <c r="AN270" s="44" t="s">
        <v>40</v>
      </c>
      <c r="AO270" s="8">
        <f>(0.111*C270^0.65)*10000</f>
        <v>281613.50739773398</v>
      </c>
      <c r="AP270" s="8">
        <f>IFERROR(C270*_xlfn.XLOOKUP(E270,Groups!A:A,Groups!K:K),0.106*C270^0.94)</f>
        <v>3500</v>
      </c>
      <c r="AQ270" s="8">
        <f>AP270*10000/(_xlfn.XLOOKUP(E270,Groups!A:A,Groups!J:J)*AO270)</f>
        <v>124.283811254011</v>
      </c>
      <c r="AR270" s="8">
        <f>EXP(0.8447*LN(C270)+3.996)</f>
        <v>72437.042827169687</v>
      </c>
      <c r="AS270" s="8">
        <f>IF(_xlfn.XLOOKUP(E270,Groups!A:A,Groups!M:M)=1,EXP(0.7444*LN('Base stats'!C270)+6.5696),EXP(0.7927*LN('Base stats'!C270)+4.28))</f>
        <v>61795.080878079119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IF(_xlfn.XLOOKUP(E270,Groups!A:A,Groups!N:N)="Theropod",EXP(0.6966*LN(C270)+4.158)*S270,
"No"))))))))))))))))</f>
        <v>40001.443625975015</v>
      </c>
      <c r="AU270" s="8">
        <f>IF(_xlfn.XLOOKUP(E270,Groups!A:A,Groups!U:U)=3,AS270,IF(_xlfn.XLOOKUP(E270,Groups!A:A,Groups!U:U)=2,AR270,AT270))</f>
        <v>40001.443625975015</v>
      </c>
      <c r="AV270" s="46">
        <f>IFERROR(AVERAGE(_xlfn.XLOOKUP(B270,Animals!B:B,Animals!N:N),_xlfn.XLOOKUP(B270,Animals!B:B,Animals!O:O)),0)</f>
        <v>1.5249999999999999</v>
      </c>
      <c r="AW270" s="8">
        <f>MROUND(40*Animals!AO201*_xlfn.XLOOKUP(Animals!BB201,Leathers!$A$2:$A$99,Leathers!$B$2:$B$99,0)+(140*_xlfn.XLOOKUP(B270,Animals!B:B,Animals!AO:AO)*2),5)</f>
        <v>1640</v>
      </c>
      <c r="AX270" s="8">
        <f>IFERROR(ROUND(SQRT(V270-1)*IF(_xlfn.XLOOKUP(E270,Groups!A:A,Groups!BF:BF)=0,2,1)*IF(_xlfn.XLOOKUP('Base stats'!E270,Groups!A:A,Groups!O:O)=0,1,0.1),1),0)</f>
        <v>8</v>
      </c>
      <c r="AY270" s="8">
        <f>IFERROR(ROUND(SQRT(U270-1),1),0)</f>
        <v>4.4000000000000004</v>
      </c>
      <c r="AZ270" s="8">
        <f>IFERROR(ROUND(SQRT(W270),1),0)</f>
        <v>0</v>
      </c>
      <c r="BA270" s="8">
        <f>ROUND(
  EXP(0.3582*LN(C270)-0.2221) *
  (0.75 + 0.25*(C270^4/(C270^4+10^4))),
1)</f>
        <v>16.899999999999999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29.645829538450528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>(0.0392*C270^IF(OR(Y270="Herbivore",Y270="Dendrovore",Y270="OmnivoreRough"),0.889,0.966))*C270^-0.135</f>
        <v>24.116231840641284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32.063138478804731</v>
      </c>
      <c r="BF270" s="8">
        <f>(0.048*C270^1.01)/IF(_xlfn.XLOOKUP(E270,Groups!A:A,Groups!M:M)=1,0.25,0.8)*C270^-0.25</f>
        <v>38.847981091877756</v>
      </c>
      <c r="BG270" s="8">
        <f>EXP(1.076*LN(AR270)-4.5397)*IF(_xlfn.XLOOKUP(E270,Groups!A:A,Groups!BC:BC)=1,1.25,IF(_xlfn.XLOOKUP(E270,Groups!A:A,Groups!BD:BD)=1,3.5,2.5))</f>
        <v>2262.8776863858375</v>
      </c>
      <c r="BH270" s="8">
        <f>EXP(1.076*LN(AS270)-4.5397)*IF(_xlfn.XLOOKUP(E270,Groups!A:A,Groups!M:M)=1,0.8,IF(_xlfn.XLOOKUP(E270,Groups!A:A,Groups!BC:BC)=1,1.3,3))</f>
        <v>1983.5497361011207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3583.4225621101755</v>
      </c>
      <c r="BK270" s="8">
        <f t="shared" si="526"/>
        <v>13</v>
      </c>
      <c r="BL270" s="8">
        <f t="shared" si="526"/>
        <v>11</v>
      </c>
      <c r="BM270" s="8" t="str">
        <f>IF(W270="No","No",ROUNDDOWN(SQRT((2*BI270)/BC270),0))</f>
        <v>No</v>
      </c>
      <c r="BN270" s="8">
        <f>IF(V270="No","No",ROUNDDOWN(SQRT((2*BJ270)/BB270),0))</f>
        <v>15</v>
      </c>
      <c r="BO270" s="8">
        <f>ROUNDDOWN(SQRT((2*BH270)/BF270),0)</f>
        <v>10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0.47423498457378299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4.7423498457378303E-2</v>
      </c>
      <c r="BS270" s="8">
        <f>BG270/(AO270*5%)</f>
        <v>0.16070803615182314</v>
      </c>
      <c r="BT270" s="8">
        <f>IF(BP270="No","No",BH270/BP270)</f>
        <v>4182.6305536775808</v>
      </c>
      <c r="BU270" s="8" t="str">
        <f>IF(W270="No","No",BI270/BQ270)</f>
        <v>No</v>
      </c>
      <c r="BV270" s="8">
        <f>IF(BJ270="No","No",BJ270/BR270)</f>
        <v>75562.172312756797</v>
      </c>
      <c r="BW270" s="4">
        <v>0</v>
      </c>
      <c r="BX270" s="4">
        <v>1</v>
      </c>
    </row>
    <row r="271" spans="1:76" s="16" customFormat="1" x14ac:dyDescent="0.25">
      <c r="A271" s="26" t="s">
        <v>1605</v>
      </c>
      <c r="B271" s="6" t="s">
        <v>1845</v>
      </c>
      <c r="C271" s="7">
        <v>125</v>
      </c>
      <c r="D271" s="7" t="s">
        <v>528</v>
      </c>
      <c r="E271" s="7" t="str">
        <f>Groups!$A$95</f>
        <v>MycoticCreature</v>
      </c>
      <c r="F271" s="7" t="s">
        <v>1707</v>
      </c>
      <c r="G271" s="7">
        <v>3</v>
      </c>
      <c r="H271" s="7">
        <v>35</v>
      </c>
      <c r="I271" s="4">
        <v>1</v>
      </c>
      <c r="J271" s="7" t="s">
        <v>1707</v>
      </c>
      <c r="K271" s="7" t="s">
        <v>528</v>
      </c>
      <c r="L271" s="7">
        <v>28</v>
      </c>
      <c r="M271" s="7" t="s">
        <v>528</v>
      </c>
      <c r="N271" s="4">
        <v>0</v>
      </c>
      <c r="O271" s="4">
        <v>0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>
        <v>3</v>
      </c>
      <c r="V271" s="7">
        <f>IF(AT271="No","No",IF(_xlfn.XLOOKUP(E271,Groups!A:A,Groups!AM:AM)=1,MROUND(EXP(0.3582*LN(C271)-0.2221)*T271,0.05),IF(_xlfn.XLOOKUP(E271,Groups!A:A,Groups!AM:AM)=2,MROUND(EXP(0.3582*LN(C271)-0.2221)*T271,0.05),"Need a formula")))</f>
        <v>4.5</v>
      </c>
      <c r="W271" s="7" t="str">
        <f>IF(_xlfn.XLOOKUP(E271,Groups!A:A,Groups!V:V)&lt;&gt;"No","Need a formula","No")</f>
        <v>No</v>
      </c>
      <c r="X271" s="7" t="s">
        <v>933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4" t="s">
        <v>452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>(0.111*C271^0.65)*10000</f>
        <v>25604.39315988883</v>
      </c>
      <c r="AP271" s="8">
        <f>IFERROR(C271*_xlfn.XLOOKUP(E271,Groups!A:A,Groups!K:K),0.106*C271^0.94)</f>
        <v>87.5</v>
      </c>
      <c r="AQ271" s="8">
        <f>AP271*10000/(_xlfn.XLOOKUP(E271,Groups!A:A,Groups!J:J)*AO271)</f>
        <v>34.173823005137727</v>
      </c>
      <c r="AR271" s="8">
        <f>EXP(0.8447*LN(C271)+3.996)</f>
        <v>3211.4461024945945</v>
      </c>
      <c r="AS271" s="8">
        <f>IF(_xlfn.XLOOKUP(E271,Groups!A:A,Groups!M:M)=1,EXP(0.7444*LN('Base stats'!C271)+6.5696),EXP(0.7927*LN('Base stats'!C271)+4.28))</f>
        <v>3318.9518344889893</v>
      </c>
      <c r="AT271" s="8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IF(_xlfn.XLOOKUP(E271,Groups!A:A,Groups!N:N)="Theropod",EXP(0.6966*LN(C271)+4.158)*S271,
"No"))))))))))))))))</f>
        <v>2527.9795447145207</v>
      </c>
      <c r="AU271" s="8">
        <f>IF(_xlfn.XLOOKUP(E271,Groups!A:A,Groups!U:U)=3,AS271,IF(_xlfn.XLOOKUP(E271,Groups!A:A,Groups!U:U)=2,AR271,AT271))</f>
        <v>2527.9795447145207</v>
      </c>
      <c r="AV271" s="46">
        <f>IFERROR(AVERAGE(_xlfn.XLOOKUP(B271,Animals!B:B,Animals!N:N),_xlfn.XLOOKUP(B271,Animals!B:B,Animals!O:O)),0)</f>
        <v>1.1500000000000001</v>
      </c>
      <c r="AW271" s="8">
        <f>MROUND(40*Animals!AO328*_xlfn.XLOOKUP(Animals!BB328,Leathers!$A$2:$A$99,Leathers!$B$2:$B$99,0)+(140*_xlfn.XLOOKUP(B271,Animals!B:B,Animals!AO:AO)*2),5)</f>
        <v>490</v>
      </c>
      <c r="AX271" s="8">
        <f>IFERROR(ROUND(SQRT(V271-1)*IF(_xlfn.XLOOKUP(E271,Groups!A:A,Groups!BF:BF)=0,2,1)*IF(_xlfn.XLOOKUP('Base stats'!E271,Groups!A:A,Groups!O:O)=0,1,0.1),1),0)</f>
        <v>3.7</v>
      </c>
      <c r="AY271" s="8">
        <f>IFERROR(ROUND(SQRT(U271-1),1),0)</f>
        <v>1.4</v>
      </c>
      <c r="AZ271" s="8">
        <f>IFERROR(ROUND(SQRT(W271),1),0)</f>
        <v>0</v>
      </c>
      <c r="BA271" s="8">
        <f>ROUND(
  EXP(0.3582*LN(C271)-0.2221) *
  (0.75 + 0.25*(C271^4/(C271^4+10^4))),
1)</f>
        <v>4.5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3.0749273073640189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>(0.0392*C271^IF(OR(Y271="Herbivore",Y271="Dendrovore",Y271="OmnivoreRough"),0.889,0.966))*C271^-0.135</f>
        <v>1.4940193310352692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1.8046759779925226</v>
      </c>
      <c r="BF271" s="8">
        <f>(0.048*C271^1.01)/IF(_xlfn.XLOOKUP(E271,Groups!A:A,Groups!M:M)=1,0.25,0.8)*C271^-0.25</f>
        <v>2.3539804966061268</v>
      </c>
      <c r="BG271" s="8">
        <f>EXP(1.076*LN(AR271)-4.5397)*IF(_xlfn.XLOOKUP(E271,Groups!A:A,Groups!BC:BC)=1,1.25,IF(_xlfn.XLOOKUP(E271,Groups!A:A,Groups!BD:BD)=1,3.5,2.5))</f>
        <v>79.168650059016656</v>
      </c>
      <c r="BH271" s="8">
        <f>EXP(1.076*LN(AS271)-4.5397)*IF(_xlfn.XLOOKUP(E271,Groups!A:A,Groups!M:M)=1,0.8,IF(_xlfn.XLOOKUP(E271,Groups!A:A,Groups!BC:BC)=1,1.3,3))</f>
        <v>85.304848273819331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>
        <f>IFERROR(EXP(1.076*LN(AT271)-4.5397)*IF(_xlfn.XLOOKUP(E271,Groups!A:A,Groups!N:N)="Insect",1,IF(OR(_xlfn.XLOOKUP(E271,Groups!A:A,Groups!N:N)="Pig",_xlfn.XLOOKUP(E271,Groups!A:A,Groups!N:N)="StrongBitingHerbivore"),3.5,3.75)),"No")</f>
        <v>183.58997130475484</v>
      </c>
      <c r="BK271" s="8">
        <f t="shared" si="526"/>
        <v>10</v>
      </c>
      <c r="BL271" s="8">
        <f t="shared" si="526"/>
        <v>9</v>
      </c>
      <c r="BM271" s="8" t="str">
        <f>IF(W271="No","No",ROUNDDOWN(SQRT((2*BI271)/BC271),0))</f>
        <v>No</v>
      </c>
      <c r="BN271" s="8">
        <f>IF(V271="No","No",ROUNDDOWN(SQRT((2*BJ271)/BB271),0))</f>
        <v>10</v>
      </c>
      <c r="BO271" s="8">
        <f>ROUNDDOWN(SQRT((2*BH271)/BF271),0)</f>
        <v>8</v>
      </c>
      <c r="BP271" s="8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0.10535945719467282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>
        <f>IF(BJ271="No","No",IF(_xlfn.XLOOKUP(E271,Groups!A:A,Groups!BF:BF)=1,(0.0315*C271+2.1825)*2,(0.7354*C271^0.4078)*2)/IF(_xlfn.XLOOKUP(E271,Groups!A:A,Groups!BM:BM)=1,1000,100))</f>
        <v>1.0535945719467282E-2</v>
      </c>
      <c r="BS271" s="8">
        <f>BG271/(AO271*5%)</f>
        <v>6.1839895649657639E-2</v>
      </c>
      <c r="BT271" s="8">
        <f>IF(BP271="No","No",BH271/BP271)</f>
        <v>809.65535078831545</v>
      </c>
      <c r="BU271" s="8" t="str">
        <f>IF(W271="No","No",BI271/BQ271)</f>
        <v>No</v>
      </c>
      <c r="BV271" s="8">
        <f>IF(BJ271="No","No",BJ271/BR271)</f>
        <v>17425.106031586267</v>
      </c>
      <c r="BW271" s="4">
        <v>0</v>
      </c>
      <c r="BX271" s="4">
        <v>1</v>
      </c>
    </row>
    <row r="272" spans="1:76" s="16" customFormat="1" x14ac:dyDescent="0.25">
      <c r="A272" s="26" t="s">
        <v>1607</v>
      </c>
      <c r="B272" s="6" t="s">
        <v>1848</v>
      </c>
      <c r="C272" s="7">
        <v>2000</v>
      </c>
      <c r="D272" s="7" t="s">
        <v>528</v>
      </c>
      <c r="E272" s="7" t="str">
        <f>Groups!$A$95</f>
        <v>MycoticCreature</v>
      </c>
      <c r="F272" s="7" t="s">
        <v>1707</v>
      </c>
      <c r="G272" s="7">
        <v>6</v>
      </c>
      <c r="H272" s="7">
        <v>70</v>
      </c>
      <c r="I272" s="4">
        <v>1</v>
      </c>
      <c r="J272" s="7" t="s">
        <v>1707</v>
      </c>
      <c r="K272" s="7" t="s">
        <v>528</v>
      </c>
      <c r="L272" s="7">
        <v>18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>
        <v>20</v>
      </c>
      <c r="V272" s="7">
        <f>IF(AT272="No","No",IF(_xlfn.XLOOKUP(E272,Groups!A:A,Groups!AM:AM)=1,MROUND(EXP(0.3582*LN(C272)-0.2221)*T272,0.05),IF(_xlfn.XLOOKUP(E272,Groups!A:A,Groups!AM:AM)=2,MROUND(EXP(0.3582*LN(C272)-0.2221)*T272,0.05),"Need a formula")))</f>
        <v>12.200000000000001</v>
      </c>
      <c r="W272" s="7" t="str">
        <f>IF(_xlfn.XLOOKUP(E272,Groups!A:A,Groups!V:V)&lt;&gt;"No","Need a formula","No")</f>
        <v>No</v>
      </c>
      <c r="X272" s="7" t="s">
        <v>933</v>
      </c>
      <c r="Y272" s="4" t="s">
        <v>42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45</v>
      </c>
      <c r="AH272" s="4" t="s">
        <v>45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>(0.111*C272^0.65)*10000</f>
        <v>155236.011551556</v>
      </c>
      <c r="AP272" s="8">
        <f>IFERROR(C272*_xlfn.XLOOKUP(E272,Groups!A:A,Groups!K:K),0.106*C272^0.94)</f>
        <v>1400</v>
      </c>
      <c r="AQ272" s="8">
        <f>AP272*10000/(_xlfn.XLOOKUP(E272,Groups!A:A,Groups!J:J)*AO272)</f>
        <v>90.18525959326395</v>
      </c>
      <c r="AR272" s="8">
        <f>EXP(0.8447*LN(C272)+3.996)</f>
        <v>33405.716184674973</v>
      </c>
      <c r="AS272" s="8">
        <f>IF(_xlfn.XLOOKUP(E272,Groups!A:A,Groups!M:M)=1,EXP(0.7444*LN('Base stats'!C272)+6.5696),EXP(0.7927*LN('Base stats'!C272)+4.28))</f>
        <v>29888.688587116343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IF(_xlfn.XLOOKUP(E272,Groups!A:A,Groups!N:N)="Theropod",EXP(0.6966*LN(C272)+4.158)*S272,
"No"))))))))))))))))</f>
        <v>20145.487184266236</v>
      </c>
      <c r="AU272" s="8">
        <f>IF(_xlfn.XLOOKUP(E272,Groups!A:A,Groups!U:U)=3,AS272,IF(_xlfn.XLOOKUP(E272,Groups!A:A,Groups!U:U)=2,AR272,AT272))</f>
        <v>20145.487184266236</v>
      </c>
      <c r="AV272" s="46">
        <f>IFERROR(AVERAGE(_xlfn.XLOOKUP(B272,Animals!B:B,Animals!N:N),_xlfn.XLOOKUP(B272,Animals!B:B,Animals!O:O)),0)</f>
        <v>1.4750000000000001</v>
      </c>
      <c r="AW272" s="8">
        <f>MROUND(40*Animals!AO329*_xlfn.XLOOKUP(Animals!BB329,Leathers!$A$2:$A$99,Leathers!$B$2:$B$99,0)+(140*_xlfn.XLOOKUP(B272,Animals!B:B,Animals!AO:AO)*2),5)</f>
        <v>1185</v>
      </c>
      <c r="AX272" s="8">
        <f>IFERROR(ROUND(SQRT(V272-1)*IF(_xlfn.XLOOKUP(E272,Groups!A:A,Groups!BF:BF)=0,2,1)*IF(_xlfn.XLOOKUP('Base stats'!E272,Groups!A:A,Groups!O:O)=0,1,0.1),1),0)</f>
        <v>6.7</v>
      </c>
      <c r="AY272" s="8">
        <f>IFERROR(ROUND(SQRT(U272-1),1),0)</f>
        <v>4.4000000000000004</v>
      </c>
      <c r="AZ272" s="8">
        <f>IFERROR(ROUND(SQRT(W272),1),0)</f>
        <v>0</v>
      </c>
      <c r="BA272" s="8">
        <f>ROUND(
  EXP(0.3582*LN(C272)-0.2221) *
  (0.75 + 0.25*(C272^4/(C272^4+10^4))),
1)</f>
        <v>12.2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16.885402348399623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>(0.0392*C272^IF(OR(Y272="Herbivore",Y272="Dendrovore",Y272="OmnivoreRough"),0.889,0.966))*C272^-0.135</f>
        <v>12.085446043267085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15.689634406782252</v>
      </c>
      <c r="BF272" s="8">
        <f>(0.048*C272^1.01)/IF(_xlfn.XLOOKUP(E272,Groups!A:A,Groups!M:M)=1,0.25,0.8)*C272^-0.25</f>
        <v>19.361279169915775</v>
      </c>
      <c r="BG272" s="8">
        <f>EXP(1.076*LN(AR272)-4.5397)*IF(_xlfn.XLOOKUP(E272,Groups!A:A,Groups!BC:BC)=1,1.25,IF(_xlfn.XLOOKUP(E272,Groups!A:A,Groups!BD:BD)=1,3.5,2.5))</f>
        <v>983.95337644204938</v>
      </c>
      <c r="BH272" s="8">
        <f>EXP(1.076*LN(AS272)-4.5397)*IF(_xlfn.XLOOKUP(E272,Groups!A:A,Groups!M:M)=1,0.8,IF(_xlfn.XLOOKUP(E272,Groups!A:A,Groups!BC:BC)=1,1.3,3))</f>
        <v>907.86667398534564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1713.0099817547809</v>
      </c>
      <c r="BK272" s="8">
        <f t="shared" si="526"/>
        <v>12</v>
      </c>
      <c r="BL272" s="8">
        <f t="shared" si="526"/>
        <v>10</v>
      </c>
      <c r="BM272" s="8" t="str">
        <f>IF(W272="No","No",ROUNDDOWN(SQRT((2*BI272)/BC272),0))</f>
        <v>No</v>
      </c>
      <c r="BN272" s="8">
        <f>IF(V272="No","No",ROUNDDOWN(SQRT((2*BJ272)/BB272),0))</f>
        <v>14</v>
      </c>
      <c r="BO272" s="8">
        <f>ROUNDDOWN(SQRT((2*BH272)/BF272),0)</f>
        <v>9</v>
      </c>
      <c r="BP272" s="8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0.32637257159006128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3.2637257159006124E-2</v>
      </c>
      <c r="BS272" s="8">
        <f>BG272/(AO272*5%)</f>
        <v>0.12676870097442114</v>
      </c>
      <c r="BT272" s="8">
        <f>IF(BP272="No","No",BH272/BP272)</f>
        <v>2781.6880247083609</v>
      </c>
      <c r="BU272" s="8" t="str">
        <f>IF(W272="No","No",BI272/BQ272)</f>
        <v>No</v>
      </c>
      <c r="BV272" s="8">
        <f>IF(BJ272="No","No",BJ272/BR272)</f>
        <v>52486.334050963058</v>
      </c>
      <c r="BW272" s="4">
        <v>0</v>
      </c>
      <c r="BX272" s="4">
        <v>1</v>
      </c>
    </row>
    <row r="273" spans="1:76" s="16" customFormat="1" x14ac:dyDescent="0.25">
      <c r="A273" s="26" t="s">
        <v>1471</v>
      </c>
      <c r="B273" s="6" t="s">
        <v>1655</v>
      </c>
      <c r="C273" s="7">
        <v>12500</v>
      </c>
      <c r="D273" s="7" t="s">
        <v>528</v>
      </c>
      <c r="E273" s="7" t="str">
        <f>Groups!$A$60</f>
        <v>Thrumbo</v>
      </c>
      <c r="F273" s="7">
        <v>700</v>
      </c>
      <c r="G273" s="7">
        <v>14</v>
      </c>
      <c r="H273" s="7">
        <v>360</v>
      </c>
      <c r="I273" s="4">
        <v>1</v>
      </c>
      <c r="J273" s="7">
        <v>1</v>
      </c>
      <c r="K273" s="7" t="s">
        <v>528</v>
      </c>
      <c r="L273" s="7">
        <v>35</v>
      </c>
      <c r="M273" s="7" t="s">
        <v>627</v>
      </c>
      <c r="N273" s="4">
        <v>0</v>
      </c>
      <c r="O273" s="4">
        <v>0</v>
      </c>
      <c r="P273" s="4">
        <v>0</v>
      </c>
      <c r="Q273" s="4">
        <v>0</v>
      </c>
      <c r="R273" s="4">
        <v>1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>
        <v>32</v>
      </c>
      <c r="V273" s="7">
        <v>10</v>
      </c>
      <c r="W273" s="7">
        <v>80</v>
      </c>
      <c r="X273" s="7" t="s">
        <v>933</v>
      </c>
      <c r="Y273" s="4" t="s">
        <v>1007</v>
      </c>
      <c r="Z273" s="4">
        <v>5.7149999999999999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1903</v>
      </c>
      <c r="AH273" s="4" t="s">
        <v>45</v>
      </c>
      <c r="AI273" s="4">
        <v>0</v>
      </c>
      <c r="AJ273" s="4">
        <v>0</v>
      </c>
      <c r="AK273" s="4">
        <v>0</v>
      </c>
      <c r="AL273" s="4">
        <v>1</v>
      </c>
      <c r="AM273" s="4">
        <v>1</v>
      </c>
      <c r="AN273" s="44" t="s">
        <v>40</v>
      </c>
      <c r="AO273" s="8">
        <f>(0.111*C273^0.65)*10000</f>
        <v>510874.8076957314</v>
      </c>
      <c r="AP273" s="8">
        <f>IFERROR(C273*_xlfn.XLOOKUP(E273,Groups!A:A,Groups!K:K),0.106*C273^0.94)</f>
        <v>752.31769615231951</v>
      </c>
      <c r="AQ273" s="8">
        <f>AP273*10000/(_xlfn.XLOOKUP(E273,Groups!A:A,Groups!J:J)*AO273)</f>
        <v>11.327744320127771</v>
      </c>
      <c r="AR273" s="8">
        <f>EXP(0.8447*LN(C273)+3.996)</f>
        <v>157072.67416563726</v>
      </c>
      <c r="AS273" s="8">
        <f>IF(_xlfn.XLOOKUP(E273,Groups!A:A,Groups!M:M)=1,EXP(0.7444*LN('Base stats'!C273)+6.5696),EXP(0.7927*LN('Base stats'!C273)+4.28))</f>
        <v>127761.7788280736</v>
      </c>
      <c r="AT273" s="8" t="str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IF(_xlfn.XLOOKUP(E273,Groups!A:A,Groups!N:N)="Theropod",EXP(0.6966*LN(C273)+4.158)*S273,
"No"))))))))))))))))</f>
        <v>No</v>
      </c>
      <c r="AU273" s="8">
        <f>IF(_xlfn.XLOOKUP(E273,Groups!A:A,Groups!U:U)=3,AS273,IF(_xlfn.XLOOKUP(E273,Groups!A:A,Groups!U:U)=2,AR273,AT273))</f>
        <v>157072.67416563726</v>
      </c>
      <c r="AV273" s="46">
        <f>IFERROR(AVERAGE(_xlfn.XLOOKUP(B273,Animals!B:B,Animals!N:N),_xlfn.XLOOKUP(B273,Animals!B:B,Animals!O:O)),0)</f>
        <v>1.05</v>
      </c>
      <c r="AW273" s="8">
        <f>MROUND(40*Animals!AO262*_xlfn.XLOOKUP(Animals!BB262,Leathers!$A$2:$A$99,Leathers!$B$2:$B$99,0)+(140*_xlfn.XLOOKUP(B273,Animals!B:B,Animals!AO:AO)*2),5)</f>
        <v>1960</v>
      </c>
      <c r="AX273" s="8">
        <f>IFERROR(ROUND(SQRT(V273-1)*IF(_xlfn.XLOOKUP(E273,Groups!A:A,Groups!BF:BF)=0,2,1)*IF(_xlfn.XLOOKUP('Base stats'!E273,Groups!A:A,Groups!O:O)=0,1,0.1),1),0)</f>
        <v>6</v>
      </c>
      <c r="AY273" s="8">
        <f>IFERROR(ROUND(SQRT(U273-1),1),0)</f>
        <v>5.6</v>
      </c>
      <c r="AZ273" s="8">
        <f>IFERROR(ROUND(SQRT(W273),1),0)</f>
        <v>8.9</v>
      </c>
      <c r="BA273" s="8">
        <f>ROUND(
  EXP(0.3582*LN(C273)-0.2221) *
  (0.75 + 0.25*(C273^4/(C273^4+10^4))),
1)</f>
        <v>23.5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48.123390407718603</v>
      </c>
      <c r="BC273" s="8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48.123390407718603</v>
      </c>
      <c r="BD273" s="8">
        <f>(0.0392*C273^IF(OR(Y273="Herbivore",Y273="Dendrovore",Y273="OmnivoreRough"),0.889,0.966))*C273^-0.135</f>
        <v>48.123390407718603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65.523824357985504</v>
      </c>
      <c r="BF273" s="8">
        <f>(0.048*C273^1.01)/IF(_xlfn.XLOOKUP(E273,Groups!A:A,Groups!M:M)=1,0.25,0.8)*C273^-0.25</f>
        <v>77.947620178933292</v>
      </c>
      <c r="BG273" s="8">
        <f>EXP(1.076*LN(AR273)-4.5397)*IF(_xlfn.XLOOKUP(E273,Groups!A:A,Groups!BC:BC)=1,1.25,IF(_xlfn.XLOOKUP(E273,Groups!A:A,Groups!BD:BD)=1,3.5,2.5))</f>
        <v>5204.1240430099715</v>
      </c>
      <c r="BH273" s="8">
        <f>EXP(1.076*LN(AS273)-4.5397)*IF(_xlfn.XLOOKUP(E273,Groups!A:A,Groups!M:M)=1,0.8,IF(_xlfn.XLOOKUP(E273,Groups!A:A,Groups!BC:BC)=1,1.3,3))</f>
        <v>4333.7525964195929</v>
      </c>
      <c r="BI273" s="8">
        <f>IF(W273="No","No",IF(_xlfn.XLOOKUP(E273,Groups!A:A,Groups!U:U)=1,'Base stats'!BJ273,IF(OR(_xlfn.XLOOKUP(E273,Groups!A:A,Groups!BD:BD)=1,_xlfn.XLOOKUP(E273,Groups!A:A,Groups!U:U)=2),BG273,BH273))*1.2)</f>
        <v>6244.9488516119654</v>
      </c>
      <c r="BJ273" s="8" t="str">
        <f>IFERROR(EXP(1.076*LN(AT273)-4.5397)*IF(_xlfn.XLOOKUP(E273,Groups!A:A,Groups!N:N)="Insect",1,IF(OR(_xlfn.XLOOKUP(E273,Groups!A:A,Groups!N:N)="Pig",_xlfn.XLOOKUP(E273,Groups!A:A,Groups!N:N)="StrongBitingHerbivore"),3.5,3.75)),"No")</f>
        <v>No</v>
      </c>
      <c r="BK273" s="8">
        <f t="shared" si="526"/>
        <v>14</v>
      </c>
      <c r="BL273" s="8">
        <f t="shared" si="526"/>
        <v>11</v>
      </c>
      <c r="BM273" s="8">
        <f>IF(W273="No","No",ROUNDDOWN(SQRT((2*BI273)/BC273),0))</f>
        <v>16</v>
      </c>
      <c r="BN273" s="8" t="e">
        <f>IF(V273="No","No",ROUNDDOWN(SQRT((2*BJ273)/BB273),0))</f>
        <v>#VALUE!</v>
      </c>
      <c r="BO273" s="8">
        <f>ROUNDDOWN(SQRT((2*BH273)/BF273),0)</f>
        <v>10</v>
      </c>
      <c r="BP273" s="8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0.68908615542662455</v>
      </c>
      <c r="BQ273" s="8">
        <f>IF(W273="No","No",IF(_xlfn.XLOOKUP(E273,Groups!A:A,Groups!BD:BD)=1,(AO273*5%),EXP(0.7354*LN(C273)^0.4078)*2/IF(_xlfn.XLOOKUP(E273,Groups!A:A,Groups!BL:BL)=1,1000,100)))</f>
        <v>1.2549289045750445E-2</v>
      </c>
      <c r="BR273" s="8" t="str">
        <f>IF(BJ273="No","No",IF(_xlfn.XLOOKUP(E273,Groups!A:A,Groups!BF:BF)=1,(0.0315*C273+2.1825)*2,(0.7354*C273^0.4078)*2)/IF(_xlfn.XLOOKUP(E273,Groups!A:A,Groups!BM:BM)=1,1000,100))</f>
        <v>No</v>
      </c>
      <c r="BS273" s="8">
        <f>BG273/(AO273*5%)</f>
        <v>0.20373382929108774</v>
      </c>
      <c r="BT273" s="8">
        <f>IF(BP273="No","No",BH273/BP273)</f>
        <v>6289.1302666449528</v>
      </c>
      <c r="BU273" s="8">
        <f>IF(W273="No","No",BI273/BQ273)</f>
        <v>497633.67700313567</v>
      </c>
      <c r="BV273" s="8" t="str">
        <f>IF(BJ273="No","No",BJ273/BR273)</f>
        <v>No</v>
      </c>
      <c r="BW273" s="4">
        <v>0</v>
      </c>
      <c r="BX273" s="4">
        <v>1</v>
      </c>
    </row>
    <row r="274" spans="1:76" s="16" customFormat="1" x14ac:dyDescent="0.25">
      <c r="A274" s="26" t="s">
        <v>1473</v>
      </c>
      <c r="B274" s="6" t="s">
        <v>1656</v>
      </c>
      <c r="C274" s="7">
        <v>12500</v>
      </c>
      <c r="D274" s="7" t="s">
        <v>528</v>
      </c>
      <c r="E274" s="7" t="str">
        <f>Groups!$A$60</f>
        <v>Thrumbo</v>
      </c>
      <c r="F274" s="7">
        <v>700</v>
      </c>
      <c r="G274" s="7">
        <v>14</v>
      </c>
      <c r="H274" s="7">
        <v>360</v>
      </c>
      <c r="I274" s="4">
        <v>1</v>
      </c>
      <c r="J274" s="7">
        <v>1</v>
      </c>
      <c r="K274" s="7" t="s">
        <v>528</v>
      </c>
      <c r="L274" s="7">
        <v>35</v>
      </c>
      <c r="M274" s="7" t="s">
        <v>627</v>
      </c>
      <c r="N274" s="4">
        <v>0</v>
      </c>
      <c r="O274" s="4">
        <v>0</v>
      </c>
      <c r="P274" s="4">
        <v>0</v>
      </c>
      <c r="Q274" s="4">
        <v>0</v>
      </c>
      <c r="R274" s="4">
        <v>1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>
        <v>32</v>
      </c>
      <c r="V274" s="7">
        <v>10</v>
      </c>
      <c r="W274" s="7">
        <v>80</v>
      </c>
      <c r="X274" s="7" t="s">
        <v>933</v>
      </c>
      <c r="Y274" s="4" t="s">
        <v>1007</v>
      </c>
      <c r="Z274" s="4">
        <v>5.7149999999999999</v>
      </c>
      <c r="AA274" s="4">
        <v>0</v>
      </c>
      <c r="AB274" s="4">
        <v>1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1903</v>
      </c>
      <c r="AH274" s="4" t="str">
        <f>Animals!$C$278</f>
        <v>&lt;li&gt;AA_Gallatross&lt;/li&gt;</v>
      </c>
      <c r="AI274" s="4">
        <v>0</v>
      </c>
      <c r="AJ274" s="4">
        <v>0</v>
      </c>
      <c r="AK274" s="4">
        <v>0</v>
      </c>
      <c r="AL274" s="4">
        <v>1</v>
      </c>
      <c r="AM274" s="4">
        <v>1</v>
      </c>
      <c r="AN274" s="44" t="s">
        <v>40</v>
      </c>
      <c r="AO274" s="8">
        <f t="shared" ref="AO274" si="527">(0.111*C274^0.65)*10000</f>
        <v>510874.8076957314</v>
      </c>
      <c r="AP274" s="8">
        <f>IFERROR(C274*_xlfn.XLOOKUP(E274,Groups!A:A,Groups!K:K),0.106*C274^0.94)</f>
        <v>752.31769615231951</v>
      </c>
      <c r="AQ274" s="8">
        <f>AP274*10000/(_xlfn.XLOOKUP(E274,Groups!A:A,Groups!J:J)*AO274)</f>
        <v>11.327744320127771</v>
      </c>
      <c r="AR274" s="8">
        <f t="shared" ref="AR274" si="528">EXP(0.8447*LN(C274)+3.996)</f>
        <v>157072.67416563726</v>
      </c>
      <c r="AS274" s="8">
        <f>IF(_xlfn.XLOOKUP(E274,Groups!A:A,Groups!M:M)=1,EXP(0.7444*LN('Base stats'!C274)+6.5696),EXP(0.7927*LN('Base stats'!C274)+4.28))</f>
        <v>127761.7788280736</v>
      </c>
      <c r="AT274" s="8" t="str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IF(_xlfn.XLOOKUP(E274,Groups!A:A,Groups!N:N)="Theropod",EXP(0.6966*LN(C274)+4.158)*S274,
"No"))))))))))))))))</f>
        <v>No</v>
      </c>
      <c r="AU274" s="8">
        <f>IF(_xlfn.XLOOKUP(E274,Groups!A:A,Groups!U:U)=3,AS274,IF(_xlfn.XLOOKUP(E274,Groups!A:A,Groups!U:U)=2,AR274,AT274))</f>
        <v>157072.67416563726</v>
      </c>
      <c r="AV274" s="46">
        <f>IFERROR(AVERAGE(_xlfn.XLOOKUP(B274,Animals!B:B,Animals!N:N),_xlfn.XLOOKUP(B274,Animals!B:B,Animals!O:O)),0)</f>
        <v>1.05</v>
      </c>
      <c r="AW274" s="8">
        <f>MROUND(40*Animals!AO263*_xlfn.XLOOKUP(Animals!BB263,Leathers!$A$2:$A$99,Leathers!$B$2:$B$99,0)+(140*_xlfn.XLOOKUP(B274,Animals!B:B,Animals!AO:AO)*2),5)</f>
        <v>1960</v>
      </c>
      <c r="AX274" s="8">
        <f>IFERROR(ROUND(SQRT(V274-1)*IF(_xlfn.XLOOKUP(E274,Groups!A:A,Groups!BF:BF)=0,2,1)*IF(_xlfn.XLOOKUP('Base stats'!E274,Groups!A:A,Groups!O:O)=0,1,0.1),1),0)</f>
        <v>6</v>
      </c>
      <c r="AY274" s="8">
        <f t="shared" ref="AY274" si="529">IFERROR(ROUND(SQRT(U274-1),1),0)</f>
        <v>5.6</v>
      </c>
      <c r="AZ274" s="8">
        <f t="shared" ref="AZ274" si="530">IFERROR(ROUND(SQRT(W274),1),0)</f>
        <v>8.9</v>
      </c>
      <c r="BA274" s="8">
        <f t="shared" ref="BA274" si="531">ROUND(
  EXP(0.3582*LN(C274)-0.2221) *
  (0.75 + 0.25*(C274^4/(C274^4+10^4))),
1)</f>
        <v>23.5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48.123390407718603</v>
      </c>
      <c r="BC274" s="8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48.123390407718603</v>
      </c>
      <c r="BD274" s="8">
        <f t="shared" ref="BD274" si="532">(0.0392*C274^IF(OR(Y274="Herbivore",Y274="Dendrovore",Y274="OmnivoreRough"),0.889,0.966))*C274^-0.135</f>
        <v>48.123390407718603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65.523824357985504</v>
      </c>
      <c r="BF274" s="8">
        <f>(0.048*C274^1.01)/IF(_xlfn.XLOOKUP(E274,Groups!A:A,Groups!M:M)=1,0.25,0.8)*C274^-0.25</f>
        <v>77.947620178933292</v>
      </c>
      <c r="BG274" s="8">
        <f>EXP(1.076*LN(AR274)-4.5397)*IF(_xlfn.XLOOKUP(E274,Groups!A:A,Groups!BC:BC)=1,1.25,IF(_xlfn.XLOOKUP(E274,Groups!A:A,Groups!BD:BD)=1,3.5,2.5))</f>
        <v>5204.1240430099715</v>
      </c>
      <c r="BH274" s="8">
        <f>EXP(1.076*LN(AS274)-4.5397)*IF(_xlfn.XLOOKUP(E274,Groups!A:A,Groups!M:M)=1,0.8,IF(_xlfn.XLOOKUP(E274,Groups!A:A,Groups!BC:BC)=1,1.3,3))</f>
        <v>4333.7525964195929</v>
      </c>
      <c r="BI274" s="8">
        <f>IF(W274="No","No",IF(_xlfn.XLOOKUP(E274,Groups!A:A,Groups!U:U)=1,'Base stats'!BJ274,IF(OR(_xlfn.XLOOKUP(E274,Groups!A:A,Groups!BD:BD)=1,_xlfn.XLOOKUP(E274,Groups!A:A,Groups!U:U)=2),BG274,BH274))*1.2)</f>
        <v>6244.9488516119654</v>
      </c>
      <c r="BJ274" s="8" t="str">
        <f>IFERROR(EXP(1.076*LN(AT274)-4.5397)*IF(_xlfn.XLOOKUP(E274,Groups!A:A,Groups!N:N)="Insect",1,IF(OR(_xlfn.XLOOKUP(E274,Groups!A:A,Groups!N:N)="Pig",_xlfn.XLOOKUP(E274,Groups!A:A,Groups!N:N)="StrongBitingHerbivore"),3.5,3.75)),"No")</f>
        <v>No</v>
      </c>
      <c r="BK274" s="8">
        <f t="shared" ref="BK274" si="533">ROUNDDOWN(SQRT((2*BG274)/BD274),0)</f>
        <v>14</v>
      </c>
      <c r="BL274" s="8">
        <f t="shared" ref="BL274" si="534">ROUNDDOWN(SQRT((2*BH274)/BE274),0)</f>
        <v>11</v>
      </c>
      <c r="BM274" s="8">
        <f t="shared" ref="BM274" si="535">IF(W274="No","No",ROUNDDOWN(SQRT((2*BI274)/BC274),0))</f>
        <v>16</v>
      </c>
      <c r="BN274" s="8" t="e">
        <f t="shared" ref="BN274" si="536">IF(V274="No","No",ROUNDDOWN(SQRT((2*BJ274)/BB274),0))</f>
        <v>#VALUE!</v>
      </c>
      <c r="BO274" s="8">
        <f t="shared" ref="BO274" si="537">ROUNDDOWN(SQRT((2*BH274)/BF274),0)</f>
        <v>10</v>
      </c>
      <c r="BP274" s="8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0.68908615542662455</v>
      </c>
      <c r="BQ274" s="8">
        <f>IF(W274="No","No",IF(_xlfn.XLOOKUP(E274,Groups!A:A,Groups!BD:BD)=1,(AO274*5%),EXP(0.7354*LN(C274)^0.4078)*2/IF(_xlfn.XLOOKUP(E274,Groups!A:A,Groups!BL:BL)=1,1000,100)))</f>
        <v>1.2549289045750445E-2</v>
      </c>
      <c r="BR274" s="8" t="str">
        <f>IF(BJ274="No","No",IF(_xlfn.XLOOKUP(E274,Groups!A:A,Groups!BF:BF)=1,(0.0315*C274+2.1825)*2,(0.7354*C274^0.4078)*2)/IF(_xlfn.XLOOKUP(E274,Groups!A:A,Groups!BM:BM)=1,1000,100))</f>
        <v>No</v>
      </c>
      <c r="BS274" s="8">
        <f t="shared" ref="BS274" si="538">BG274/(AO274*5%)</f>
        <v>0.20373382929108774</v>
      </c>
      <c r="BT274" s="8">
        <f t="shared" ref="BT274" si="539">IF(BP274="No","No",BH274/BP274)</f>
        <v>6289.1302666449528</v>
      </c>
      <c r="BU274" s="8">
        <f t="shared" ref="BU274" si="540">IF(W274="No","No",BI274/BQ274)</f>
        <v>497633.67700313567</v>
      </c>
      <c r="BV274" s="8" t="str">
        <f t="shared" ref="BV274" si="541">IF(BJ274="No","No",BJ274/BR274)</f>
        <v>No</v>
      </c>
      <c r="BW274" s="4">
        <v>0</v>
      </c>
      <c r="BX274" s="4">
        <v>1</v>
      </c>
    </row>
    <row r="275" spans="1:76" s="16" customFormat="1" x14ac:dyDescent="0.25">
      <c r="A275" s="26" t="s">
        <v>1609</v>
      </c>
      <c r="B275" s="6" t="s">
        <v>1703</v>
      </c>
      <c r="C275" s="7">
        <v>300</v>
      </c>
      <c r="D275" s="7" t="s">
        <v>528</v>
      </c>
      <c r="E275" s="7" t="str">
        <f>Groups!$A$97</f>
        <v>AlphaBeast</v>
      </c>
      <c r="F275" s="7">
        <f>ROUND(7.545*(C275*1000)^0.2689,0)</f>
        <v>224</v>
      </c>
      <c r="G275" s="7">
        <v>1.2</v>
      </c>
      <c r="H275" s="7">
        <v>25</v>
      </c>
      <c r="I275" s="4">
        <v>1</v>
      </c>
      <c r="J275" s="7">
        <v>1</v>
      </c>
      <c r="K275" s="7" t="s">
        <v>528</v>
      </c>
      <c r="L275" s="7">
        <f>MIN(97.8*C275^-0.094,114.4 *C275^-0.13)</f>
        <v>54.500471730671563</v>
      </c>
      <c r="M275" s="7" t="s">
        <v>627</v>
      </c>
      <c r="N275" s="4">
        <v>0</v>
      </c>
      <c r="O275" s="4">
        <v>0</v>
      </c>
      <c r="P275" s="4">
        <v>0</v>
      </c>
      <c r="Q275" s="4">
        <v>0</v>
      </c>
      <c r="R275" s="4" t="s">
        <v>40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 t="str">
        <f>IF(AT275="No","No",IF(_xlfn.XLOOKUP(E275,Groups!A:A,Groups!AM:AM)=1,MROUND(EXP(0.3582*LN(C275)-0.2221)*T275,0.05),IF(_xlfn.XLOOKUP(E275,Groups!A:A,Groups!AM:AM)=2,MROUND(EXP(0.3582*LN(C275)-0.2221)*T275,0.05),"Need a formula")))</f>
        <v>Need a formula</v>
      </c>
      <c r="W275" s="7">
        <v>20</v>
      </c>
      <c r="X275" s="7" t="s">
        <v>933</v>
      </c>
      <c r="Y275" s="4" t="s">
        <v>42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395</v>
      </c>
      <c r="AH275" s="4" t="str">
        <f>Animals!$C$27</f>
        <v>&lt;li&gt;Thrumbo&lt;/li&gt;</v>
      </c>
      <c r="AI275" s="4">
        <v>0</v>
      </c>
      <c r="AJ275" s="4">
        <v>0</v>
      </c>
      <c r="AK275" s="4">
        <v>0</v>
      </c>
      <c r="AL275" s="4">
        <v>1</v>
      </c>
      <c r="AM275" s="4">
        <v>1</v>
      </c>
      <c r="AN275" s="44" t="s">
        <v>40</v>
      </c>
      <c r="AO275" s="8">
        <f>(0.111*C275^0.65)*10000</f>
        <v>45232.625241713278</v>
      </c>
      <c r="AP275" s="8">
        <f>IFERROR(C275*_xlfn.XLOOKUP(E275,Groups!A:A,Groups!K:K),0.106*C275^0.94)</f>
        <v>22.583946935692541</v>
      </c>
      <c r="AQ275" s="8">
        <f>AP275*10000/(_xlfn.XLOOKUP(E275,Groups!A:A,Groups!J:J)*AO275)</f>
        <v>3.8406497037870437</v>
      </c>
      <c r="AR275" s="8">
        <f>EXP(0.8447*LN(C275)+3.996)</f>
        <v>6727.6760861471967</v>
      </c>
      <c r="AS275" s="8">
        <f>IF(_xlfn.XLOOKUP(E275,Groups!A:A,Groups!M:M)=1,EXP(0.7444*LN('Base stats'!C275)+6.5696),EXP(0.7927*LN('Base stats'!C275)+4.28))</f>
        <v>6643.4611730321203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IF(_xlfn.XLOOKUP(E275,Groups!A:A,Groups!N:N)="Theropod",EXP(0.6966*LN(C275)+4.158)*S275,
"No"))))))))))))))))</f>
        <v>3903.9024240592607</v>
      </c>
      <c r="AU275" s="8">
        <f>IF(_xlfn.XLOOKUP(E275,Groups!A:A,Groups!U:U)=3,AS275,IF(_xlfn.XLOOKUP(E275,Groups!A:A,Groups!U:U)=2,AR275,AT275))</f>
        <v>6727.6760861471967</v>
      </c>
      <c r="AV275" s="46">
        <f>IFERROR(AVERAGE(_xlfn.XLOOKUP(B275,Animals!B:B,Animals!N:N),_xlfn.XLOOKUP(B275,Animals!B:B,Animals!O:O)),0)</f>
        <v>0.875</v>
      </c>
      <c r="AW275" s="8">
        <f>MROUND(40*Animals!AO330*_xlfn.XLOOKUP(Animals!BB330,Leathers!$A$2:$A$99,Leathers!$B$2:$B$99,0)+(140*_xlfn.XLOOKUP(B275,Animals!B:B,Animals!AO:AO)*2),5)</f>
        <v>630</v>
      </c>
      <c r="AX275" s="8">
        <f>IFERROR(ROUND(SQRT(V275-1)*IF(_xlfn.XLOOKUP(E275,Groups!A:A,Groups!BF:BF)=0,2,1)*IF(_xlfn.XLOOKUP('Base stats'!E275,Groups!A:A,Groups!O:O)=0,1,0.1),1),0)</f>
        <v>0</v>
      </c>
      <c r="AY275" s="8">
        <f>IFERROR(ROUND(SQRT(U275-1),1),0)</f>
        <v>0</v>
      </c>
      <c r="AZ275" s="8">
        <f>IFERROR(ROUND(SQRT(W275),1),0)</f>
        <v>4.5</v>
      </c>
      <c r="BA275" s="8">
        <f>ROUND(
  EXP(0.3582*LN(C275)-0.2221) *
  (0.75 + 0.25*(C275^4/(C275^4+10^4))),
1)</f>
        <v>6.2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5.2756263864091508</v>
      </c>
      <c r="BC275" s="8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2.8909161352458521</v>
      </c>
      <c r="BD275" s="8">
        <f>(0.0392*C275^IF(OR(Y275="Herbivore",Y275="Dendrovore",Y275="OmnivoreRough"),0.889,0.966))*C275^-0.135</f>
        <v>2.8909161352458521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6.0731348911819296</v>
      </c>
      <c r="BF275" s="8">
        <f>(0.048*C275^1.01)/IF(_xlfn.XLOOKUP(E275,Groups!A:A,Groups!M:M)=1,0.25,0.8)*C275^-0.25</f>
        <v>4.5789236700969242</v>
      </c>
      <c r="BG275" s="8">
        <f>EXP(1.076*LN(AR275)-4.5397)*IF(_xlfn.XLOOKUP(E275,Groups!A:A,Groups!BC:BC)=1,1.25,IF(_xlfn.XLOOKUP(E275,Groups!A:A,Groups!BD:BD)=1,3.5,2.5))</f>
        <v>350.87802378928848</v>
      </c>
      <c r="BH275" s="8">
        <f>EXP(1.076*LN(AS275)-4.5397)*IF(_xlfn.XLOOKUP(E275,Groups!A:A,Groups!M:M)=1,0.8,IF(_xlfn.XLOOKUP(E275,Groups!A:A,Groups!BC:BC)=1,1.3,3))</f>
        <v>415.38515421333557</v>
      </c>
      <c r="BI275" s="8">
        <f>IF(W275="No","No",IF(_xlfn.XLOOKUP(E275,Groups!A:A,Groups!U:U)=1,'Base stats'!BJ275,IF(OR(_xlfn.XLOOKUP(E275,Groups!A:A,Groups!BD:BD)=1,_xlfn.XLOOKUP(E275,Groups!A:A,Groups!U:U)=2),BG275,BH275))*1.2)</f>
        <v>421.05362854714616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273.49806594442816</v>
      </c>
      <c r="BK275" s="8">
        <f>ROUNDDOWN(SQRT((2*BG275)/BD275),0)</f>
        <v>15</v>
      </c>
      <c r="BL275" s="8">
        <f>ROUNDDOWN(SQRT((2*BH275)/BE275),0)</f>
        <v>11</v>
      </c>
      <c r="BM275" s="8">
        <f>IF(W275="No","No",ROUNDDOWN(SQRT((2*BI275)/BC275),0))</f>
        <v>17</v>
      </c>
      <c r="BN275" s="8">
        <f>IF(V275="No","No",ROUNDDOWN(SQRT((2*BJ275)/BB275),0))</f>
        <v>10</v>
      </c>
      <c r="BO275" s="8">
        <f>ROUNDDOWN(SQRT((2*BH275)/BF275),0)</f>
        <v>13</v>
      </c>
      <c r="BP275" s="8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55.78769554750513</v>
      </c>
      <c r="BQ275" s="8">
        <f>IF(W275="No","No",IF(_xlfn.XLOOKUP(E275,Groups!A:A,Groups!BD:BD)=1,(AO275*5%),EXP(0.7354*LN(C275)^0.4078)*2/IF(_xlfn.XLOOKUP(E275,Groups!A:A,Groups!BL:BL)=1,1000,100)))</f>
        <v>8.9262213086682366E-3</v>
      </c>
      <c r="BR275" s="8">
        <f>IF(BJ275="No","No",IF(_xlfn.XLOOKUP(E275,Groups!A:A,Groups!BF:BF)=1,(0.0315*C275+2.1825)*2,(0.7354*C275^0.4078)*2)/IF(_xlfn.XLOOKUP(E275,Groups!A:A,Groups!BM:BM)=1,1000,100))</f>
        <v>0.15056487532717558</v>
      </c>
      <c r="BS275" s="8">
        <f>BG275/(AO275*5%)</f>
        <v>0.15514378036396204</v>
      </c>
      <c r="BT275" s="8">
        <f>IF(BP275="No","No",BH275/BP275)</f>
        <v>7.4458202680127004</v>
      </c>
      <c r="BU275" s="8">
        <f>IF(W275="No","No",BI275/BQ275)</f>
        <v>47170.422285885048</v>
      </c>
      <c r="BV275" s="8">
        <f>IF(BJ275="No","No",BJ275/BR275)</f>
        <v>1816.4798752040961</v>
      </c>
      <c r="BW275" s="4">
        <v>0</v>
      </c>
      <c r="BX275" s="4">
        <v>1</v>
      </c>
    </row>
    <row r="276" spans="1:76" s="16" customFormat="1" x14ac:dyDescent="0.25">
      <c r="A276" s="26" t="s">
        <v>1599</v>
      </c>
      <c r="B276" s="6" t="s">
        <v>1701</v>
      </c>
      <c r="C276" s="7">
        <v>300</v>
      </c>
      <c r="D276" s="7" t="s">
        <v>528</v>
      </c>
      <c r="E276" s="7" t="str">
        <f>Groups!$A$97</f>
        <v>AlphaBeast</v>
      </c>
      <c r="F276" s="7">
        <f>ROUND(7.545*(C276*1000)^0.2689,0)</f>
        <v>224</v>
      </c>
      <c r="G276" s="7">
        <v>1.2</v>
      </c>
      <c r="H276" s="7">
        <v>25</v>
      </c>
      <c r="I276" s="4">
        <v>1</v>
      </c>
      <c r="J276" s="7">
        <v>1</v>
      </c>
      <c r="K276" s="7" t="s">
        <v>528</v>
      </c>
      <c r="L276" s="7">
        <f>MIN(97.8*C276^-0.094,114.4 *C276^-0.13)</f>
        <v>54.500471730671563</v>
      </c>
      <c r="M276" s="7" t="s">
        <v>627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">
        <v>45</v>
      </c>
      <c r="V276" s="7" t="str">
        <f>IF(AT276="No","No",IF(_xlfn.XLOOKUP(E276,Groups!A:A,Groups!AM:AM)=1,MROUND(EXP(0.3582*LN(C276)-0.2221)*T276,0.05),IF(_xlfn.XLOOKUP(E276,Groups!A:A,Groups!AM:AM)=2,MROUND(EXP(0.3582*LN(C276)-0.2221)*T276,0.05),"Need a formula")))</f>
        <v>Need a formula</v>
      </c>
      <c r="W276" s="7">
        <v>20</v>
      </c>
      <c r="X276" s="7" t="s">
        <v>933</v>
      </c>
      <c r="Y276" s="4" t="s">
        <v>42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45</v>
      </c>
      <c r="AG276" s="28" t="s">
        <v>395</v>
      </c>
      <c r="AH276" s="4" t="str">
        <f>Animals!$C$27</f>
        <v>&lt;li&gt;Thrumbo&lt;/li&gt;</v>
      </c>
      <c r="AI276" s="4">
        <v>0</v>
      </c>
      <c r="AJ276" s="4">
        <v>0</v>
      </c>
      <c r="AK276" s="4">
        <v>0</v>
      </c>
      <c r="AL276" s="4">
        <v>1</v>
      </c>
      <c r="AM276" s="4">
        <v>1</v>
      </c>
      <c r="AN276" s="44" t="s">
        <v>40</v>
      </c>
      <c r="AO276" s="8">
        <f t="shared" ref="AO276" si="542">(0.111*C276^0.65)*10000</f>
        <v>45232.625241713278</v>
      </c>
      <c r="AP276" s="8">
        <f>IFERROR(C276*_xlfn.XLOOKUP(E276,Groups!A:A,Groups!K:K),0.106*C276^0.94)</f>
        <v>22.583946935692541</v>
      </c>
      <c r="AQ276" s="8">
        <f>AP276*10000/(_xlfn.XLOOKUP(E276,Groups!A:A,Groups!J:J)*AO276)</f>
        <v>3.8406497037870437</v>
      </c>
      <c r="AR276" s="8">
        <f t="shared" ref="AR276" si="543">EXP(0.8447*LN(C276)+3.996)</f>
        <v>6727.6760861471967</v>
      </c>
      <c r="AS276" s="8">
        <f>IF(_xlfn.XLOOKUP(E276,Groups!A:A,Groups!M:M)=1,EXP(0.7444*LN('Base stats'!C276)+6.5696),EXP(0.7927*LN('Base stats'!C276)+4.28))</f>
        <v>6643.4611730321203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IF(_xlfn.XLOOKUP(E276,Groups!A:A,Groups!N:N)="Theropod",EXP(0.6966*LN(C276)+4.158)*S276,
"No"))))))))))))))))</f>
        <v>3903.9024240592607</v>
      </c>
      <c r="AU276" s="8">
        <f>IF(_xlfn.XLOOKUP(E276,Groups!A:A,Groups!U:U)=3,AS276,IF(_xlfn.XLOOKUP(E276,Groups!A:A,Groups!U:U)=2,AR276,AT276))</f>
        <v>6727.6760861471967</v>
      </c>
      <c r="AV276" s="46">
        <f>IFERROR(AVERAGE(_xlfn.XLOOKUP(B276,Animals!B:B,Animals!N:N),_xlfn.XLOOKUP(B276,Animals!B:B,Animals!O:O)),0)</f>
        <v>0.875</v>
      </c>
      <c r="AW276" s="8">
        <f>MROUND(40*Animals!AO325*_xlfn.XLOOKUP(Animals!BB325,Leathers!$A$2:$A$99,Leathers!$B$2:$B$99,0)+(140*_xlfn.XLOOKUP(B276,Animals!B:B,Animals!AO:AO)*2),5)</f>
        <v>1115</v>
      </c>
      <c r="AX276" s="8">
        <f>IFERROR(ROUND(SQRT(V276-1)*IF(_xlfn.XLOOKUP(E276,Groups!A:A,Groups!BF:BF)=0,2,1)*IF(_xlfn.XLOOKUP('Base stats'!E276,Groups!A:A,Groups!O:O)=0,1,0.1),1),0)</f>
        <v>0</v>
      </c>
      <c r="AY276" s="8">
        <f t="shared" ref="AY276" si="544">IFERROR(ROUND(SQRT(U276-1),1),0)</f>
        <v>0</v>
      </c>
      <c r="AZ276" s="8">
        <f t="shared" ref="AZ276" si="545">IFERROR(ROUND(SQRT(W276),1),0)</f>
        <v>4.5</v>
      </c>
      <c r="BA276" s="8">
        <f t="shared" ref="BA276" si="546">ROUND(
  EXP(0.3582*LN(C276)-0.2221) *
  (0.75 + 0.25*(C276^4/(C276^4+10^4))),
1)</f>
        <v>6.2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5.2756263864091508</v>
      </c>
      <c r="BC276" s="8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2.8909161352458521</v>
      </c>
      <c r="BD276" s="8">
        <f t="shared" ref="BD276" si="547">(0.0392*C276^IF(OR(Y276="Herbivore",Y276="Dendrovore",Y276="OmnivoreRough"),0.889,0.966))*C276^-0.135</f>
        <v>2.8909161352458521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6.0731348911819296</v>
      </c>
      <c r="BF276" s="8">
        <f>(0.048*C276^1.01)/IF(_xlfn.XLOOKUP(E276,Groups!A:A,Groups!M:M)=1,0.25,0.8)*C276^-0.25</f>
        <v>4.5789236700969242</v>
      </c>
      <c r="BG276" s="8">
        <f>EXP(1.076*LN(AR276)-4.5397)*IF(_xlfn.XLOOKUP(E276,Groups!A:A,Groups!BC:BC)=1,1.25,IF(_xlfn.XLOOKUP(E276,Groups!A:A,Groups!BD:BD)=1,3.5,2.5))</f>
        <v>350.87802378928848</v>
      </c>
      <c r="BH276" s="8">
        <f>EXP(1.076*LN(AS276)-4.5397)*IF(_xlfn.XLOOKUP(E276,Groups!A:A,Groups!M:M)=1,0.8,IF(_xlfn.XLOOKUP(E276,Groups!A:A,Groups!BC:BC)=1,1.3,3))</f>
        <v>415.38515421333557</v>
      </c>
      <c r="BI276" s="8">
        <f>IF(W276="No","No",IF(_xlfn.XLOOKUP(E276,Groups!A:A,Groups!U:U)=1,'Base stats'!BJ276,IF(OR(_xlfn.XLOOKUP(E276,Groups!A:A,Groups!BD:BD)=1,_xlfn.XLOOKUP(E276,Groups!A:A,Groups!U:U)=2),BG276,BH276))*1.2)</f>
        <v>421.05362854714616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273.49806594442816</v>
      </c>
      <c r="BK276" s="8">
        <f t="shared" ref="BK276" si="548">ROUNDDOWN(SQRT((2*BG276)/BD276),0)</f>
        <v>15</v>
      </c>
      <c r="BL276" s="8">
        <f t="shared" ref="BL276" si="549">ROUNDDOWN(SQRT((2*BH276)/BE276),0)</f>
        <v>11</v>
      </c>
      <c r="BM276" s="8">
        <f t="shared" ref="BM276" si="550">IF(W276="No","No",ROUNDDOWN(SQRT((2*BI276)/BC276),0))</f>
        <v>17</v>
      </c>
      <c r="BN276" s="8">
        <f t="shared" ref="BN276" si="551">IF(V276="No","No",ROUNDDOWN(SQRT((2*BJ276)/BB276),0))</f>
        <v>10</v>
      </c>
      <c r="BO276" s="8">
        <f t="shared" ref="BO276" si="552">ROUNDDOWN(SQRT((2*BH276)/BF276),0)</f>
        <v>13</v>
      </c>
      <c r="BP276" s="8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55.78769554750513</v>
      </c>
      <c r="BQ276" s="8">
        <f>IF(W276="No","No",IF(_xlfn.XLOOKUP(E276,Groups!A:A,Groups!BD:BD)=1,(AO276*5%),EXP(0.7354*LN(C276)^0.4078)*2/IF(_xlfn.XLOOKUP(E276,Groups!A:A,Groups!BL:BL)=1,1000,100)))</f>
        <v>8.9262213086682366E-3</v>
      </c>
      <c r="BR276" s="8">
        <f>IF(BJ276="No","No",IF(_xlfn.XLOOKUP(E276,Groups!A:A,Groups!BF:BF)=1,(0.0315*C276+2.1825)*2,(0.7354*C276^0.4078)*2)/IF(_xlfn.XLOOKUP(E276,Groups!A:A,Groups!BM:BM)=1,1000,100))</f>
        <v>0.15056487532717558</v>
      </c>
      <c r="BS276" s="8">
        <f t="shared" ref="BS276" si="553">BG276/(AO276*5%)</f>
        <v>0.15514378036396204</v>
      </c>
      <c r="BT276" s="8">
        <f t="shared" ref="BT276" si="554">IF(BP276="No","No",BH276/BP276)</f>
        <v>7.4458202680127004</v>
      </c>
      <c r="BU276" s="8">
        <f t="shared" ref="BU276" si="555">IF(W276="No","No",BI276/BQ276)</f>
        <v>47170.422285885048</v>
      </c>
      <c r="BV276" s="8">
        <f t="shared" ref="BV276" si="556">IF(BJ276="No","No",BJ276/BR276)</f>
        <v>1816.4798752040961</v>
      </c>
      <c r="BW276" s="4">
        <v>0</v>
      </c>
      <c r="BX276" s="4">
        <v>1</v>
      </c>
    </row>
    <row r="277" spans="1:76" s="16" customFormat="1" x14ac:dyDescent="0.25">
      <c r="A277" s="26" t="s">
        <v>1415</v>
      </c>
      <c r="B277" s="6" t="s">
        <v>1857</v>
      </c>
      <c r="C277" s="7">
        <v>300</v>
      </c>
      <c r="D277" s="7" t="s">
        <v>528</v>
      </c>
      <c r="E277" s="7" t="str">
        <f>Groups!$A$97</f>
        <v>AlphaBeast</v>
      </c>
      <c r="F277" s="7">
        <f>ROUND(7.545*(C277*1000)^0.2689,0)</f>
        <v>224</v>
      </c>
      <c r="G277" s="7">
        <v>1.2</v>
      </c>
      <c r="H277" s="7">
        <v>25</v>
      </c>
      <c r="I277" s="4">
        <v>1</v>
      </c>
      <c r="J277" s="7">
        <v>1</v>
      </c>
      <c r="K277" s="7" t="s">
        <v>528</v>
      </c>
      <c r="L277" s="7">
        <f>MIN(97.8*C277^-0.094,114.4 *C277^-0.13)</f>
        <v>54.500471730671563</v>
      </c>
      <c r="M277" s="7" t="s">
        <v>627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 t="str">
        <f>IF(AT277="No","No",IF(_xlfn.XLOOKUP(E277,Groups!A:A,Groups!AM:AM)=1,MROUND(EXP(0.3582*LN(C277)-0.2221)*T277,0.05),IF(_xlfn.XLOOKUP(E277,Groups!A:A,Groups!AM:AM)=2,MROUND(EXP(0.3582*LN(C277)-0.2221)*T277,0.05),"Need a formula")))</f>
        <v>Need a formula</v>
      </c>
      <c r="W277" s="7">
        <v>20</v>
      </c>
      <c r="X277" s="7" t="s">
        <v>933</v>
      </c>
      <c r="Y277" s="4" t="s">
        <v>42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395</v>
      </c>
      <c r="AH277" s="4" t="str">
        <f>Animals!$C$27</f>
        <v>&lt;li&gt;Thrumbo&lt;/li&gt;</v>
      </c>
      <c r="AI277" s="4">
        <v>0</v>
      </c>
      <c r="AJ277" s="4">
        <v>0</v>
      </c>
      <c r="AK277" s="4">
        <v>0</v>
      </c>
      <c r="AL277" s="4">
        <v>1</v>
      </c>
      <c r="AM277" s="4">
        <v>1</v>
      </c>
      <c r="AN277" s="44" t="s">
        <v>40</v>
      </c>
      <c r="AO277" s="8">
        <f t="shared" ref="AO277:AO289" si="557">(0.111*C277^0.65)*10000</f>
        <v>45232.625241713278</v>
      </c>
      <c r="AP277" s="8">
        <f>IFERROR(C277*_xlfn.XLOOKUP(E277,Groups!A:A,Groups!K:K),0.106*C277^0.94)</f>
        <v>22.583946935692541</v>
      </c>
      <c r="AQ277" s="8">
        <f>AP277*10000/(_xlfn.XLOOKUP(E277,Groups!A:A,Groups!J:J)*AO277)</f>
        <v>3.8406497037870437</v>
      </c>
      <c r="AR277" s="8">
        <f t="shared" ref="AR277:AR289" si="558">EXP(0.8447*LN(C277)+3.996)</f>
        <v>6727.6760861471967</v>
      </c>
      <c r="AS277" s="8">
        <f>IF(_xlfn.XLOOKUP(E277,Groups!A:A,Groups!M:M)=1,EXP(0.7444*LN('Base stats'!C277)+6.5696),EXP(0.7927*LN('Base stats'!C277)+4.28))</f>
        <v>6643.4611730321203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IF(_xlfn.XLOOKUP(E277,Groups!A:A,Groups!N:N)="Theropod",EXP(0.6966*LN(C277)+4.158)*S277,
"No"))))))))))))))))</f>
        <v>3903.9024240592607</v>
      </c>
      <c r="AU277" s="8">
        <f>IF(_xlfn.XLOOKUP(E277,Groups!A:A,Groups!U:U)=3,AS277,IF(_xlfn.XLOOKUP(E277,Groups!A:A,Groups!U:U)=2,AR277,AT277))</f>
        <v>6727.6760861471967</v>
      </c>
      <c r="AV277" s="46">
        <f>IFERROR(AVERAGE(_xlfn.XLOOKUP(B277,Animals!B:B,Animals!N:N),_xlfn.XLOOKUP(B277,Animals!B:B,Animals!O:O)),0)</f>
        <v>0.875</v>
      </c>
      <c r="AW277" s="8">
        <f>MROUND(40*Animals!AO234*_xlfn.XLOOKUP(Animals!BB234,Leathers!$A$2:$A$99,Leathers!$B$2:$B$99,0)+(140*_xlfn.XLOOKUP(B277,Animals!B:B,Animals!AO:AO)*2),5)</f>
        <v>630</v>
      </c>
      <c r="AX277" s="8">
        <f>IFERROR(ROUND(SQRT(V277-1)*IF(_xlfn.XLOOKUP(E277,Groups!A:A,Groups!BF:BF)=0,2,1)*IF(_xlfn.XLOOKUP('Base stats'!E277,Groups!A:A,Groups!O:O)=0,1,0.1),1),0)</f>
        <v>0</v>
      </c>
      <c r="AY277" s="8">
        <f t="shared" ref="AY277:AY289" si="559">IFERROR(ROUND(SQRT(U277-1),1),0)</f>
        <v>0</v>
      </c>
      <c r="AZ277" s="8">
        <f t="shared" ref="AZ277:AZ289" si="560">IFERROR(ROUND(SQRT(W277),1),0)</f>
        <v>4.5</v>
      </c>
      <c r="BA277" s="8">
        <f t="shared" ref="BA277:BA289" si="561">ROUND(
  EXP(0.3582*LN(C277)-0.2221) *
  (0.75 + 0.25*(C277^4/(C277^4+10^4))),
1)</f>
        <v>6.2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5.2756263864091508</v>
      </c>
      <c r="BC277" s="8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2.8909161352458521</v>
      </c>
      <c r="BD277" s="8">
        <f t="shared" ref="BD277:BD289" si="562">(0.0392*C277^IF(OR(Y277="Herbivore",Y277="Dendrovore",Y277="OmnivoreRough"),0.889,0.966))*C277^-0.135</f>
        <v>2.8909161352458521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6.0731348911819296</v>
      </c>
      <c r="BF277" s="8">
        <f>(0.048*C277^1.01)/IF(_xlfn.XLOOKUP(E277,Groups!A:A,Groups!M:M)=1,0.25,0.8)*C277^-0.25</f>
        <v>4.5789236700969242</v>
      </c>
      <c r="BG277" s="8">
        <f>EXP(1.076*LN(AR277)-4.5397)*IF(_xlfn.XLOOKUP(E277,Groups!A:A,Groups!BC:BC)=1,1.25,IF(_xlfn.XLOOKUP(E277,Groups!A:A,Groups!BD:BD)=1,3.5,2.5))</f>
        <v>350.87802378928848</v>
      </c>
      <c r="BH277" s="8">
        <f>EXP(1.076*LN(AS277)-4.5397)*IF(_xlfn.XLOOKUP(E277,Groups!A:A,Groups!M:M)=1,0.8,IF(_xlfn.XLOOKUP(E277,Groups!A:A,Groups!BC:BC)=1,1.3,3))</f>
        <v>415.38515421333557</v>
      </c>
      <c r="BI277" s="8">
        <f>IF(W277="No","No",IF(_xlfn.XLOOKUP(E277,Groups!A:A,Groups!U:U)=1,'Base stats'!BJ277,IF(OR(_xlfn.XLOOKUP(E277,Groups!A:A,Groups!BD:BD)=1,_xlfn.XLOOKUP(E277,Groups!A:A,Groups!U:U)=2),BG277,BH277))*1.2)</f>
        <v>421.05362854714616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273.49806594442816</v>
      </c>
      <c r="BK277" s="8">
        <f t="shared" ref="BK277:BK289" si="563">ROUNDDOWN(SQRT((2*BG277)/BD277),0)</f>
        <v>15</v>
      </c>
      <c r="BL277" s="8">
        <f t="shared" ref="BL277:BL289" si="564">ROUNDDOWN(SQRT((2*BH277)/BE277),0)</f>
        <v>11</v>
      </c>
      <c r="BM277" s="8">
        <f t="shared" ref="BM277:BM289" si="565">IF(W277="No","No",ROUNDDOWN(SQRT((2*BI277)/BC277),0))</f>
        <v>17</v>
      </c>
      <c r="BN277" s="8">
        <f t="shared" ref="BN277:BN289" si="566">IF(V277="No","No",ROUNDDOWN(SQRT((2*BJ277)/BB277),0))</f>
        <v>10</v>
      </c>
      <c r="BO277" s="8">
        <f t="shared" ref="BO277:BO289" si="567">ROUNDDOWN(SQRT((2*BH277)/BF277),0)</f>
        <v>13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55.78769554750513</v>
      </c>
      <c r="BQ277" s="8">
        <f>IF(W277="No","No",IF(_xlfn.XLOOKUP(E277,Groups!A:A,Groups!BD:BD)=1,(AO277*5%),EXP(0.7354*LN(C277)^0.4078)*2/IF(_xlfn.XLOOKUP(E277,Groups!A:A,Groups!BL:BL)=1,1000,100)))</f>
        <v>8.9262213086682366E-3</v>
      </c>
      <c r="BR277" s="8">
        <f>IF(BJ277="No","No",IF(_xlfn.XLOOKUP(E277,Groups!A:A,Groups!BF:BF)=1,(0.0315*C277+2.1825)*2,(0.7354*C277^0.4078)*2)/IF(_xlfn.XLOOKUP(E277,Groups!A:A,Groups!BM:BM)=1,1000,100))</f>
        <v>0.15056487532717558</v>
      </c>
      <c r="BS277" s="8">
        <f t="shared" ref="BS277:BS289" si="568">BG277/(AO277*5%)</f>
        <v>0.15514378036396204</v>
      </c>
      <c r="BT277" s="8">
        <f t="shared" ref="BT277:BT289" si="569">IF(BP277="No","No",BH277/BP277)</f>
        <v>7.4458202680127004</v>
      </c>
      <c r="BU277" s="8">
        <f t="shared" ref="BU277:BU289" si="570">IF(W277="No","No",BI277/BQ277)</f>
        <v>47170.422285885048</v>
      </c>
      <c r="BV277" s="8">
        <f t="shared" ref="BV277:BV289" si="571">IF(BJ277="No","No",BJ277/BR277)</f>
        <v>1816.4798752040961</v>
      </c>
      <c r="BW277" s="4">
        <v>0</v>
      </c>
      <c r="BX277" s="4">
        <v>1</v>
      </c>
    </row>
    <row r="278" spans="1:76" s="16" customFormat="1" x14ac:dyDescent="0.25">
      <c r="A278" s="26" t="s">
        <v>1363</v>
      </c>
      <c r="B278" s="6" t="s">
        <v>1617</v>
      </c>
      <c r="C278" s="7">
        <v>350</v>
      </c>
      <c r="D278" s="7" t="s">
        <v>528</v>
      </c>
      <c r="E278" s="7" t="str">
        <f>Groups!$A$18</f>
        <v>Catlike</v>
      </c>
      <c r="F278" s="7">
        <v>109</v>
      </c>
      <c r="G278" s="7">
        <f>1095/365</f>
        <v>3</v>
      </c>
      <c r="H278" s="7">
        <v>28</v>
      </c>
      <c r="I278" s="4">
        <v>0</v>
      </c>
      <c r="J278" s="7">
        <v>3</v>
      </c>
      <c r="K278" s="7" t="s">
        <v>528</v>
      </c>
      <c r="L278" s="7">
        <v>59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1.0893763961400491</v>
      </c>
      <c r="T278" s="7">
        <f>_xlfn.XLOOKUP(B278,[1]TeethAdjusters!$A:$A,[1]TeethAdjusters!$B:$B,1)</f>
        <v>1.1021218846899565</v>
      </c>
      <c r="U278" s="7">
        <v>10.5</v>
      </c>
      <c r="V278" s="7">
        <f>IF(AT278="No","No",IF(_xlfn.XLOOKUP(E278,Groups!A:A,Groups!AM:AM)=1,MROUND(EXP(0.3582*LN(C278)-0.2221)*T278,0.05),IF(_xlfn.XLOOKUP(E278,Groups!A:A,Groups!AM:AM)=2,MROUND(EXP(0.3582*LN(C278)-0.2221)*T278,0.05),"Need a formula")))</f>
        <v>7.2</v>
      </c>
      <c r="W278" s="7" t="s">
        <v>45</v>
      </c>
      <c r="X278" s="7" t="s">
        <v>933</v>
      </c>
      <c r="Y278" s="4" t="s">
        <v>56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28" t="s">
        <v>1749</v>
      </c>
      <c r="AH278" s="4" t="s">
        <v>45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557"/>
        <v>49999.678016554004</v>
      </c>
      <c r="AP278" s="8">
        <f>IFERROR(C278*_xlfn.XLOOKUP(E278,Groups!A:A,Groups!K:K),0.106*C278^0.94)</f>
        <v>43.662500000000001</v>
      </c>
      <c r="AQ278" s="8">
        <f>AP278*10000/(_xlfn.XLOOKUP(E278,Groups!A:A,Groups!J:J)*AO278)</f>
        <v>8.0115194814412618</v>
      </c>
      <c r="AR278" s="8">
        <f t="shared" si="558"/>
        <v>7663.2858706487614</v>
      </c>
      <c r="AS278" s="8">
        <f>IF(_xlfn.XLOOKUP(E278,Groups!A:A,Groups!M:M)=1,EXP(0.7444*LN('Base stats'!C278)+6.5696),EXP(0.7927*LN('Base stats'!C278)+4.28))</f>
        <v>7506.9430520091801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IF(_xlfn.XLOOKUP(E278,Groups!A:A,Groups!N:N)="Theropod",EXP(0.6966*LN(C278)+4.158)*S278,
"No"))))))))))))))))</f>
        <v>11935.61888371366</v>
      </c>
      <c r="AU278" s="8">
        <f>IF(_xlfn.XLOOKUP(E278,Groups!A:A,Groups!U:U)=3,AS278,IF(_xlfn.XLOOKUP(E278,Groups!A:A,Groups!U:U)=2,AR278,AT278))</f>
        <v>11935.61888371366</v>
      </c>
      <c r="AV278" s="46">
        <f>IFERROR(AVERAGE(_xlfn.XLOOKUP(B278,Animals!B:B,Animals!N:N),_xlfn.XLOOKUP(B278,Animals!B:B,Animals!O:O)),0)</f>
        <v>0</v>
      </c>
      <c r="AW278" s="8">
        <f>MROUND(40*Animals!AO207*_xlfn.XLOOKUP(Animals!BB207,Leathers!$A$2:$A$99,Leathers!$B$2:$B$99,0)+(140*_xlfn.XLOOKUP(B278,Animals!B:B,Animals!AO:AO)*2),5)</f>
        <v>800</v>
      </c>
      <c r="AX278" s="8">
        <f>IFERROR(ROUND(SQRT(V278-1)*IF(_xlfn.XLOOKUP(E278,Groups!A:A,Groups!BF:BF)=0,2,1)*IF(_xlfn.XLOOKUP('Base stats'!E278,Groups!A:A,Groups!O:O)=0,1,0.1),1),0)</f>
        <v>5</v>
      </c>
      <c r="AY278" s="8">
        <f t="shared" si="559"/>
        <v>3.1</v>
      </c>
      <c r="AZ278" s="8">
        <f t="shared" si="560"/>
        <v>0</v>
      </c>
      <c r="BA278" s="8">
        <f t="shared" si="561"/>
        <v>6.5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12.190522895898207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562"/>
        <v>5.0980795968990691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6.8490671365591904</v>
      </c>
      <c r="BF278" s="8">
        <f>(0.048*C278^1.01)/IF(_xlfn.XLOOKUP(E278,Groups!A:A,Groups!M:M)=1,0.25,0.8)*C278^-0.25</f>
        <v>5.1480524630900852</v>
      </c>
      <c r="BG278" s="8">
        <f>EXP(1.076*LN(AR278)-4.5397)*IF(_xlfn.XLOOKUP(E278,Groups!A:A,Groups!BC:BC)=1,1.25,IF(_xlfn.XLOOKUP(E278,Groups!A:A,Groups!BD:BD)=1,3.5,2.5))</f>
        <v>403.64903444222597</v>
      </c>
      <c r="BH278" s="8">
        <f>EXP(1.076*LN(AS278)-4.5397)*IF(_xlfn.XLOOKUP(E278,Groups!A:A,Groups!M:M)=1,0.8,IF(_xlfn.XLOOKUP(E278,Groups!A:A,Groups!BC:BC)=1,1.3,3))</f>
        <v>473.75402609099581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975.32592161677258</v>
      </c>
      <c r="BK278" s="8">
        <f t="shared" si="563"/>
        <v>12</v>
      </c>
      <c r="BL278" s="8">
        <f t="shared" si="564"/>
        <v>11</v>
      </c>
      <c r="BM278" s="8" t="str">
        <f t="shared" si="565"/>
        <v>No</v>
      </c>
      <c r="BN278" s="8">
        <f t="shared" si="566"/>
        <v>12</v>
      </c>
      <c r="BO278" s="8">
        <f t="shared" si="567"/>
        <v>13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0.16033360949166103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0.16033360949166103</v>
      </c>
      <c r="BS278" s="8">
        <f t="shared" si="568"/>
        <v>0.16146065353004271</v>
      </c>
      <c r="BT278" s="8">
        <f t="shared" si="569"/>
        <v>2954.8017261822811</v>
      </c>
      <c r="BU278" s="8" t="str">
        <f t="shared" si="570"/>
        <v>No</v>
      </c>
      <c r="BV278" s="8">
        <f t="shared" si="571"/>
        <v>6083.1033786930329</v>
      </c>
      <c r="BW278" s="4">
        <v>0</v>
      </c>
      <c r="BX278" s="4">
        <v>1</v>
      </c>
    </row>
    <row r="279" spans="1:76" s="16" customFormat="1" x14ac:dyDescent="0.25">
      <c r="A279" s="26" t="s">
        <v>1567</v>
      </c>
      <c r="B279" s="6" t="s">
        <v>1690</v>
      </c>
      <c r="C279" s="7">
        <v>350</v>
      </c>
      <c r="D279" s="7" t="s">
        <v>528</v>
      </c>
      <c r="E279" s="7" t="str">
        <f>Groups!$A$18</f>
        <v>Catlike</v>
      </c>
      <c r="F279" s="7">
        <v>109</v>
      </c>
      <c r="G279" s="7">
        <f>1095/365</f>
        <v>3</v>
      </c>
      <c r="H279" s="7">
        <v>28</v>
      </c>
      <c r="I279" s="4">
        <v>1</v>
      </c>
      <c r="J279" s="7">
        <v>3</v>
      </c>
      <c r="K279" s="7" t="s">
        <v>528</v>
      </c>
      <c r="L279" s="7">
        <v>59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1.0893763961400491</v>
      </c>
      <c r="T279" s="7">
        <f>_xlfn.XLOOKUP(B279,[1]TeethAdjusters!$A:$A,[1]TeethAdjusters!$B:$B,1)</f>
        <v>1.1021218846899565</v>
      </c>
      <c r="U279" s="7">
        <v>10.5</v>
      </c>
      <c r="V279" s="7">
        <f>IF(AT279="No","No",IF(_xlfn.XLOOKUP(E279,Groups!A:A,Groups!AM:AM)=1,MROUND(EXP(0.3582*LN(C279)-0.2221)*T279,0.05),IF(_xlfn.XLOOKUP(E279,Groups!A:A,Groups!AM:AM)=2,MROUND(EXP(0.3582*LN(C279)-0.2221)*T279,0.05),"Need a formula")))</f>
        <v>7.2</v>
      </c>
      <c r="W279" s="7" t="s">
        <v>45</v>
      </c>
      <c r="X279" s="7" t="s">
        <v>933</v>
      </c>
      <c r="Y279" s="4" t="s">
        <v>56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45</v>
      </c>
      <c r="AG279" s="28" t="s">
        <v>1750</v>
      </c>
      <c r="AH279" s="4" t="str">
        <f>Animals!$C$223</f>
        <v>&lt;li&gt;AA_ArcticLion&lt;/li&gt;</v>
      </c>
      <c r="AI279" s="4">
        <v>0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557"/>
        <v>49999.678016554004</v>
      </c>
      <c r="AP279" s="8">
        <f>IFERROR(C279*_xlfn.XLOOKUP(E279,Groups!A:A,Groups!K:K),0.106*C279^0.94)</f>
        <v>43.662500000000001</v>
      </c>
      <c r="AQ279" s="8">
        <f>AP279*10000/(_xlfn.XLOOKUP(E279,Groups!A:A,Groups!J:J)*AO279)</f>
        <v>8.0115194814412618</v>
      </c>
      <c r="AR279" s="8">
        <f t="shared" si="558"/>
        <v>7663.2858706487614</v>
      </c>
      <c r="AS279" s="8">
        <f>IF(_xlfn.XLOOKUP(E279,Groups!A:A,Groups!M:M)=1,EXP(0.7444*LN('Base stats'!C279)+6.5696),EXP(0.7927*LN('Base stats'!C279)+4.28))</f>
        <v>7506.9430520091801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IF(_xlfn.XLOOKUP(E279,Groups!A:A,Groups!N:N)="Theropod",EXP(0.6966*LN(C279)+4.158)*S279,
"No"))))))))))))))))</f>
        <v>11935.61888371366</v>
      </c>
      <c r="AU279" s="8">
        <f>IF(_xlfn.XLOOKUP(E279,Groups!A:A,Groups!U:U)=3,AS279,IF(_xlfn.XLOOKUP(E279,Groups!A:A,Groups!U:U)=2,AR279,AT279))</f>
        <v>11935.61888371366</v>
      </c>
      <c r="AV279" s="46">
        <f>IFERROR(AVERAGE(_xlfn.XLOOKUP(B279,Animals!B:B,Animals!N:N),_xlfn.XLOOKUP(B279,Animals!B:B,Animals!O:O)),0)</f>
        <v>0</v>
      </c>
      <c r="AW279" s="8">
        <f>MROUND(40*Animals!AO308*_xlfn.XLOOKUP(Animals!BB308,Leathers!$A$2:$A$99,Leathers!$B$2:$B$99,0)+(140*_xlfn.XLOOKUP(B279,Animals!B:B,Animals!AO:AO)*2),5)</f>
        <v>700</v>
      </c>
      <c r="AX279" s="8">
        <f>IFERROR(ROUND(SQRT(V279-1)*IF(_xlfn.XLOOKUP(E279,Groups!A:A,Groups!BF:BF)=0,2,1)*IF(_xlfn.XLOOKUP('Base stats'!E279,Groups!A:A,Groups!O:O)=0,1,0.1),1),0)</f>
        <v>5</v>
      </c>
      <c r="AY279" s="8">
        <f t="shared" si="559"/>
        <v>3.1</v>
      </c>
      <c r="AZ279" s="8">
        <f t="shared" si="560"/>
        <v>0</v>
      </c>
      <c r="BA279" s="8">
        <f t="shared" si="561"/>
        <v>6.5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12.190522895898207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562"/>
        <v>5.0980795968990691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6.8490671365591904</v>
      </c>
      <c r="BF279" s="8">
        <f>(0.048*C279^1.01)/IF(_xlfn.XLOOKUP(E279,Groups!A:A,Groups!M:M)=1,0.25,0.8)*C279^-0.25</f>
        <v>5.1480524630900852</v>
      </c>
      <c r="BG279" s="8">
        <f>EXP(1.076*LN(AR279)-4.5397)*IF(_xlfn.XLOOKUP(E279,Groups!A:A,Groups!BC:BC)=1,1.25,IF(_xlfn.XLOOKUP(E279,Groups!A:A,Groups!BD:BD)=1,3.5,2.5))</f>
        <v>403.64903444222597</v>
      </c>
      <c r="BH279" s="8">
        <f>EXP(1.076*LN(AS279)-4.5397)*IF(_xlfn.XLOOKUP(E279,Groups!A:A,Groups!M:M)=1,0.8,IF(_xlfn.XLOOKUP(E279,Groups!A:A,Groups!BC:BC)=1,1.3,3))</f>
        <v>473.75402609099581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975.32592161677258</v>
      </c>
      <c r="BK279" s="8">
        <f t="shared" si="563"/>
        <v>12</v>
      </c>
      <c r="BL279" s="8">
        <f t="shared" si="564"/>
        <v>11</v>
      </c>
      <c r="BM279" s="8" t="str">
        <f t="shared" si="565"/>
        <v>No</v>
      </c>
      <c r="BN279" s="8">
        <f t="shared" si="566"/>
        <v>12</v>
      </c>
      <c r="BO279" s="8">
        <f t="shared" si="567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0.16033360949166103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0.16033360949166103</v>
      </c>
      <c r="BS279" s="8">
        <f t="shared" si="568"/>
        <v>0.16146065353004271</v>
      </c>
      <c r="BT279" s="8">
        <f t="shared" si="569"/>
        <v>2954.8017261822811</v>
      </c>
      <c r="BU279" s="8" t="str">
        <f t="shared" si="570"/>
        <v>No</v>
      </c>
      <c r="BV279" s="8">
        <f t="shared" si="571"/>
        <v>6083.1033786930329</v>
      </c>
      <c r="BW279" s="4">
        <v>0</v>
      </c>
      <c r="BX279" s="4">
        <v>1</v>
      </c>
    </row>
    <row r="280" spans="1:76" s="16" customFormat="1" x14ac:dyDescent="0.25">
      <c r="A280" s="26" t="s">
        <v>1475</v>
      </c>
      <c r="B280" s="6" t="s">
        <v>1855</v>
      </c>
      <c r="C280" s="7">
        <v>225</v>
      </c>
      <c r="D280" s="7" t="s">
        <v>528</v>
      </c>
      <c r="E280" s="7" t="str">
        <f>Groups!$A$18</f>
        <v>Catlike</v>
      </c>
      <c r="F280" s="7">
        <v>99</v>
      </c>
      <c r="G280" s="7">
        <f>AVERAGE(30/12,3)</f>
        <v>2.75</v>
      </c>
      <c r="H280" s="7">
        <v>28</v>
      </c>
      <c r="I280" s="4">
        <v>1</v>
      </c>
      <c r="J280" s="7">
        <v>2</v>
      </c>
      <c r="K280" s="7" t="s">
        <v>528</v>
      </c>
      <c r="L280" s="7">
        <f>MIN(37.5*C280^0.089,79.3*C280^-0.072)</f>
        <v>53.692799214412197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 t="s">
        <v>40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>
        <v>9</v>
      </c>
      <c r="V280" s="7">
        <f>IF(AT280="No","No",IF(_xlfn.XLOOKUP(E280,Groups!A:A,Groups!AM:AM)=1,MROUND(EXP(0.3582*LN(C280)-0.2221)*T280,0.05),IF(_xlfn.XLOOKUP(E280,Groups!A:A,Groups!AM:AM)=2,MROUND(EXP(0.3582*LN(C280)-0.2221)*T280,0.05),"Need a formula")))</f>
        <v>5.5500000000000007</v>
      </c>
      <c r="W280" s="7" t="s">
        <v>45</v>
      </c>
      <c r="X280" s="7" t="s">
        <v>933</v>
      </c>
      <c r="Y280" s="4" t="s">
        <v>56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45</v>
      </c>
      <c r="AF280" s="4" t="s">
        <v>45</v>
      </c>
      <c r="AG280" s="28" t="s">
        <v>389</v>
      </c>
      <c r="AH280" s="4" t="str">
        <f>Animals!$C$19</f>
        <v>&lt;li&gt;Lynx&lt;/li&gt;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557"/>
        <v>37518.167291030215</v>
      </c>
      <c r="AP280" s="8">
        <f>IFERROR(C280*_xlfn.XLOOKUP(E280,Groups!A:A,Groups!K:K),0.106*C280^0.94)</f>
        <v>28.068750000000001</v>
      </c>
      <c r="AQ280" s="8">
        <f>AP280*10000/(_xlfn.XLOOKUP(E280,Groups!A:A,Groups!J:J)*AO280)</f>
        <v>6.863647306980095</v>
      </c>
      <c r="AR280" s="8">
        <f t="shared" si="558"/>
        <v>5276.2980808141829</v>
      </c>
      <c r="AS280" s="8">
        <f>IF(_xlfn.XLOOKUP(E280,Groups!A:A,Groups!M:M)=1,EXP(0.7444*LN('Base stats'!C280)+6.5696),EXP(0.7927*LN('Base stats'!C280)+4.28))</f>
        <v>5288.7795472348907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IF(_xlfn.XLOOKUP(E280,Groups!A:A,Groups!N:N)="Theropod",EXP(0.6966*LN(C280)+4.158)*S280,
"No"))))))))))))))))</f>
        <v>7747.6708790943967</v>
      </c>
      <c r="AU280" s="8">
        <f>IF(_xlfn.XLOOKUP(E280,Groups!A:A,Groups!U:U)=3,AS280,IF(_xlfn.XLOOKUP(E280,Groups!A:A,Groups!U:U)=2,AR280,AT280))</f>
        <v>7747.6708790943967</v>
      </c>
      <c r="AV280" s="46">
        <f>IFERROR(AVERAGE(_xlfn.XLOOKUP(B280,Animals!B:B,Animals!N:N),_xlfn.XLOOKUP(B280,Animals!B:B,Animals!O:O)),0)</f>
        <v>0</v>
      </c>
      <c r="AW280" s="8">
        <f>MROUND(40*Animals!AO264*_xlfn.XLOOKUP(Animals!BB264,Leathers!$A$2:$A$99,Leathers!$B$2:$B$99,0)+(140*_xlfn.XLOOKUP(B280,Animals!B:B,Animals!AO:AO)*2),5)</f>
        <v>825</v>
      </c>
      <c r="AX280" s="8">
        <f>IFERROR(ROUND(SQRT(V280-1)*IF(_xlfn.XLOOKUP(E280,Groups!A:A,Groups!BF:BF)=0,2,1)*IF(_xlfn.XLOOKUP('Base stats'!E280,Groups!A:A,Groups!O:O)=0,1,0.1),1),0)</f>
        <v>4.3</v>
      </c>
      <c r="AY280" s="8">
        <f t="shared" si="559"/>
        <v>2.8</v>
      </c>
      <c r="AZ280" s="8">
        <f t="shared" si="560"/>
        <v>0</v>
      </c>
      <c r="BA280" s="8">
        <f t="shared" si="561"/>
        <v>5.6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8.4529583788933103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562"/>
        <v>3.5314229865209938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4.8524460197198902</v>
      </c>
      <c r="BF280" s="8">
        <f>(0.048*C280^1.01)/IF(_xlfn.XLOOKUP(E280,Groups!A:A,Groups!M:M)=1,0.25,0.8)*C280^-0.25</f>
        <v>3.6796792531617739</v>
      </c>
      <c r="BG280" s="8">
        <f>EXP(1.076*LN(AR280)-4.5397)*IF(_xlfn.XLOOKUP(E280,Groups!A:A,Groups!BC:BC)=1,1.25,IF(_xlfn.XLOOKUP(E280,Groups!A:A,Groups!BD:BD)=1,3.5,2.5))</f>
        <v>270.14672095717975</v>
      </c>
      <c r="BH280" s="8">
        <f>EXP(1.076*LN(AS280)-4.5397)*IF(_xlfn.XLOOKUP(E280,Groups!A:A,Groups!M:M)=1,0.8,IF(_xlfn.XLOOKUP(E280,Groups!A:A,Groups!BC:BC)=1,1.3,3))</f>
        <v>325.00128281545972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612.65048306853441</v>
      </c>
      <c r="BK280" s="8">
        <f t="shared" si="563"/>
        <v>12</v>
      </c>
      <c r="BL280" s="8">
        <f t="shared" si="564"/>
        <v>11</v>
      </c>
      <c r="BM280" s="8" t="str">
        <f t="shared" si="565"/>
        <v>No</v>
      </c>
      <c r="BN280" s="8">
        <f t="shared" si="566"/>
        <v>12</v>
      </c>
      <c r="BO280" s="8">
        <f t="shared" si="567"/>
        <v>13</v>
      </c>
      <c r="BP280" s="8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0.13389786494950129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0.13389786494950129</v>
      </c>
      <c r="BS280" s="8">
        <f t="shared" si="568"/>
        <v>0.14400848466911442</v>
      </c>
      <c r="BT280" s="8">
        <f t="shared" si="569"/>
        <v>2427.2327489167346</v>
      </c>
      <c r="BU280" s="8" t="str">
        <f t="shared" si="570"/>
        <v>No</v>
      </c>
      <c r="BV280" s="8">
        <f t="shared" si="571"/>
        <v>4575.5059895808763</v>
      </c>
      <c r="BW280" s="4">
        <v>0</v>
      </c>
      <c r="BX280" s="4">
        <v>1</v>
      </c>
    </row>
    <row r="281" spans="1:76" s="16" customFormat="1" x14ac:dyDescent="0.25">
      <c r="A281" s="26" t="s">
        <v>1461</v>
      </c>
      <c r="B281" s="6" t="s">
        <v>1854</v>
      </c>
      <c r="C281" s="7">
        <v>150</v>
      </c>
      <c r="D281" s="7" t="s">
        <v>528</v>
      </c>
      <c r="E281" s="7" t="str">
        <f>Groups!$A$18</f>
        <v>Catlike</v>
      </c>
      <c r="F281" s="7">
        <v>99</v>
      </c>
      <c r="G281" s="7">
        <f>AVERAGE(30/12,3)</f>
        <v>2.75</v>
      </c>
      <c r="H281" s="7">
        <v>28</v>
      </c>
      <c r="I281" s="4">
        <v>1</v>
      </c>
      <c r="J281" s="7">
        <v>2</v>
      </c>
      <c r="K281" s="7" t="s">
        <v>528</v>
      </c>
      <c r="L281" s="7">
        <f>MIN(37.5*C281^0.089,79.3*C281^-0.072)</f>
        <v>55.283383682150131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 t="s">
        <v>40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>
        <v>6</v>
      </c>
      <c r="V281" s="7">
        <f>IF(AT281="No","No",IF(_xlfn.XLOOKUP(E281,Groups!A:A,Groups!AM:AM)=1,MROUND(EXP(0.3582*LN(C281)-0.2221)*T281,0.05),IF(_xlfn.XLOOKUP(E281,Groups!A:A,Groups!AM:AM)=2,MROUND(EXP(0.3582*LN(C281)-0.2221)*T281,0.05),"Need a formula")))</f>
        <v>4.8000000000000007</v>
      </c>
      <c r="W281" s="7" t="s">
        <v>45</v>
      </c>
      <c r="X281" s="7" t="s">
        <v>933</v>
      </c>
      <c r="Y281" s="4" t="s">
        <v>56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389</v>
      </c>
      <c r="AH281" s="4" t="str">
        <f>Animals!$C$19</f>
        <v>&lt;li&gt;Lynx&lt;/li&gt;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557"/>
        <v>28825.861601687579</v>
      </c>
      <c r="AP281" s="8">
        <f>IFERROR(C281*_xlfn.XLOOKUP(E281,Groups!A:A,Groups!K:K),0.106*C281^0.94)</f>
        <v>18.712499999999999</v>
      </c>
      <c r="AQ281" s="8">
        <f>AP281*10000/(_xlfn.XLOOKUP(E281,Groups!A:A,Groups!J:J)*AO281)</f>
        <v>5.9555656756693445</v>
      </c>
      <c r="AR281" s="8">
        <f t="shared" si="558"/>
        <v>3746.1489061563307</v>
      </c>
      <c r="AS281" s="8">
        <f>IF(_xlfn.XLOOKUP(E281,Groups!A:A,Groups!M:M)=1,EXP(0.7444*LN('Base stats'!C281)+6.5696),EXP(0.7927*LN('Base stats'!C281)+4.28))</f>
        <v>3835.0225645496203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IF(_xlfn.XLOOKUP(E281,Groups!A:A,Groups!N:N)="Theropod",EXP(0.6966*LN(C281)+4.158)*S281,
"No"))))))))))))))))</f>
        <v>5637.1915094944143</v>
      </c>
      <c r="AU281" s="8">
        <f>IF(_xlfn.XLOOKUP(E281,Groups!A:A,Groups!U:U)=3,AS281,IF(_xlfn.XLOOKUP(E281,Groups!A:A,Groups!U:U)=2,AR281,AT281))</f>
        <v>5637.1915094944143</v>
      </c>
      <c r="AV281" s="46">
        <f>IFERROR(AVERAGE(_xlfn.XLOOKUP(B281,Animals!B:B,Animals!N:N),_xlfn.XLOOKUP(B281,Animals!B:B,Animals!O:O)),0)</f>
        <v>0</v>
      </c>
      <c r="AW281" s="8">
        <f>MROUND(40*Animals!AO258*_xlfn.XLOOKUP(Animals!BB258,Leathers!$A$2:$A$99,Leathers!$B$2:$B$99,0)+(140*_xlfn.XLOOKUP(B281,Animals!B:B,Animals!AO:AO)*2),5)</f>
        <v>420</v>
      </c>
      <c r="AX281" s="8">
        <f>IFERROR(ROUND(SQRT(V281-1)*IF(_xlfn.XLOOKUP(E281,Groups!A:A,Groups!BF:BF)=0,2,1)*IF(_xlfn.XLOOKUP('Base stats'!E281,Groups!A:A,Groups!O:O)=0,1,0.1),1),0)</f>
        <v>3.9</v>
      </c>
      <c r="AY281" s="8">
        <f t="shared" si="559"/>
        <v>2.2000000000000002</v>
      </c>
      <c r="AZ281" s="8">
        <f t="shared" si="560"/>
        <v>0</v>
      </c>
      <c r="BA281" s="8">
        <f t="shared" si="561"/>
        <v>4.8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6.4841468586696669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562"/>
        <v>2.5212615648035737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3.5367920914565221</v>
      </c>
      <c r="BF281" s="8">
        <f>(0.048*C281^1.01)/IF(_xlfn.XLOOKUP(E281,Groups!A:A,Groups!M:M)=1,0.25,0.8)*C281^-0.25</f>
        <v>2.7038376258152188</v>
      </c>
      <c r="BG281" s="8">
        <f>EXP(1.076*LN(AR281)-4.5397)*IF(_xlfn.XLOOKUP(E281,Groups!A:A,Groups!BC:BC)=1,1.25,IF(_xlfn.XLOOKUP(E281,Groups!A:A,Groups!BD:BD)=1,3.5,2.5))</f>
        <v>186.87484615605439</v>
      </c>
      <c r="BH281" s="8">
        <f>EXP(1.076*LN(AS281)-4.5397)*IF(_xlfn.XLOOKUP(E281,Groups!A:A,Groups!M:M)=1,0.8,IF(_xlfn.XLOOKUP(E281,Groups!A:A,Groups!BC:BC)=1,1.3,3))</f>
        <v>229.97937056804284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435.11912187452936</v>
      </c>
      <c r="BK281" s="8">
        <f t="shared" si="563"/>
        <v>12</v>
      </c>
      <c r="BL281" s="8">
        <f t="shared" si="564"/>
        <v>11</v>
      </c>
      <c r="BM281" s="8" t="str">
        <f t="shared" si="565"/>
        <v>No</v>
      </c>
      <c r="BN281" s="8">
        <f t="shared" si="566"/>
        <v>11</v>
      </c>
      <c r="BO281" s="8">
        <f t="shared" si="567"/>
        <v>13</v>
      </c>
      <c r="BP281" s="8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0.11349157855001941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0.11349157855001941</v>
      </c>
      <c r="BS281" s="8">
        <f t="shared" si="568"/>
        <v>0.12965776963635597</v>
      </c>
      <c r="BT281" s="8">
        <f t="shared" si="569"/>
        <v>2026.4003153915378</v>
      </c>
      <c r="BU281" s="8" t="str">
        <f t="shared" si="570"/>
        <v>No</v>
      </c>
      <c r="BV281" s="8">
        <f t="shared" si="571"/>
        <v>3833.9331202689923</v>
      </c>
      <c r="BW281" s="4">
        <v>0</v>
      </c>
      <c r="BX281" s="4">
        <v>1</v>
      </c>
    </row>
    <row r="282" spans="1:76" s="16" customFormat="1" x14ac:dyDescent="0.25">
      <c r="A282" s="26" t="s">
        <v>1543</v>
      </c>
      <c r="B282" s="6" t="s">
        <v>1856</v>
      </c>
      <c r="C282" s="7">
        <v>4</v>
      </c>
      <c r="D282" s="7" t="s">
        <v>528</v>
      </c>
      <c r="E282" s="7" t="str">
        <f>Groups!$A$18</f>
        <v>Catlike</v>
      </c>
      <c r="F282" s="7">
        <v>65</v>
      </c>
      <c r="G282" s="7">
        <f>289/365</f>
        <v>0.79178082191780819</v>
      </c>
      <c r="H282" s="7">
        <v>30</v>
      </c>
      <c r="I282" s="4">
        <v>0</v>
      </c>
      <c r="J282" s="7">
        <v>4</v>
      </c>
      <c r="K282" s="7" t="s">
        <v>528</v>
      </c>
      <c r="L282" s="7">
        <f>MIN(37.5*C282^0.089,79.3*C282^-0.072)</f>
        <v>42.42429235672126</v>
      </c>
      <c r="M282" s="7" t="s">
        <v>528</v>
      </c>
      <c r="N282" s="4">
        <v>0</v>
      </c>
      <c r="O282" s="4">
        <v>2</v>
      </c>
      <c r="P282" s="4">
        <v>0</v>
      </c>
      <c r="Q282" s="4">
        <v>0</v>
      </c>
      <c r="R282" s="4" t="s">
        <v>40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>
        <f>MROUND(1.2,0.05)</f>
        <v>1.2000000000000002</v>
      </c>
      <c r="V282" s="7">
        <f>IF(AT282="No","No",IF(_xlfn.XLOOKUP(E282,Groups!A:A,Groups!AM:AM)=1,MROUND(EXP(0.3582*LN(C282)-0.2221)*T282,0.05),IF(_xlfn.XLOOKUP(E282,Groups!A:A,Groups!AM:AM)=2,MROUND(EXP(0.3582*LN(C282)-0.2221)*T282,0.05),"Need a formula")))</f>
        <v>1.3</v>
      </c>
      <c r="W282" s="7" t="s">
        <v>45</v>
      </c>
      <c r="X282" s="7" t="s">
        <v>933</v>
      </c>
      <c r="Y282" s="4" t="s">
        <v>56</v>
      </c>
      <c r="Z282" s="4">
        <v>1</v>
      </c>
      <c r="AA282" s="4">
        <v>0</v>
      </c>
      <c r="AB282" s="4">
        <v>0</v>
      </c>
      <c r="AC282" s="4">
        <v>0</v>
      </c>
      <c r="AD282" s="4">
        <v>0</v>
      </c>
      <c r="AE282" s="4" t="s">
        <v>45</v>
      </c>
      <c r="AF282" s="4" t="s">
        <v>45</v>
      </c>
      <c r="AG282" s="28" t="s">
        <v>385</v>
      </c>
      <c r="AH282" s="4" t="str">
        <f>Animals!$C$20</f>
        <v>&lt;li&gt;Cat&lt;/li&gt;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si="557"/>
        <v>2733.1405976257147</v>
      </c>
      <c r="AP282" s="8">
        <f>IFERROR(C282*_xlfn.XLOOKUP(E282,Groups!A:A,Groups!K:K),0.106*C282^0.94)</f>
        <v>0.499</v>
      </c>
      <c r="AQ282" s="8">
        <f>AP282*10000/(_xlfn.XLOOKUP(E282,Groups!A:A,Groups!J:J)*AO282)</f>
        <v>1.6749894445068245</v>
      </c>
      <c r="AR282" s="8">
        <f t="shared" si="558"/>
        <v>175.38838309895641</v>
      </c>
      <c r="AS282" s="8">
        <f>IF(_xlfn.XLOOKUP(E282,Groups!A:A,Groups!M:M)=1,EXP(0.7444*LN('Base stats'!C282)+6.5696),EXP(0.7927*LN('Base stats'!C282)+4.28))</f>
        <v>216.78705102987425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IF(_xlfn.XLOOKUP(E282,Groups!A:A,Groups!N:N)="Theropod",EXP(0.6966*LN(C282)+4.158)*S282,
"No"))))))))))))))))</f>
        <v>328.51111317927263</v>
      </c>
      <c r="AU282" s="8">
        <f>IF(_xlfn.XLOOKUP(E282,Groups!A:A,Groups!U:U)=3,AS282,IF(_xlfn.XLOOKUP(E282,Groups!A:A,Groups!U:U)=2,AR282,AT282))</f>
        <v>328.51111317927263</v>
      </c>
      <c r="AV282" s="46">
        <f>IFERROR(AVERAGE(_xlfn.XLOOKUP(B282,Animals!B:B,Animals!N:N),_xlfn.XLOOKUP(B282,Animals!B:B,Animals!O:O)),0)</f>
        <v>0</v>
      </c>
      <c r="AW282" s="8">
        <f>MROUND(40*Animals!AO296*_xlfn.XLOOKUP(Animals!BB296,Leathers!$A$2:$A$99,Leathers!$B$2:$B$99,0)+(140*_xlfn.XLOOKUP(B282,Animals!B:B,Animals!AO:AO)*2),5)</f>
        <v>85</v>
      </c>
      <c r="AX282" s="8">
        <f>IFERROR(ROUND(SQRT(V282-1)*IF(_xlfn.XLOOKUP(E282,Groups!A:A,Groups!BF:BF)=0,2,1)*IF(_xlfn.XLOOKUP('Base stats'!E282,Groups!A:A,Groups!O:O)=0,1,0.1),1),0)</f>
        <v>1.1000000000000001</v>
      </c>
      <c r="AY282" s="8">
        <f t="shared" si="559"/>
        <v>0.4</v>
      </c>
      <c r="AZ282" s="8">
        <f t="shared" si="560"/>
        <v>0</v>
      </c>
      <c r="BA282" s="8">
        <f t="shared" si="561"/>
        <v>1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0.60687331354867147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si="562"/>
        <v>0.12405032882587851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0.20934622885533638</v>
      </c>
      <c r="BF282" s="8">
        <f>(0.048*C282^1.01)/IF(_xlfn.XLOOKUP(E282,Groups!A:A,Groups!M:M)=1,0.25,0.8)*C282^-0.25</f>
        <v>0.17207462976189927</v>
      </c>
      <c r="BG282" s="8">
        <f>EXP(1.076*LN(AR282)-4.5397)*IF(_xlfn.XLOOKUP(E282,Groups!A:A,Groups!BC:BC)=1,1.25,IF(_xlfn.XLOOKUP(E282,Groups!A:A,Groups!BD:BD)=1,3.5,2.5))</f>
        <v>6.9329526832092121</v>
      </c>
      <c r="BH282" s="8">
        <f>EXP(1.076*LN(AS282)-4.5397)*IF(_xlfn.XLOOKUP(E282,Groups!A:A,Groups!M:M)=1,0.8,IF(_xlfn.XLOOKUP(E282,Groups!A:A,Groups!BC:BC)=1,1.3,3))</f>
        <v>10.450244860597079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20.430193458786896</v>
      </c>
      <c r="BK282" s="8">
        <f t="shared" si="563"/>
        <v>10</v>
      </c>
      <c r="BL282" s="8">
        <f t="shared" si="564"/>
        <v>9</v>
      </c>
      <c r="BM282" s="8" t="str">
        <f t="shared" si="565"/>
        <v>No</v>
      </c>
      <c r="BN282" s="8">
        <f t="shared" si="566"/>
        <v>8</v>
      </c>
      <c r="BO282" s="8">
        <f t="shared" si="567"/>
        <v>11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2.5886520880316049E-2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2.5886520880316049E-2</v>
      </c>
      <c r="BS282" s="8">
        <f t="shared" si="568"/>
        <v>5.0732499376225891E-2</v>
      </c>
      <c r="BT282" s="8">
        <f t="shared" si="569"/>
        <v>403.69445198575841</v>
      </c>
      <c r="BU282" s="8" t="str">
        <f t="shared" si="570"/>
        <v>No</v>
      </c>
      <c r="BV282" s="8">
        <f t="shared" si="571"/>
        <v>789.22129216374879</v>
      </c>
      <c r="BW282" s="4">
        <v>0</v>
      </c>
      <c r="BX282" s="4">
        <v>1</v>
      </c>
    </row>
    <row r="283" spans="1:76" s="16" customFormat="1" x14ac:dyDescent="0.25">
      <c r="A283" s="26" t="s">
        <v>1411</v>
      </c>
      <c r="B283" s="6" t="s">
        <v>1632</v>
      </c>
      <c r="C283" s="7">
        <v>20</v>
      </c>
      <c r="D283" s="7" t="s">
        <v>528</v>
      </c>
      <c r="E283" s="7" t="str">
        <f>Groups!$A$18</f>
        <v>Catlike</v>
      </c>
      <c r="F283" s="7">
        <v>66</v>
      </c>
      <c r="G283" s="7">
        <f>639/365</f>
        <v>1.7506849315068493</v>
      </c>
      <c r="H283" s="7">
        <v>26</v>
      </c>
      <c r="I283" s="4">
        <v>1</v>
      </c>
      <c r="J283" s="7">
        <v>2</v>
      </c>
      <c r="K283" s="7" t="s">
        <v>528</v>
      </c>
      <c r="L283" s="7">
        <f>MIN(37.5*C283^0.089,79.3*C283^-0.072)</f>
        <v>48.957917634411459</v>
      </c>
      <c r="M283" s="7" t="s">
        <v>528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1.006394342764126</v>
      </c>
      <c r="T283" s="7">
        <f>_xlfn.XLOOKUP(B283,[1]TeethAdjusters!$A:$A,[1]TeethAdjusters!$B:$B,1)</f>
        <v>0.90811679292382275</v>
      </c>
      <c r="U283" s="7">
        <v>3.5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2.15</v>
      </c>
      <c r="W283" s="7" t="s">
        <v>45</v>
      </c>
      <c r="X283" s="7" t="s">
        <v>933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45</v>
      </c>
      <c r="AG283" s="28" t="s">
        <v>389</v>
      </c>
      <c r="AH283" s="4" t="str">
        <f>Animals!$C$19</f>
        <v>&lt;li&gt;Lynx&lt;/li&gt;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557"/>
        <v>7780.2307188855666</v>
      </c>
      <c r="AP283" s="8">
        <f>IFERROR(C283*_xlfn.XLOOKUP(E283,Groups!A:A,Groups!K:K),0.106*C283^0.94)</f>
        <v>2.4950000000000001</v>
      </c>
      <c r="AQ283" s="8">
        <f>AP283*10000/(_xlfn.XLOOKUP(E283,Groups!A:A,Groups!J:J)*AO283)</f>
        <v>2.9420603429302239</v>
      </c>
      <c r="AR283" s="8">
        <f t="shared" si="558"/>
        <v>683.0001310678939</v>
      </c>
      <c r="AS283" s="8">
        <f>IF(_xlfn.XLOOKUP(E283,Groups!A:A,Groups!M:M)=1,EXP(0.7444*LN('Base stats'!C283)+6.5696),EXP(0.7927*LN('Base stats'!C283)+4.28))</f>
        <v>776.43813921979063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IF(_xlfn.XLOOKUP(E283,Groups!A:A,Groups!N:N)="Theropod",EXP(0.6966*LN(C283)+4.158)*S283,
"No"))))))))))))))))</f>
        <v>1168.208675354816</v>
      </c>
      <c r="AU283" s="8">
        <f>IF(_xlfn.XLOOKUP(E283,Groups!A:A,Groups!U:U)=3,AS283,IF(_xlfn.XLOOKUP(E283,Groups!A:A,Groups!U:U)=2,AR283,AT283))</f>
        <v>1168.208675354816</v>
      </c>
      <c r="AV283" s="46">
        <f>IFERROR(AVERAGE(_xlfn.XLOOKUP(B283,Animals!B:B,Animals!N:N),_xlfn.XLOOKUP(B283,Animals!B:B,Animals!O:O)),0)</f>
        <v>0</v>
      </c>
      <c r="AW283" s="8">
        <f>MROUND(40*Animals!AO232*_xlfn.XLOOKUP(Animals!BB232,Leathers!$A$2:$A$99,Leathers!$B$2:$B$99,0)+(140*_xlfn.XLOOKUP(B283,Animals!B:B,Animals!AO:AO)*2),5)</f>
        <v>155</v>
      </c>
      <c r="AX283" s="8">
        <f>IFERROR(ROUND(SQRT(V283-1)*IF(_xlfn.XLOOKUP(E283,Groups!A:A,Groups!BF:BF)=0,2,1)*IF(_xlfn.XLOOKUP('Base stats'!E283,Groups!A:A,Groups!O:O)=0,1,0.1),1),0)</f>
        <v>2.1</v>
      </c>
      <c r="AY283" s="8">
        <f t="shared" si="559"/>
        <v>1.6</v>
      </c>
      <c r="AZ283" s="8">
        <f t="shared" si="560"/>
        <v>0</v>
      </c>
      <c r="BA283" s="8">
        <f t="shared" si="561"/>
        <v>2.2999999999999998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1.7471121835512762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562"/>
        <v>0.4725437173376934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0.73461830427671004</v>
      </c>
      <c r="BF283" s="8">
        <f>(0.048*C283^1.01)/IF(_xlfn.XLOOKUP(E283,Groups!A:A,Groups!M:M)=1,0.25,0.8)*C283^-0.25</f>
        <v>0.58470128338370886</v>
      </c>
      <c r="BG283" s="8">
        <f>EXP(1.076*LN(AR283)-4.5397)*IF(_xlfn.XLOOKUP(E283,Groups!A:A,Groups!BC:BC)=1,1.25,IF(_xlfn.XLOOKUP(E283,Groups!A:A,Groups!BD:BD)=1,3.5,2.5))</f>
        <v>29.937126744147832</v>
      </c>
      <c r="BH283" s="8">
        <f>EXP(1.076*LN(AS283)-4.5397)*IF(_xlfn.XLOOKUP(E283,Groups!A:A,Groups!M:M)=1,0.8,IF(_xlfn.XLOOKUP(E283,Groups!A:A,Groups!BC:BC)=1,1.3,3))</f>
        <v>41.239137793293878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80.004900193337079</v>
      </c>
      <c r="BK283" s="8">
        <f t="shared" si="563"/>
        <v>11</v>
      </c>
      <c r="BL283" s="8">
        <f t="shared" si="564"/>
        <v>10</v>
      </c>
      <c r="BM283" s="8" t="str">
        <f t="shared" si="565"/>
        <v>No</v>
      </c>
      <c r="BN283" s="8">
        <f t="shared" si="566"/>
        <v>9</v>
      </c>
      <c r="BO283" s="8">
        <f t="shared" si="567"/>
        <v>11</v>
      </c>
      <c r="BP283" s="8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4.9901506096388083E-2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4.9901506096388083E-2</v>
      </c>
      <c r="BS283" s="8">
        <f t="shared" si="568"/>
        <v>7.6956912528259827E-2</v>
      </c>
      <c r="BT283" s="8">
        <f t="shared" si="569"/>
        <v>826.41068415125062</v>
      </c>
      <c r="BU283" s="8" t="str">
        <f t="shared" si="570"/>
        <v>No</v>
      </c>
      <c r="BV283" s="8">
        <f t="shared" si="571"/>
        <v>1603.2562231448944</v>
      </c>
      <c r="BW283" s="4">
        <v>0</v>
      </c>
      <c r="BX283" s="4">
        <v>1</v>
      </c>
    </row>
    <row r="284" spans="1:76" s="16" customFormat="1" x14ac:dyDescent="0.25">
      <c r="A284" s="26" t="s">
        <v>1465</v>
      </c>
      <c r="B284" s="6" t="s">
        <v>1652</v>
      </c>
      <c r="C284" s="7">
        <v>200</v>
      </c>
      <c r="D284" s="7" t="s">
        <v>528</v>
      </c>
      <c r="E284" s="7" t="str">
        <f>Groups!$A$105</f>
        <v>Doglike (FOUR EYES)</v>
      </c>
      <c r="F284" s="7">
        <v>72</v>
      </c>
      <c r="G284" s="7">
        <v>3</v>
      </c>
      <c r="H284" s="7">
        <v>15</v>
      </c>
      <c r="I284" s="4">
        <v>0</v>
      </c>
      <c r="J284" s="7">
        <v>4</v>
      </c>
      <c r="K284" s="7" t="s">
        <v>528</v>
      </c>
      <c r="L284" s="7">
        <f>MIN(37.5*C284^0.089,79.3*C284^-0.072)</f>
        <v>54.150070655093025</v>
      </c>
      <c r="M284" s="7" t="s">
        <v>627</v>
      </c>
      <c r="N284" s="4">
        <v>0</v>
      </c>
      <c r="O284" s="4">
        <v>1</v>
      </c>
      <c r="P284" s="4">
        <v>0</v>
      </c>
      <c r="Q284" s="4">
        <v>0</v>
      </c>
      <c r="R284" s="4">
        <v>0.8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 t="s">
        <v>45</v>
      </c>
      <c r="V284" s="7">
        <f>IF(AT284="No","No",IF(_xlfn.XLOOKUP(E284,Groups!A:A,Groups!AM:AM)=1,MROUND(EXP(0.3582*LN(C284)-0.2221)*T284,0.05),IF(_xlfn.XLOOKUP(E284,Groups!A:A,Groups!AM:AM)=2,MROUND(EXP(0.3582*LN(C284)-0.2221)*T284,0.05),"Need a formula")))</f>
        <v>5.3500000000000005</v>
      </c>
      <c r="W284" s="7" t="s">
        <v>45</v>
      </c>
      <c r="X284" s="7" t="s">
        <v>933</v>
      </c>
      <c r="Y284" s="4" t="s">
        <v>56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28" t="s">
        <v>396</v>
      </c>
      <c r="AH284" s="4" t="str">
        <f>Animals!$C$306</f>
        <v>&lt;li&gt;AA_Nightling&lt;/li&gt;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557"/>
        <v>34753.014052750754</v>
      </c>
      <c r="AP284" s="8">
        <f>IFERROR(C284*_xlfn.XLOOKUP(E284,Groups!A:A,Groups!K:K),0.106*C284^0.94)</f>
        <v>24.95</v>
      </c>
      <c r="AQ284" s="8">
        <f>AP284*10000/(_xlfn.XLOOKUP(E284,Groups!A:A,Groups!J:J)*AO284)</f>
        <v>6.5864526806615098</v>
      </c>
      <c r="AR284" s="8">
        <f t="shared" si="558"/>
        <v>4776.6210371506204</v>
      </c>
      <c r="AS284" s="8">
        <f>IF(_xlfn.XLOOKUP(E284,Groups!A:A,Groups!M:M)=1,EXP(0.7444*LN('Base stats'!C284)+6.5696),EXP(0.7927*LN('Base stats'!C284)+4.28))</f>
        <v>4817.3351295400244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IF(_xlfn.XLOOKUP(E284,Groups!A:A,Groups!N:N)="Theropod",EXP(0.6966*LN(C284)+4.158)*S284,
"No"))))))))))))))))</f>
        <v>11041.34498310836</v>
      </c>
      <c r="AU284" s="8">
        <f>IF(_xlfn.XLOOKUP(E284,Groups!A:A,Groups!U:U)=3,AS284,IF(_xlfn.XLOOKUP(E284,Groups!A:A,Groups!U:U)=2,AR284,AT284))</f>
        <v>11041.34498310836</v>
      </c>
      <c r="AV284" s="46">
        <f>IFERROR(AVERAGE(_xlfn.XLOOKUP(B284,Animals!B:B,Animals!N:N),_xlfn.XLOOKUP(B284,Animals!B:B,Animals!O:O)),0)</f>
        <v>0</v>
      </c>
      <c r="AW284" s="8">
        <f>MROUND(40*Animals!AO259*_xlfn.XLOOKUP(Animals!BB259,Leathers!$A$2:$A$99,Leathers!$B$2:$B$99,0)+(140*_xlfn.XLOOKUP(B284,Animals!B:B,Animals!AO:AO)*2),5)</f>
        <v>505</v>
      </c>
      <c r="AX284" s="8">
        <f>IFERROR(ROUND(SQRT(V284-1)*IF(_xlfn.XLOOKUP(E284,Groups!A:A,Groups!BF:BF)=0,2,1)*IF(_xlfn.XLOOKUP('Base stats'!E284,Groups!A:A,Groups!O:O)=0,1,0.1),1),0)</f>
        <v>4.2</v>
      </c>
      <c r="AY284" s="8">
        <f t="shared" si="559"/>
        <v>0</v>
      </c>
      <c r="AZ284" s="8">
        <f t="shared" si="560"/>
        <v>0</v>
      </c>
      <c r="BA284" s="8">
        <f t="shared" si="561"/>
        <v>5.3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11.791919953948089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562"/>
        <v>3.2021523702866714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4.4265130134762103</v>
      </c>
      <c r="BF284" s="8">
        <f>(0.048*C284^1.01)/IF(_xlfn.XLOOKUP(E284,Groups!A:A,Groups!M:M)=1,0.25,0.8)*C284^-0.25</f>
        <v>3.3646046987127658</v>
      </c>
      <c r="BG284" s="8">
        <f>EXP(1.076*LN(AR284)-4.5397)*IF(_xlfn.XLOOKUP(E284,Groups!A:A,Groups!BC:BC)=1,1.25,IF(_xlfn.XLOOKUP(E284,Groups!A:A,Groups!BD:BD)=1,3.5,2.5))</f>
        <v>242.72097948417178</v>
      </c>
      <c r="BH284" s="8">
        <f>EXP(1.076*LN(AS284)-4.5397)*IF(_xlfn.XLOOKUP(E284,Groups!A:A,Groups!M:M)=1,0.8,IF(_xlfn.XLOOKUP(E284,Groups!A:A,Groups!BC:BC)=1,1.3,3))</f>
        <v>293.93735151357987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896.92526614905921</v>
      </c>
      <c r="BK284" s="8">
        <f t="shared" si="563"/>
        <v>12</v>
      </c>
      <c r="BL284" s="8">
        <f t="shared" si="564"/>
        <v>11</v>
      </c>
      <c r="BM284" s="8" t="str">
        <f t="shared" si="565"/>
        <v>No</v>
      </c>
      <c r="BN284" s="8">
        <f t="shared" si="566"/>
        <v>12</v>
      </c>
      <c r="BO284" s="8">
        <f t="shared" si="567"/>
        <v>13</v>
      </c>
      <c r="BP284" s="8" t="str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No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0.12761850520553555</v>
      </c>
      <c r="BS284" s="8">
        <f t="shared" si="568"/>
        <v>0.13968341227368164</v>
      </c>
      <c r="BT284" s="8" t="str">
        <f t="shared" si="569"/>
        <v>No</v>
      </c>
      <c r="BU284" s="8" t="str">
        <f t="shared" si="570"/>
        <v>No</v>
      </c>
      <c r="BV284" s="8">
        <f t="shared" si="571"/>
        <v>7028.175613752247</v>
      </c>
      <c r="BW284" s="4">
        <v>0</v>
      </c>
      <c r="BX284" s="4">
        <v>1</v>
      </c>
    </row>
    <row r="285" spans="1:76" s="16" customFormat="1" x14ac:dyDescent="0.25">
      <c r="A285" s="26" t="s">
        <v>1555</v>
      </c>
      <c r="B285" s="6" t="s">
        <v>1685</v>
      </c>
      <c r="C285" s="7">
        <v>70</v>
      </c>
      <c r="D285" s="7" t="s">
        <v>528</v>
      </c>
      <c r="E285" s="7" t="str">
        <f>Groups!$A$109</f>
        <v>Doglike (CLAWED)</v>
      </c>
      <c r="F285" s="7">
        <v>110</v>
      </c>
      <c r="G285" s="7">
        <f>1095  /365</f>
        <v>3</v>
      </c>
      <c r="H285" s="7">
        <v>41.1</v>
      </c>
      <c r="I285" s="4">
        <v>0</v>
      </c>
      <c r="J285" s="7">
        <v>2</v>
      </c>
      <c r="K285" s="7" t="s">
        <v>528</v>
      </c>
      <c r="L285" s="7">
        <v>65</v>
      </c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>
        <v>3.5</v>
      </c>
      <c r="V285" s="7">
        <f>IF(AT285="No","No",IF(_xlfn.XLOOKUP(E285,Groups!A:A,Groups!AM:AM)=1,MROUND(EXP(0.3582*LN(C285)-0.2221)*T285,0.05),IF(_xlfn.XLOOKUP(E285,Groups!A:A,Groups!AM:AM)=2,MROUND(EXP(0.3582*LN(C285)-0.2221)*T285,0.05),"Need a formula")))</f>
        <v>3.6500000000000004</v>
      </c>
      <c r="W285" s="7" t="s">
        <v>45</v>
      </c>
      <c r="X285" s="7" t="s">
        <v>933</v>
      </c>
      <c r="Y285" s="4" t="s">
        <v>56</v>
      </c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 t="s">
        <v>45</v>
      </c>
      <c r="AG285" s="28" t="s">
        <v>392</v>
      </c>
      <c r="AH285" s="4" t="s">
        <v>45</v>
      </c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557"/>
        <v>17564.536938929268</v>
      </c>
      <c r="AP285" s="8">
        <f>IFERROR(C285*_xlfn.XLOOKUP(E285,Groups!A:A,Groups!K:K),0.106*C285^0.94)</f>
        <v>8.7324999999999999</v>
      </c>
      <c r="AQ285" s="8">
        <f>AP285*10000/(_xlfn.XLOOKUP(E285,Groups!A:A,Groups!J:J)*AO285)</f>
        <v>4.5611608878523811</v>
      </c>
      <c r="AR285" s="8">
        <f t="shared" si="558"/>
        <v>1967.863924091341</v>
      </c>
      <c r="AS285" s="8">
        <f>IF(_xlfn.XLOOKUP(E285,Groups!A:A,Groups!M:M)=1,EXP(0.7444*LN('Base stats'!C285)+6.5696),EXP(0.7927*LN('Base stats'!C285)+4.28))</f>
        <v>2095.9918946402931</v>
      </c>
      <c r="AT285" s="8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IF(_xlfn.XLOOKUP(E285,Groups!A:A,Groups!N:N)="Theropod",EXP(0.6966*LN(C285)+4.158)*S285,
"No"))))))))))))))))</f>
        <v>4587.1581369157157</v>
      </c>
      <c r="AU285" s="8">
        <f>IF(_xlfn.XLOOKUP(E285,Groups!A:A,Groups!U:U)=3,AS285,IF(_xlfn.XLOOKUP(E285,Groups!A:A,Groups!U:U)=2,AR285,AT285))</f>
        <v>4587.1581369157157</v>
      </c>
      <c r="AV285" s="46">
        <f>IFERROR(AVERAGE(_xlfn.XLOOKUP(B285,Animals!B:B,Animals!N:N),_xlfn.XLOOKUP(B285,Animals!B:B,Animals!O:O)),0)</f>
        <v>0</v>
      </c>
      <c r="AW285" s="8">
        <f>MROUND(40*Animals!AO247*_xlfn.XLOOKUP(Animals!BB247,Leathers!$A$2:$A$99,Leathers!$B$2:$B$99,0)+(140*_xlfn.XLOOKUP(B285,Animals!B:B,Animals!AO:AO)*2),5)</f>
        <v>430</v>
      </c>
      <c r="AX285" s="8">
        <f>IFERROR(ROUND(SQRT(V285-1)*IF(_xlfn.XLOOKUP(E285,Groups!A:A,Groups!BF:BF)=0,2,1)*IF(_xlfn.XLOOKUP('Base stats'!E285,Groups!A:A,Groups!O:O)=0,1,0.1),1),0)</f>
        <v>3.3</v>
      </c>
      <c r="AY285" s="8">
        <f t="shared" si="559"/>
        <v>1.6</v>
      </c>
      <c r="AZ285" s="8">
        <f t="shared" si="560"/>
        <v>0</v>
      </c>
      <c r="BA285" s="8">
        <f t="shared" si="561"/>
        <v>3.7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5.6471603712071685</v>
      </c>
      <c r="BC285" s="8" t="str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No</v>
      </c>
      <c r="BD285" s="8">
        <f t="shared" si="562"/>
        <v>1.3383279200893237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1.9517977810631861</v>
      </c>
      <c r="BF285" s="8">
        <f>(0.048*C285^1.01)/IF(_xlfn.XLOOKUP(E285,Groups!A:A,Groups!M:M)=1,0.25,0.8)*C285^-0.25</f>
        <v>1.515045796469928</v>
      </c>
      <c r="BG285" s="8">
        <f>EXP(1.076*LN(AR285)-4.5397)*IF(_xlfn.XLOOKUP(E285,Groups!A:A,Groups!BC:BC)=1,1.25,IF(_xlfn.XLOOKUP(E285,Groups!A:A,Groups!BD:BD)=1,3.5,2.5))</f>
        <v>93.478565272069602</v>
      </c>
      <c r="BH285" s="8">
        <f>EXP(1.076*LN(AS285)-4.5397)*IF(_xlfn.XLOOKUP(E285,Groups!A:A,Groups!M:M)=1,0.8,IF(_xlfn.XLOOKUP(E285,Groups!A:A,Groups!BC:BC)=1,1.3,3))</f>
        <v>120.05211168963112</v>
      </c>
      <c r="BI285" s="8" t="str">
        <f>IF(W285="No","No",IF(_xlfn.XLOOKUP(E285,Groups!A:A,Groups!U:U)=1,'Base stats'!BJ285,IF(OR(_xlfn.XLOOKUP(E285,Groups!A:A,Groups!BD:BD)=1,_xlfn.XLOOKUP(E285,Groups!A:A,Groups!U:U)=2),BG285,BH285))*1.2)</f>
        <v>No</v>
      </c>
      <c r="BJ285" s="8">
        <f>IFERROR(EXP(1.076*LN(AT285)-4.5397)*IF(_xlfn.XLOOKUP(E285,Groups!A:A,Groups!N:N)="Insect",1,IF(OR(_xlfn.XLOOKUP(E285,Groups!A:A,Groups!N:N)="Pig",_xlfn.XLOOKUP(E285,Groups!A:A,Groups!N:N)="StrongBitingHerbivore"),3.5,3.75)),"No")</f>
        <v>348.56649751229264</v>
      </c>
      <c r="BK285" s="8">
        <f t="shared" si="563"/>
        <v>11</v>
      </c>
      <c r="BL285" s="8">
        <f t="shared" si="564"/>
        <v>11</v>
      </c>
      <c r="BM285" s="8" t="str">
        <f t="shared" si="565"/>
        <v>No</v>
      </c>
      <c r="BN285" s="8">
        <f t="shared" si="566"/>
        <v>11</v>
      </c>
      <c r="BO285" s="8">
        <f t="shared" si="567"/>
        <v>12</v>
      </c>
      <c r="BP285" s="8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8.3173428110674574E-2</v>
      </c>
      <c r="BQ285" s="8" t="str">
        <f>IF(W285="No","No",IF(_xlfn.XLOOKUP(E285,Groups!A:A,Groups!BD:BD)=1,(AO285*5%),EXP(0.7354*LN(C285)^0.4078)*2/IF(_xlfn.XLOOKUP(E285,Groups!A:A,Groups!BL:BL)=1,1000,100)))</f>
        <v>No</v>
      </c>
      <c r="BR285" s="8">
        <f>IF(BJ285="No","No",IF(_xlfn.XLOOKUP(E285,Groups!A:A,Groups!BF:BF)=1,(0.0315*C285+2.1825)*2,(0.7354*C285^0.4078)*2)/IF(_xlfn.XLOOKUP(E285,Groups!A:A,Groups!BM:BM)=1,1000,100))</f>
        <v>8.3173428110674574E-2</v>
      </c>
      <c r="BS285" s="8">
        <f t="shared" si="568"/>
        <v>0.10644011350494281</v>
      </c>
      <c r="BT285" s="8">
        <f t="shared" si="569"/>
        <v>1443.3950170946903</v>
      </c>
      <c r="BU285" s="8" t="str">
        <f t="shared" si="570"/>
        <v>No</v>
      </c>
      <c r="BV285" s="8">
        <f t="shared" si="571"/>
        <v>4190.8396158503083</v>
      </c>
      <c r="BW285" s="4">
        <v>0</v>
      </c>
      <c r="BX285" s="4">
        <v>1</v>
      </c>
    </row>
    <row r="286" spans="1:76" s="16" customFormat="1" x14ac:dyDescent="0.25">
      <c r="A286" s="26" t="s">
        <v>1441</v>
      </c>
      <c r="B286" s="6" t="s">
        <v>1644</v>
      </c>
      <c r="C286" s="7">
        <v>150</v>
      </c>
      <c r="D286" s="7" t="s">
        <v>528</v>
      </c>
      <c r="E286" s="7" t="str">
        <f>Groups!$A$13</f>
        <v>Doglike (HYENA)</v>
      </c>
      <c r="F286" s="7">
        <v>110</v>
      </c>
      <c r="G286" s="7">
        <f>1095  /365</f>
        <v>3</v>
      </c>
      <c r="H286" s="7">
        <v>41.1</v>
      </c>
      <c r="I286" s="4">
        <v>0</v>
      </c>
      <c r="J286" s="7">
        <v>2</v>
      </c>
      <c r="K286" s="7" t="s">
        <v>528</v>
      </c>
      <c r="L286" s="7">
        <v>65</v>
      </c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">
        <v>45</v>
      </c>
      <c r="V286" s="7">
        <f>IF(AT286="No","No",IF(_xlfn.XLOOKUP(E286,Groups!A:A,Groups!AM:AM)=1,MROUND(EXP(0.3582*LN(C286)-0.2221)*T286,0.05),IF(_xlfn.XLOOKUP(E286,Groups!A:A,Groups!AM:AM)=2,MROUND(EXP(0.3582*LN(C286)-0.2221)*T286,0.05),"Need a formula")))</f>
        <v>4.8000000000000007</v>
      </c>
      <c r="W286" s="7" t="s">
        <v>45</v>
      </c>
      <c r="X286" s="7" t="s">
        <v>933</v>
      </c>
      <c r="Y286" s="4" t="s">
        <v>56</v>
      </c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 t="s">
        <v>311</v>
      </c>
      <c r="AG286" s="28" t="s">
        <v>386</v>
      </c>
      <c r="AH286" s="4" t="str">
        <f>Animals!$C$32</f>
        <v>&lt;li&gt;Iguana&lt;/li&gt;</v>
      </c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557"/>
        <v>28825.861601687579</v>
      </c>
      <c r="AP286" s="8">
        <f>IFERROR(C286*_xlfn.XLOOKUP(E286,Groups!A:A,Groups!K:K),0.106*C286^0.94)</f>
        <v>18.712499999999999</v>
      </c>
      <c r="AQ286" s="8">
        <f>AP286*10000/(_xlfn.XLOOKUP(E286,Groups!A:A,Groups!J:J)*AO286)</f>
        <v>5.9555656756693445</v>
      </c>
      <c r="AR286" s="8">
        <f t="shared" si="558"/>
        <v>3746.1489061563307</v>
      </c>
      <c r="AS286" s="8">
        <f>IF(_xlfn.XLOOKUP(E286,Groups!A:A,Groups!M:M)=1,EXP(0.7444*LN('Base stats'!C286)+6.5696),EXP(0.7927*LN('Base stats'!C286)+4.28))</f>
        <v>3835.0225645496203</v>
      </c>
      <c r="AT286" s="8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IF(_xlfn.XLOOKUP(E286,Groups!A:A,Groups!N:N)="Theropod",EXP(0.6966*LN(C286)+4.158)*S286,
"No"))))))))))))))))</f>
        <v>8679.3207550885654</v>
      </c>
      <c r="AU286" s="8">
        <f>IF(_xlfn.XLOOKUP(E286,Groups!A:A,Groups!U:U)=3,AS286,IF(_xlfn.XLOOKUP(E286,Groups!A:A,Groups!U:U)=2,AR286,AT286))</f>
        <v>8679.3207550885654</v>
      </c>
      <c r="AV286" s="46">
        <f>IFERROR(AVERAGE(_xlfn.XLOOKUP(B286,Animals!B:B,Animals!N:N),_xlfn.XLOOKUP(B286,Animals!B:B,Animals!O:O)),0)</f>
        <v>0</v>
      </c>
      <c r="AW286" s="8">
        <f>MROUND(40*Animals!AO248*_xlfn.XLOOKUP(Animals!BB248,Leathers!$A$2:$A$99,Leathers!$B$2:$B$99,0)+(140*_xlfn.XLOOKUP(B286,Animals!B:B,Animals!AO:AO)*2),5)</f>
        <v>510</v>
      </c>
      <c r="AX286" s="8">
        <f>IFERROR(ROUND(SQRT(V286-1)*IF(_xlfn.XLOOKUP(E286,Groups!A:A,Groups!BF:BF)=0,2,1)*IF(_xlfn.XLOOKUP('Base stats'!E286,Groups!A:A,Groups!O:O)=0,1,0.1),1),0)</f>
        <v>3.9</v>
      </c>
      <c r="AY286" s="8">
        <f t="shared" si="559"/>
        <v>0</v>
      </c>
      <c r="AZ286" s="8">
        <f t="shared" si="560"/>
        <v>0</v>
      </c>
      <c r="BA286" s="8">
        <f t="shared" si="561"/>
        <v>4.8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9.6374544005494869</v>
      </c>
      <c r="BC286" s="8" t="str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No</v>
      </c>
      <c r="BD286" s="8">
        <f t="shared" si="562"/>
        <v>2.5212615648035737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3.5367920914565221</v>
      </c>
      <c r="BF286" s="8">
        <f>(0.048*C286^1.01)/IF(_xlfn.XLOOKUP(E286,Groups!A:A,Groups!M:M)=1,0.25,0.8)*C286^-0.25</f>
        <v>2.7038376258152188</v>
      </c>
      <c r="BG286" s="8">
        <f>EXP(1.076*LN(AR286)-4.5397)*IF(_xlfn.XLOOKUP(E286,Groups!A:A,Groups!BC:BC)=1,1.25,IF(_xlfn.XLOOKUP(E286,Groups!A:A,Groups!BD:BD)=1,3.5,2.5))</f>
        <v>186.87484615605439</v>
      </c>
      <c r="BH286" s="8">
        <f>EXP(1.076*LN(AS286)-4.5397)*IF(_xlfn.XLOOKUP(E286,Groups!A:A,Groups!M:M)=1,0.8,IF(_xlfn.XLOOKUP(E286,Groups!A:A,Groups!BC:BC)=1,1.3,3))</f>
        <v>229.97937056804284</v>
      </c>
      <c r="BI286" s="8" t="str">
        <f>IF(W286="No","No",IF(_xlfn.XLOOKUP(E286,Groups!A:A,Groups!U:U)=1,'Base stats'!BJ286,IF(OR(_xlfn.XLOOKUP(E286,Groups!A:A,Groups!BD:BD)=1,_xlfn.XLOOKUP(E286,Groups!A:A,Groups!U:U)=2),BG286,BH286))*1.2)</f>
        <v>No</v>
      </c>
      <c r="BJ286" s="8">
        <f>IFERROR(EXP(1.076*LN(AT286)-4.5397)*IF(_xlfn.XLOOKUP(E286,Groups!A:A,Groups!N:N)="Insect",1,IF(OR(_xlfn.XLOOKUP(E286,Groups!A:A,Groups!N:N)="Pig",_xlfn.XLOOKUP(E286,Groups!A:A,Groups!N:N)="StrongBitingHerbivore"),3.5,3.75)),"No")</f>
        <v>692.26960365184846</v>
      </c>
      <c r="BK286" s="8">
        <f t="shared" si="563"/>
        <v>12</v>
      </c>
      <c r="BL286" s="8">
        <f t="shared" si="564"/>
        <v>11</v>
      </c>
      <c r="BM286" s="8" t="str">
        <f t="shared" si="565"/>
        <v>No</v>
      </c>
      <c r="BN286" s="8">
        <f t="shared" si="566"/>
        <v>11</v>
      </c>
      <c r="BO286" s="8">
        <f t="shared" si="567"/>
        <v>13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 t="str">
        <f>IF(W286="No","No",IF(_xlfn.XLOOKUP(E286,Groups!A:A,Groups!BD:BD)=1,(AO286*5%),EXP(0.7354*LN(C286)^0.4078)*2/IF(_xlfn.XLOOKUP(E286,Groups!A:A,Groups!BL:BL)=1,1000,100)))</f>
        <v>No</v>
      </c>
      <c r="BR286" s="8">
        <f>IF(BJ286="No","No",IF(_xlfn.XLOOKUP(E286,Groups!A:A,Groups!BF:BF)=1,(0.0315*C286+2.1825)*2,(0.7354*C286^0.4078)*2)/IF(_xlfn.XLOOKUP(E286,Groups!A:A,Groups!BM:BM)=1,1000,100))</f>
        <v>0.11349157855001941</v>
      </c>
      <c r="BS286" s="8">
        <f t="shared" si="568"/>
        <v>0.12965776963635597</v>
      </c>
      <c r="BT286" s="8" t="str">
        <f t="shared" si="569"/>
        <v>No</v>
      </c>
      <c r="BU286" s="8" t="str">
        <f t="shared" si="570"/>
        <v>No</v>
      </c>
      <c r="BV286" s="8">
        <f t="shared" si="571"/>
        <v>6099.7442497175489</v>
      </c>
      <c r="BW286" s="4">
        <v>0</v>
      </c>
      <c r="BX286" s="4">
        <v>1</v>
      </c>
    </row>
    <row r="287" spans="1:76" s="16" customFormat="1" x14ac:dyDescent="0.25">
      <c r="A287" s="26" t="s">
        <v>1577</v>
      </c>
      <c r="B287" s="6" t="s">
        <v>1693</v>
      </c>
      <c r="C287" s="7">
        <v>40</v>
      </c>
      <c r="D287" s="7" t="s">
        <v>528</v>
      </c>
      <c r="E287" s="7" t="str">
        <f>Groups!$A$14</f>
        <v>Doglike (CANID)</v>
      </c>
      <c r="F287" s="7">
        <v>62</v>
      </c>
      <c r="G287" s="7">
        <f>669/365</f>
        <v>1.832876712328767</v>
      </c>
      <c r="H287" s="7">
        <v>20.6</v>
      </c>
      <c r="I287" s="4">
        <v>1</v>
      </c>
      <c r="J287" s="7">
        <v>6</v>
      </c>
      <c r="K287" s="7" t="s">
        <v>528</v>
      </c>
      <c r="L287" s="7">
        <v>64</v>
      </c>
      <c r="M287" s="7" t="s">
        <v>627</v>
      </c>
      <c r="N287" s="4">
        <v>0</v>
      </c>
      <c r="O287" s="4">
        <v>0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1.0425371059413748</v>
      </c>
      <c r="T287" s="7">
        <f>_xlfn.XLOOKUP(B287,[1]TeethAdjusters!$A:$A,[1]TeethAdjusters!$B:$B,1)</f>
        <v>1.038364019968949</v>
      </c>
      <c r="U287" s="7" t="s">
        <v>45</v>
      </c>
      <c r="V287" s="7">
        <f>IF(AT287="No","No",IF(_xlfn.XLOOKUP(E287,Groups!A:A,Groups!AM:AM)=1,MROUND(EXP(0.3582*LN(C287)-0.2221)*T287,0.05),IF(_xlfn.XLOOKUP(E287,Groups!A:A,Groups!AM:AM)=2,MROUND(EXP(0.3582*LN(C287)-0.2221)*T287,0.05),"Need a formula")))</f>
        <v>3.1</v>
      </c>
      <c r="W287" s="7" t="s">
        <v>45</v>
      </c>
      <c r="X287" s="7" t="s">
        <v>933</v>
      </c>
      <c r="Y287" s="4" t="s">
        <v>56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379</v>
      </c>
      <c r="AH287" s="4" t="str">
        <f>Animals!$C$14</f>
        <v>&lt;li&gt;YorkshireTerrier&lt;/li&gt;</v>
      </c>
      <c r="AI287" s="4">
        <v>0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557"/>
        <v>12208.490600010842</v>
      </c>
      <c r="AP287" s="8">
        <f>IFERROR(C287*_xlfn.XLOOKUP(E287,Groups!A:A,Groups!K:K),0.106*C287^0.94)</f>
        <v>4.99</v>
      </c>
      <c r="AQ287" s="8">
        <f>AP287*10000/(_xlfn.XLOOKUP(E287,Groups!A:A,Groups!J:J)*AO287)</f>
        <v>3.7498342762962693</v>
      </c>
      <c r="AR287" s="8">
        <f t="shared" si="558"/>
        <v>1226.5939672257964</v>
      </c>
      <c r="AS287" s="8">
        <f>IF(_xlfn.XLOOKUP(E287,Groups!A:A,Groups!M:M)=1,EXP(0.7444*LN('Base stats'!C287)+6.5696),EXP(0.7927*LN('Base stats'!C287)+4.28))</f>
        <v>1345.0342323536652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IF(_xlfn.XLOOKUP(E287,Groups!A:A,Groups!N:N)="Theropod",EXP(0.6966*LN(C287)+4.158)*S287,
"No"))))))))))))))))</f>
        <v>2994.2309707514896</v>
      </c>
      <c r="AU287" s="8">
        <f>IF(_xlfn.XLOOKUP(E287,Groups!A:A,Groups!U:U)=3,AS287,IF(_xlfn.XLOOKUP(E287,Groups!A:A,Groups!U:U)=2,AR287,AT287))</f>
        <v>2994.2309707514896</v>
      </c>
      <c r="AV287" s="46">
        <f>IFERROR(AVERAGE(_xlfn.XLOOKUP(B287,Animals!B:B,Animals!N:N),_xlfn.XLOOKUP(B287,Animals!B:B,Animals!O:O)),0)</f>
        <v>0</v>
      </c>
      <c r="AW287" s="8">
        <f>MROUND(40*Animals!AO313*_xlfn.XLOOKUP(Animals!BB313,Leathers!$A$2:$A$99,Leathers!$B$2:$B$99,0)+(140*_xlfn.XLOOKUP(B287,Animals!B:B,Animals!AO:AO)*2),5)</f>
        <v>225</v>
      </c>
      <c r="AX287" s="8">
        <f>IFERROR(ROUND(SQRT(V287-1)*IF(_xlfn.XLOOKUP(E287,Groups!A:A,Groups!BF:BF)=0,2,1)*IF(_xlfn.XLOOKUP('Base stats'!E287,Groups!A:A,Groups!O:O)=0,1,0.1),1),0)</f>
        <v>2.9</v>
      </c>
      <c r="AY287" s="8">
        <f t="shared" si="559"/>
        <v>0</v>
      </c>
      <c r="AZ287" s="8">
        <f t="shared" si="560"/>
        <v>0</v>
      </c>
      <c r="BA287" s="8">
        <f t="shared" si="561"/>
        <v>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3.9653916606333888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562"/>
        <v>0.84061651845168284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1.2614357700529921</v>
      </c>
      <c r="BF287" s="8">
        <f>(0.048*C287^1.01)/IF(_xlfn.XLOOKUP(E287,Groups!A:A,Groups!M:M)=1,0.25,0.8)*C287^-0.25</f>
        <v>0.99018614167501795</v>
      </c>
      <c r="BG287" s="8">
        <f>EXP(1.076*LN(AR287)-4.5397)*IF(_xlfn.XLOOKUP(E287,Groups!A:A,Groups!BC:BC)=1,1.25,IF(_xlfn.XLOOKUP(E287,Groups!A:A,Groups!BD:BD)=1,3.5,2.5))</f>
        <v>56.210239558641248</v>
      </c>
      <c r="BH287" s="8">
        <f>EXP(1.076*LN(AS287)-4.5397)*IF(_xlfn.XLOOKUP(E287,Groups!A:A,Groups!M:M)=1,0.8,IF(_xlfn.XLOOKUP(E287,Groups!A:A,Groups!BC:BC)=1,1.3,3))</f>
        <v>74.485487848676939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220.26606284709794</v>
      </c>
      <c r="BK287" s="8">
        <f t="shared" si="563"/>
        <v>11</v>
      </c>
      <c r="BL287" s="8">
        <f t="shared" si="564"/>
        <v>10</v>
      </c>
      <c r="BM287" s="8" t="str">
        <f t="shared" si="565"/>
        <v>No</v>
      </c>
      <c r="BN287" s="8">
        <f t="shared" si="566"/>
        <v>10</v>
      </c>
      <c r="BO287" s="8">
        <f t="shared" si="567"/>
        <v>12</v>
      </c>
      <c r="BP287" s="8" t="str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No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6.6202392635939605E-2</v>
      </c>
      <c r="BS287" s="8">
        <f t="shared" si="568"/>
        <v>9.2083847873202812E-2</v>
      </c>
      <c r="BT287" s="8" t="str">
        <f t="shared" si="569"/>
        <v>No</v>
      </c>
      <c r="BU287" s="8" t="str">
        <f t="shared" si="570"/>
        <v>No</v>
      </c>
      <c r="BV287" s="8">
        <f t="shared" si="571"/>
        <v>3327.1616640562484</v>
      </c>
      <c r="BW287" s="4">
        <v>0</v>
      </c>
      <c r="BX287" s="4">
        <v>1</v>
      </c>
    </row>
    <row r="288" spans="1:76" s="16" customFormat="1" x14ac:dyDescent="0.25">
      <c r="A288" s="26" t="s">
        <v>1561</v>
      </c>
      <c r="B288" s="6" t="s">
        <v>1688</v>
      </c>
      <c r="C288" s="7">
        <v>150</v>
      </c>
      <c r="D288" s="7" t="s">
        <v>528</v>
      </c>
      <c r="E288" s="7" t="str">
        <f>Groups!$A$108</f>
        <v>Doglike (RIPPER)</v>
      </c>
      <c r="F288" s="7">
        <v>100</v>
      </c>
      <c r="G288" s="7">
        <v>2.5</v>
      </c>
      <c r="H288" s="7">
        <v>25</v>
      </c>
      <c r="I288" s="4">
        <v>0</v>
      </c>
      <c r="J288" s="7">
        <v>3</v>
      </c>
      <c r="K288" s="7" t="s">
        <v>528</v>
      </c>
      <c r="L288" s="7">
        <v>65</v>
      </c>
      <c r="M288" s="7" t="s">
        <v>627</v>
      </c>
      <c r="N288" s="4">
        <v>0</v>
      </c>
      <c r="O288" s="4">
        <v>0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1.0425371059413748</v>
      </c>
      <c r="T288" s="7">
        <f>_xlfn.XLOOKUP(B288,[1]TeethAdjusters!$A:$A,[1]TeethAdjusters!$B:$B,1)</f>
        <v>1.038364019968949</v>
      </c>
      <c r="U288" s="7" t="s">
        <v>45</v>
      </c>
      <c r="V288" s="7">
        <f>IF(AT288="No","No",IF(_xlfn.XLOOKUP(E288,Groups!A:A,Groups!AM:AM)=1,MROUND(EXP(0.3582*LN(C288)-0.2221)*T288,0.05),IF(_xlfn.XLOOKUP(E288,Groups!A:A,Groups!AM:AM)=2,MROUND(EXP(0.3582*LN(C288)-0.2221)*T288,0.05),"Need a formula")))</f>
        <v>5</v>
      </c>
      <c r="W288" s="7">
        <v>10</v>
      </c>
      <c r="X288" s="7" t="s">
        <v>933</v>
      </c>
      <c r="Y288" s="4" t="s">
        <v>56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452</v>
      </c>
      <c r="AG288" s="28" t="s">
        <v>379</v>
      </c>
      <c r="AH288" s="4" t="str">
        <f>Animals!$C$14</f>
        <v>&lt;li&gt;YorkshireTerrier&lt;/li&gt;</v>
      </c>
      <c r="AI288" s="4">
        <v>0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557"/>
        <v>28825.861601687579</v>
      </c>
      <c r="AP288" s="8">
        <f>IFERROR(C288*_xlfn.XLOOKUP(E288,Groups!A:A,Groups!K:K),0.106*C288^0.94)</f>
        <v>18.712499999999999</v>
      </c>
      <c r="AQ288" s="8">
        <f>AP288*10000/(_xlfn.XLOOKUP(E288,Groups!A:A,Groups!J:J)*AO288)</f>
        <v>5.9555656756693445</v>
      </c>
      <c r="AR288" s="8">
        <f t="shared" si="558"/>
        <v>3746.1489061563307</v>
      </c>
      <c r="AS288" s="8">
        <f>IF(_xlfn.XLOOKUP(E288,Groups!A:A,Groups!M:M)=1,EXP(0.7444*LN('Base stats'!C288)+6.5696),EXP(0.7927*LN('Base stats'!C288)+4.28))</f>
        <v>3835.0225645496203</v>
      </c>
      <c r="AT288" s="8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IF(_xlfn.XLOOKUP(E288,Groups!A:A,Groups!N:N)="Theropod",EXP(0.6966*LN(C288)+4.158)*S288,
"No"))))))))))))))))</f>
        <v>9048.5139415469403</v>
      </c>
      <c r="AU288" s="8">
        <f>IF(_xlfn.XLOOKUP(E288,Groups!A:A,Groups!U:U)=3,AS288,IF(_xlfn.XLOOKUP(E288,Groups!A:A,Groups!U:U)=2,AR288,AT288))</f>
        <v>3835.0225645496203</v>
      </c>
      <c r="AV288" s="46">
        <f>IFERROR(AVERAGE(_xlfn.XLOOKUP(B288,Animals!B:B,Animals!N:N),_xlfn.XLOOKUP(B288,Animals!B:B,Animals!O:O)),0)</f>
        <v>0</v>
      </c>
      <c r="AW288" s="8">
        <f>MROUND(40*Animals!AO269*_xlfn.XLOOKUP(Animals!BB269,Leathers!$A$2:$A$99,Leathers!$B$2:$B$99,0)+(140*_xlfn.XLOOKUP(B288,Animals!B:B,Animals!AO:AO)*2),5)</f>
        <v>430</v>
      </c>
      <c r="AX288" s="8">
        <f>IFERROR(ROUND(SQRT(V288-1)*IF(_xlfn.XLOOKUP(E288,Groups!A:A,Groups!BF:BF)=0,2,1)*IF(_xlfn.XLOOKUP('Base stats'!E288,Groups!A:A,Groups!O:O)=0,1,0.1),1),0)</f>
        <v>4</v>
      </c>
      <c r="AY288" s="8">
        <f t="shared" si="559"/>
        <v>0</v>
      </c>
      <c r="AZ288" s="8">
        <f t="shared" si="560"/>
        <v>3.2</v>
      </c>
      <c r="BA288" s="8">
        <f t="shared" si="561"/>
        <v>4.8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10.020140198976984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2.7038376258152188</v>
      </c>
      <c r="BD288" s="8">
        <f t="shared" si="562"/>
        <v>2.5212615648035737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3.5367920914565221</v>
      </c>
      <c r="BF288" s="8">
        <f>(0.048*C288^1.01)/IF(_xlfn.XLOOKUP(E288,Groups!A:A,Groups!M:M)=1,0.25,0.8)*C288^-0.25</f>
        <v>2.7038376258152188</v>
      </c>
      <c r="BG288" s="8">
        <f>EXP(1.076*LN(AR288)-4.5397)*IF(_xlfn.XLOOKUP(E288,Groups!A:A,Groups!BC:BC)=1,1.25,IF(_xlfn.XLOOKUP(E288,Groups!A:A,Groups!BD:BD)=1,3.5,2.5))</f>
        <v>186.87484615605439</v>
      </c>
      <c r="BH288" s="8">
        <f>EXP(1.076*LN(AS288)-4.5397)*IF(_xlfn.XLOOKUP(E288,Groups!A:A,Groups!M:M)=1,0.8,IF(_xlfn.XLOOKUP(E288,Groups!A:A,Groups!BC:BC)=1,1.3,3))</f>
        <v>229.97937056804284</v>
      </c>
      <c r="BI288" s="8">
        <f>IF(W288="No","No",IF(_xlfn.XLOOKUP(E288,Groups!A:A,Groups!U:U)=1,'Base stats'!BJ288,IF(OR(_xlfn.XLOOKUP(E288,Groups!A:A,Groups!BD:BD)=1,_xlfn.XLOOKUP(E288,Groups!A:A,Groups!U:U)=2),BG288,BH288))*1.2)</f>
        <v>275.97524468165142</v>
      </c>
      <c r="BJ288" s="8">
        <f>IFERROR(EXP(1.076*LN(AT288)-4.5397)*IF(_xlfn.XLOOKUP(E288,Groups!A:A,Groups!N:N)="Insect",1,IF(OR(_xlfn.XLOOKUP(E288,Groups!A:A,Groups!N:N)="Pig",_xlfn.XLOOKUP(E288,Groups!A:A,Groups!N:N)="StrongBitingHerbivore"),3.5,3.75)),"No")</f>
        <v>724.00529072940014</v>
      </c>
      <c r="BK288" s="8">
        <f t="shared" si="563"/>
        <v>12</v>
      </c>
      <c r="BL288" s="8">
        <f t="shared" si="564"/>
        <v>11</v>
      </c>
      <c r="BM288" s="8">
        <f t="shared" si="565"/>
        <v>14</v>
      </c>
      <c r="BN288" s="8">
        <f t="shared" si="566"/>
        <v>12</v>
      </c>
      <c r="BO288" s="8">
        <f t="shared" si="567"/>
        <v>13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6.0107842131370601</v>
      </c>
      <c r="BQ288" s="8">
        <f>IF(W288="No","No",IF(_xlfn.XLOOKUP(E288,Groups!A:A,Groups!BD:BD)=1,(AO288*5%),EXP(0.7354*LN(C288)^0.4078)*2/IF(_xlfn.XLOOKUP(E288,Groups!A:A,Groups!BL:BL)=1,1000,100)))</f>
        <v>8.2648233730893052E-3</v>
      </c>
      <c r="BR288" s="8">
        <f>IF(BJ288="No","No",IF(_xlfn.XLOOKUP(E288,Groups!A:A,Groups!BF:BF)=1,(0.0315*C288+2.1825)*2,(0.7354*C288^0.4078)*2)/IF(_xlfn.XLOOKUP(E288,Groups!A:A,Groups!BM:BM)=1,1000,100))</f>
        <v>0.11349157855001941</v>
      </c>
      <c r="BS288" s="8">
        <f t="shared" si="568"/>
        <v>0.12965776963635597</v>
      </c>
      <c r="BT288" s="8">
        <f t="shared" si="569"/>
        <v>38.2611257388685</v>
      </c>
      <c r="BU288" s="8">
        <f t="shared" si="570"/>
        <v>33391.547795230712</v>
      </c>
      <c r="BV288" s="8">
        <f t="shared" si="571"/>
        <v>6379.3745754475303</v>
      </c>
      <c r="BW288" s="4">
        <v>0</v>
      </c>
      <c r="BX288" s="4">
        <v>1</v>
      </c>
    </row>
    <row r="289" spans="1:76" s="16" customFormat="1" x14ac:dyDescent="0.25">
      <c r="A289" s="26" t="s">
        <v>1361</v>
      </c>
      <c r="B289" s="6" t="s">
        <v>1851</v>
      </c>
      <c r="C289" s="7">
        <v>10</v>
      </c>
      <c r="D289" s="7" t="s">
        <v>528</v>
      </c>
      <c r="E289" s="7" t="str">
        <f>Groups!$A$14</f>
        <v>Doglike (CANID)</v>
      </c>
      <c r="F289" s="7">
        <v>52</v>
      </c>
      <c r="G289" s="7">
        <f>304/365</f>
        <v>0.83287671232876714</v>
      </c>
      <c r="H289" s="7">
        <v>21.3</v>
      </c>
      <c r="I289" s="4">
        <v>0</v>
      </c>
      <c r="J289" s="7">
        <v>5</v>
      </c>
      <c r="K289" s="7" t="s">
        <v>528</v>
      </c>
      <c r="L289" s="7">
        <f>MIN(37.5*C289^0.089,79.3*C289^-0.072)</f>
        <v>46.028971168440272</v>
      </c>
      <c r="M289" s="7" t="s">
        <v>627</v>
      </c>
      <c r="N289" s="4">
        <v>0</v>
      </c>
      <c r="O289" s="4">
        <v>1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tr">
        <f>IF(OR(_xlfn.XLOOKUP(E289,Groups!A:A,Groups!P:P)=1,_xlfn.XLOOKUP(E289,Groups!A:A,Groups!AD:AD)=1),"Need a formula","No")</f>
        <v>No</v>
      </c>
      <c r="V289" s="7">
        <f>IF(AT289="No","No",IF(_xlfn.XLOOKUP(E289,Groups!A:A,Groups!AM:AM)=1,MROUND(EXP(0.3582*LN(C289)-0.2221)*T289,0.05),IF(_xlfn.XLOOKUP(E289,Groups!A:A,Groups!AM:AM)=2,MROUND(EXP(0.3582*LN(C289)-0.2221)*T289,0.05),"Need a formula")))</f>
        <v>1.85</v>
      </c>
      <c r="W289" s="7" t="str">
        <f>IF(_xlfn.XLOOKUP(E289,Groups!A:A,Groups!V:V)&lt;&gt;"No","Need a formula","No")</f>
        <v>No</v>
      </c>
      <c r="X289" s="7" t="s">
        <v>933</v>
      </c>
      <c r="Y289" s="4" t="s">
        <v>56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45</v>
      </c>
      <c r="AG289" s="28" t="s">
        <v>381</v>
      </c>
      <c r="AH289" s="4" t="str">
        <f>Animals!$C$60</f>
        <v xml:space="preserve">&lt;li&gt;Fox_Fennec&lt;/li&gt; 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557"/>
        <v>4958.187872875691</v>
      </c>
      <c r="AP289" s="8">
        <f>IFERROR(C289*_xlfn.XLOOKUP(E289,Groups!A:A,Groups!K:K),0.106*C289^0.94)</f>
        <v>1.2475000000000001</v>
      </c>
      <c r="AQ289" s="8">
        <f>AP289*10000/(_xlfn.XLOOKUP(E289,Groups!A:A,Groups!J:J)*AO289)</f>
        <v>2.3082937601157147</v>
      </c>
      <c r="AR289" s="8">
        <f t="shared" si="558"/>
        <v>380.31263115847975</v>
      </c>
      <c r="AS289" s="8">
        <f>IF(_xlfn.XLOOKUP(E289,Groups!A:A,Groups!M:M)=1,EXP(0.7444*LN('Base stats'!C289)+6.5696),EXP(0.7927*LN('Base stats'!C289)+4.28))</f>
        <v>448.20880356342906</v>
      </c>
      <c r="AT289" s="8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IF(_xlfn.XLOOKUP(E289,Groups!A:A,Groups!N:N)="Theropod",EXP(0.6966*LN(C289)+4.158)*S289,
"No"))))))))))))))))</f>
        <v>900.43046849879477</v>
      </c>
      <c r="AU289" s="8">
        <f>IF(_xlfn.XLOOKUP(E289,Groups!A:A,Groups!U:U)=3,AS289,IF(_xlfn.XLOOKUP(E289,Groups!A:A,Groups!U:U)=2,AR289,AT289))</f>
        <v>900.43046849879477</v>
      </c>
      <c r="AV289" s="46">
        <f>IFERROR(AVERAGE(_xlfn.XLOOKUP(B289,Animals!B:B,Animals!N:N),_xlfn.XLOOKUP(B289,Animals!B:B,Animals!O:O)),0)</f>
        <v>0</v>
      </c>
      <c r="AW289" s="8">
        <f>MROUND(40*Animals!AO206*_xlfn.XLOOKUP(Animals!BB206,Leathers!$A$2:$A$99,Leathers!$B$2:$B$99,0)+(140*_xlfn.XLOOKUP(B289,Animals!B:B,Animals!AO:AO)*2),5)</f>
        <v>110</v>
      </c>
      <c r="AX289" s="8">
        <f>IFERROR(ROUND(SQRT(V289-1)*IF(_xlfn.XLOOKUP(E289,Groups!A:A,Groups!BF:BF)=0,2,1)*IF(_xlfn.XLOOKUP('Base stats'!E289,Groups!A:A,Groups!O:O)=0,1,0.1),1),0)</f>
        <v>1.8</v>
      </c>
      <c r="AY289" s="8">
        <f t="shared" si="559"/>
        <v>0</v>
      </c>
      <c r="AZ289" s="8">
        <f t="shared" si="560"/>
        <v>0</v>
      </c>
      <c r="BA289" s="8">
        <f t="shared" si="561"/>
        <v>1.6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1.4426074012258232</v>
      </c>
      <c r="BC289" s="8" t="str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No</v>
      </c>
      <c r="BD289" s="8">
        <f t="shared" si="562"/>
        <v>0.26563547098338458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0.42781730611279417</v>
      </c>
      <c r="BF289" s="8">
        <f>(0.048*C289^1.01)/IF(_xlfn.XLOOKUP(E289,Groups!A:A,Groups!M:M)=1,0.25,0.8)*C289^-0.25</f>
        <v>0.34526396240229418</v>
      </c>
      <c r="BG289" s="8">
        <f>EXP(1.076*LN(AR289)-4.5397)*IF(_xlfn.XLOOKUP(E289,Groups!A:A,Groups!BC:BC)=1,1.25,IF(_xlfn.XLOOKUP(E289,Groups!A:A,Groups!BD:BD)=1,3.5,2.5))</f>
        <v>15.944275717953127</v>
      </c>
      <c r="BH289" s="8">
        <f>EXP(1.076*LN(AS289)-4.5397)*IF(_xlfn.XLOOKUP(E289,Groups!A:A,Groups!M:M)=1,0.8,IF(_xlfn.XLOOKUP(E289,Groups!A:A,Groups!BC:BC)=1,1.3,3))</f>
        <v>22.832185638487289</v>
      </c>
      <c r="BI289" s="8" t="str">
        <f>IF(W289="No","No",IF(_xlfn.XLOOKUP(E289,Groups!A:A,Groups!U:U)=1,'Base stats'!BJ289,IF(OR(_xlfn.XLOOKUP(E289,Groups!A:A,Groups!BD:BD)=1,_xlfn.XLOOKUP(E289,Groups!A:A,Groups!U:U)=2),BG289,BH289))*1.2)</f>
        <v>No</v>
      </c>
      <c r="BJ289" s="8">
        <f>IFERROR(EXP(1.076*LN(AT289)-4.5397)*IF(_xlfn.XLOOKUP(E289,Groups!A:A,Groups!N:N)="Insect",1,IF(OR(_xlfn.XLOOKUP(E289,Groups!A:A,Groups!N:N)="Pig",_xlfn.XLOOKUP(E289,Groups!A:A,Groups!N:N)="StrongBitingHerbivore"),3.5,3.75)),"No")</f>
        <v>60.457892518094042</v>
      </c>
      <c r="BK289" s="8">
        <f t="shared" si="563"/>
        <v>10</v>
      </c>
      <c r="BL289" s="8">
        <f t="shared" si="564"/>
        <v>10</v>
      </c>
      <c r="BM289" s="8" t="str">
        <f t="shared" si="565"/>
        <v>No</v>
      </c>
      <c r="BN289" s="8">
        <f t="shared" si="566"/>
        <v>9</v>
      </c>
      <c r="BO289" s="8">
        <f t="shared" si="567"/>
        <v>11</v>
      </c>
      <c r="BP289" s="8" t="str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No</v>
      </c>
      <c r="BQ289" s="8" t="str">
        <f>IF(W289="No","No",IF(_xlfn.XLOOKUP(E289,Groups!A:A,Groups!BD:BD)=1,(AO289*5%),EXP(0.7354*LN(C289)^0.4078)*2/IF(_xlfn.XLOOKUP(E289,Groups!A:A,Groups!BL:BL)=1,1000,100)))</f>
        <v>No</v>
      </c>
      <c r="BR289" s="8">
        <f>IF(BJ289="No","No",IF(_xlfn.XLOOKUP(E289,Groups!A:A,Groups!BF:BF)=1,(0.0315*C289+2.1825)*2,(0.7354*C289^0.4078)*2)/IF(_xlfn.XLOOKUP(E289,Groups!A:A,Groups!BM:BM)=1,1000,100))</f>
        <v>3.7614355184740135E-2</v>
      </c>
      <c r="BS289" s="8">
        <f t="shared" si="568"/>
        <v>6.4314931691790186E-2</v>
      </c>
      <c r="BT289" s="8" t="str">
        <f t="shared" si="569"/>
        <v>No</v>
      </c>
      <c r="BU289" s="8" t="str">
        <f t="shared" si="570"/>
        <v>No</v>
      </c>
      <c r="BV289" s="8">
        <f t="shared" si="571"/>
        <v>1607.3090239393857</v>
      </c>
      <c r="BW289" s="4">
        <v>0</v>
      </c>
      <c r="BX289" s="4">
        <v>1</v>
      </c>
    </row>
    <row r="290" spans="1:76" s="16" customFormat="1" x14ac:dyDescent="0.25">
      <c r="A290" s="26" t="s">
        <v>1387</v>
      </c>
      <c r="B290" s="6" t="s">
        <v>1862</v>
      </c>
      <c r="C290" s="7">
        <v>500</v>
      </c>
      <c r="D290" s="7" t="s">
        <v>528</v>
      </c>
      <c r="E290" s="7" t="str">
        <f>Groups!$A$52</f>
        <v>Ruminant (HORNS, GENTLE)</v>
      </c>
      <c r="F290" s="7">
        <v>277</v>
      </c>
      <c r="G290" s="7">
        <f>548/365</f>
        <v>1.5013698630136987</v>
      </c>
      <c r="H290" s="7">
        <v>20</v>
      </c>
      <c r="I290" s="4">
        <v>1</v>
      </c>
      <c r="J290" s="7">
        <v>1</v>
      </c>
      <c r="K290" s="7" t="s">
        <v>528</v>
      </c>
      <c r="L290" s="7">
        <v>29</v>
      </c>
      <c r="M290" s="7" t="s">
        <v>627</v>
      </c>
      <c r="N290" s="4">
        <v>0</v>
      </c>
      <c r="O290" s="4">
        <v>1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 t="str">
        <f>IF(AT290="No","No",IF(_xlfn.XLOOKUP(E290,Groups!A:A,Groups!AM:AM)=1,MROUND(EXP(0.3582*LN(C290)-0.2221)*T290,0.05),IF(_xlfn.XLOOKUP(E290,Groups!A:A,Groups!AM:AM)=2,MROUND(EXP(0.3582*LN(C290)-0.2221)*T290,0.05),"Need a formula")))</f>
        <v>No</v>
      </c>
      <c r="W290" s="7">
        <v>11.4</v>
      </c>
      <c r="X290" s="7" t="s">
        <v>964</v>
      </c>
      <c r="Y290" s="4" t="s">
        <v>42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398</v>
      </c>
      <c r="AG290" s="28" t="s">
        <v>1719</v>
      </c>
      <c r="AH290" s="4" t="str">
        <f>Animals!$C$43</f>
        <v>&lt;li&gt;Cow&lt;/li&gt;</v>
      </c>
      <c r="AI290" s="4">
        <v>1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ref="AO290" si="572">(0.111*C290^0.65)*10000</f>
        <v>63045.411191767809</v>
      </c>
      <c r="AP290" s="8">
        <f>IFERROR(C290*_xlfn.XLOOKUP(E290,Groups!A:A,Groups!K:K),0.106*C290^0.94)</f>
        <v>36.503765791879047</v>
      </c>
      <c r="AQ290" s="8">
        <f>AP290*10000/(_xlfn.XLOOKUP(E290,Groups!A:A,Groups!J:J)*AO290)</f>
        <v>5.3119953941101317</v>
      </c>
      <c r="AR290" s="8">
        <f t="shared" ref="AR290" si="573">EXP(0.8447*LN(C290)+3.996)</f>
        <v>10357.637618796818</v>
      </c>
      <c r="AS290" s="8">
        <f>IF(_xlfn.XLOOKUP(E290,Groups!A:A,Groups!M:M)=1,EXP(0.7444*LN('Base stats'!C290)+6.5696),EXP(0.7927*LN('Base stats'!C290)+4.28))</f>
        <v>9959.8753916241294</v>
      </c>
      <c r="AT290" s="8" t="str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IF(_xlfn.XLOOKUP(E290,Groups!A:A,Groups!N:N)="Theropod",EXP(0.6966*LN(C290)+4.158)*S290,
"No"))))))))))))))))</f>
        <v>No</v>
      </c>
      <c r="AU290" s="8">
        <f>IF(_xlfn.XLOOKUP(E290,Groups!A:A,Groups!U:U)=3,AS290,IF(_xlfn.XLOOKUP(E290,Groups!A:A,Groups!U:U)=2,AR290,AT290))</f>
        <v>9959.8753916241294</v>
      </c>
      <c r="AV290" s="46">
        <f>IFERROR(AVERAGE(_xlfn.XLOOKUP(B290,Animals!B:B,Animals!N:N),_xlfn.XLOOKUP(B290,Animals!B:B,Animals!O:O)),0)</f>
        <v>0</v>
      </c>
      <c r="AW290" s="8">
        <f>MROUND(40*Animals!AO221*_xlfn.XLOOKUP(Animals!BB221,Leathers!$A$2:$A$99,Leathers!$B$2:$B$99,0)+(140*_xlfn.XLOOKUP(B290,Animals!B:B,Animals!AO:AO)*2),5)</f>
        <v>770</v>
      </c>
      <c r="AX290" s="8">
        <f>IFERROR(ROUND(SQRT(V290-1)*IF(_xlfn.XLOOKUP(E290,Groups!A:A,Groups!BF:BF)=0,2,1)*IF(_xlfn.XLOOKUP('Base stats'!E290,Groups!A:A,Groups!O:O)=0,1,0.1),1),0)</f>
        <v>0</v>
      </c>
      <c r="AY290" s="8">
        <f t="shared" ref="AY290" si="574">IFERROR(ROUND(SQRT(U290-1),1),0)</f>
        <v>0</v>
      </c>
      <c r="AZ290" s="8">
        <f t="shared" ref="AZ290" si="575">IFERROR(ROUND(SQRT(W290),1),0)</f>
        <v>3.4</v>
      </c>
      <c r="BA290" s="8">
        <f t="shared" ref="BA290" si="576">ROUND(
  EXP(0.3582*LN(C290)-0.2221) *
  (0.75 + 0.25*(C290^4/(C290^4+10^4))),
1)</f>
        <v>7.4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4.2492222832919326</v>
      </c>
      <c r="BC290" s="8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6.7510053736705169</v>
      </c>
      <c r="BD290" s="8">
        <f t="shared" ref="BD290" si="577">(0.0392*C290^IF(OR(Y290="Herbivore",Y290="Dendrovore",Y290="OmnivoreRough"),0.889,0.966))*C290^-0.135</f>
        <v>4.2492222832919326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9.0459660212328927</v>
      </c>
      <c r="BF290" s="8">
        <f>(0.048*C290^1.01)/IF(_xlfn.XLOOKUP(E290,Groups!A:A,Groups!M:M)=1,0.25,0.8)*C290^-0.25</f>
        <v>6.7510053736705169</v>
      </c>
      <c r="BG290" s="8">
        <f>EXP(1.076*LN(AR290)-4.5397)*IF(_xlfn.XLOOKUP(E290,Groups!A:A,Groups!BC:BC)=1,1.25,IF(_xlfn.XLOOKUP(E290,Groups!A:A,Groups!BD:BD)=1,3.5,2.5))</f>
        <v>558.20519715935461</v>
      </c>
      <c r="BH290" s="8">
        <f>EXP(1.076*LN(AS290)-4.5397)*IF(_xlfn.XLOOKUP(E290,Groups!A:A,Groups!M:M)=1,0.8,IF(_xlfn.XLOOKUP(E290,Groups!A:A,Groups!BC:BC)=1,1.3,3))</f>
        <v>642.20812673473438</v>
      </c>
      <c r="BI290" s="8">
        <f>IF(W290="No","No",IF(_xlfn.XLOOKUP(E290,Groups!A:A,Groups!U:U)=1,'Base stats'!BJ290,IF(OR(_xlfn.XLOOKUP(E290,Groups!A:A,Groups!BD:BD)=1,_xlfn.XLOOKUP(E290,Groups!A:A,Groups!U:U)=2),BG290,BH290))*1.2)</f>
        <v>770.64975208168119</v>
      </c>
      <c r="BJ290" s="8" t="str">
        <f>IFERROR(EXP(1.076*LN(AT290)-4.5397)*IF(_xlfn.XLOOKUP(E290,Groups!A:A,Groups!N:N)="Insect",1,IF(OR(_xlfn.XLOOKUP(E290,Groups!A:A,Groups!N:N)="Pig",_xlfn.XLOOKUP(E290,Groups!A:A,Groups!N:N)="StrongBitingHerbivore"),3.5,3.75)),"No")</f>
        <v>No</v>
      </c>
      <c r="BK290" s="8">
        <f t="shared" ref="BK290" si="578">ROUNDDOWN(SQRT((2*BG290)/BD290),0)</f>
        <v>16</v>
      </c>
      <c r="BL290" s="8">
        <f t="shared" ref="BL290" si="579">ROUNDDOWN(SQRT((2*BH290)/BE290),0)</f>
        <v>11</v>
      </c>
      <c r="BM290" s="8">
        <f t="shared" ref="BM290" si="580">IF(W290="No","No",ROUNDDOWN(SQRT((2*BI290)/BC290),0))</f>
        <v>15</v>
      </c>
      <c r="BN290" s="8" t="str">
        <f t="shared" ref="BN290" si="581">IF(V290="No","No",ROUNDDOWN(SQRT((2*BJ290)/BB290),0))</f>
        <v>No</v>
      </c>
      <c r="BO290" s="8">
        <f t="shared" ref="BO290" si="582">ROUNDDOWN(SQRT((2*BH290)/BF290),0)</f>
        <v>13</v>
      </c>
      <c r="BP290" s="8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88.57362733511664</v>
      </c>
      <c r="BQ290" s="8">
        <f>IF(W290="No","No",IF(_xlfn.XLOOKUP(E290,Groups!A:A,Groups!BD:BD)=1,(AO290*5%),EXP(0.7354*LN(C290)^0.4078)*2/IF(_xlfn.XLOOKUP(E290,Groups!A:A,Groups!BL:BL)=1,1000,100)))</f>
        <v>9.4144063621096771E-2</v>
      </c>
      <c r="BR290" s="8" t="str">
        <f>IF(BJ290="No","No",IF(_xlfn.XLOOKUP(E290,Groups!A:A,Groups!BF:BF)=1,(0.0315*C290+2.1825)*2,(0.7354*C290^0.4078)*2)/IF(_xlfn.XLOOKUP(E290,Groups!A:A,Groups!BM:BM)=1,1000,100))</f>
        <v>No</v>
      </c>
      <c r="BS290" s="8">
        <f t="shared" ref="BS290" si="583">BG290/(AO290*5%)</f>
        <v>0.17708035735112868</v>
      </c>
      <c r="BT290" s="8">
        <f t="shared" ref="BT290" si="584">IF(BP290="No","No",BH290/BP290)</f>
        <v>7.2505569214745167</v>
      </c>
      <c r="BU290" s="8">
        <f t="shared" ref="BU290" si="585">IF(W290="No","No",BI290/BQ290)</f>
        <v>8185.8560427487864</v>
      </c>
      <c r="BV290" s="8" t="str">
        <f t="shared" ref="BV290" si="586">IF(BJ290="No","No",BJ290/BR290)</f>
        <v>No</v>
      </c>
      <c r="BW290" s="4">
        <v>0</v>
      </c>
      <c r="BX290" s="4">
        <v>1</v>
      </c>
    </row>
    <row r="291" spans="1:76" s="16" customFormat="1" x14ac:dyDescent="0.25">
      <c r="A291" s="26" t="s">
        <v>1547</v>
      </c>
      <c r="B291" s="6" t="s">
        <v>1682</v>
      </c>
      <c r="C291" s="7">
        <v>350</v>
      </c>
      <c r="D291" s="7" t="s">
        <v>528</v>
      </c>
      <c r="E291" s="7" t="str">
        <f>Groups!$A$52</f>
        <v>Ruminant (HORNS, GENTLE)</v>
      </c>
      <c r="F291" s="7">
        <v>277</v>
      </c>
      <c r="G291" s="7">
        <f>548/365</f>
        <v>1.5013698630136987</v>
      </c>
      <c r="H291" s="7">
        <v>20</v>
      </c>
      <c r="I291" s="4">
        <v>1</v>
      </c>
      <c r="J291" s="7">
        <v>1</v>
      </c>
      <c r="K291" s="7" t="s">
        <v>528</v>
      </c>
      <c r="L291" s="7">
        <v>29</v>
      </c>
      <c r="M291" s="7" t="s">
        <v>627</v>
      </c>
      <c r="N291" s="4">
        <v>0</v>
      </c>
      <c r="O291" s="4">
        <v>1</v>
      </c>
      <c r="P291" s="4">
        <v>0</v>
      </c>
      <c r="Q291" s="4">
        <v>0</v>
      </c>
      <c r="R291" s="4">
        <v>1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">
        <v>45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>
        <v>11.4</v>
      </c>
      <c r="X291" s="7" t="s">
        <v>964</v>
      </c>
      <c r="Y291" s="4" t="s">
        <v>42</v>
      </c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 t="s">
        <v>398</v>
      </c>
      <c r="AG291" s="28" t="s">
        <v>1719</v>
      </c>
      <c r="AH291" s="4" t="str">
        <f>Animals!$C$43</f>
        <v>&lt;li&gt;Cow&lt;/li&gt;</v>
      </c>
      <c r="AI291" s="4">
        <v>1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ref="AO291" si="587">(0.111*C291^0.65)*10000</f>
        <v>49999.678016554004</v>
      </c>
      <c r="AP291" s="8">
        <f>IFERROR(C291*_xlfn.XLOOKUP(E291,Groups!A:A,Groups!K:K),0.106*C291^0.94)</f>
        <v>26.105368435044046</v>
      </c>
      <c r="AQ291" s="8">
        <f>AP291*10000/(_xlfn.XLOOKUP(E291,Groups!A:A,Groups!J:J)*AO291)</f>
        <v>4.7900067056984179</v>
      </c>
      <c r="AR291" s="8">
        <f t="shared" ref="AR291" si="588">EXP(0.8447*LN(C291)+3.996)</f>
        <v>7663.2858706487614</v>
      </c>
      <c r="AS291" s="8">
        <f>IF(_xlfn.XLOOKUP(E291,Groups!A:A,Groups!M:M)=1,EXP(0.7444*LN('Base stats'!C291)+6.5696),EXP(0.7927*LN('Base stats'!C291)+4.28))</f>
        <v>7506.9430520091801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IF(_xlfn.XLOOKUP(E291,Groups!A:A,Groups!N:N)="Theropod",EXP(0.6966*LN(C291)+4.158)*S291,
"No"))))))))))))))))</f>
        <v>No</v>
      </c>
      <c r="AU291" s="8">
        <f>IF(_xlfn.XLOOKUP(E291,Groups!A:A,Groups!U:U)=3,AS291,IF(_xlfn.XLOOKUP(E291,Groups!A:A,Groups!U:U)=2,AR291,AT291))</f>
        <v>7506.9430520091801</v>
      </c>
      <c r="AV291" s="46">
        <f>IFERROR(AVERAGE(_xlfn.XLOOKUP(B291,Animals!B:B,Animals!N:N),_xlfn.XLOOKUP(B291,Animals!B:B,Animals!O:O)),0)</f>
        <v>0</v>
      </c>
      <c r="AW291" s="8">
        <f>MROUND(40*Animals!AO220*_xlfn.XLOOKUP(Animals!BB220,Leathers!$A$2:$A$99,Leathers!$B$2:$B$99,0)+(140*_xlfn.XLOOKUP(B291,Animals!B:B,Animals!AO:AO)*2),5)</f>
        <v>1845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ref="AY291" si="589">IFERROR(ROUND(SQRT(U291-1),1),0)</f>
        <v>0</v>
      </c>
      <c r="AZ291" s="8">
        <f t="shared" ref="AZ291" si="590">IFERROR(ROUND(SQRT(W291),1),0)</f>
        <v>3.4</v>
      </c>
      <c r="BA291" s="8">
        <f t="shared" ref="BA291" si="591">ROUND(
  EXP(0.3582*LN(C291)-0.2221) *
  (0.75 + 0.25*(C291^4/(C291^4+10^4))),
1)</f>
        <v>6.5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3.2472324064132327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5.1480524630900852</v>
      </c>
      <c r="BD291" s="8">
        <f t="shared" ref="BD291" si="592">(0.0392*C291^IF(OR(Y291="Herbivore",Y291="Dendrovore",Y291="OmnivoreRough"),0.889,0.966))*C291^-0.135</f>
        <v>3.2472324064132327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6.8490671365591904</v>
      </c>
      <c r="BF291" s="8">
        <f>(0.048*C291^1.01)/IF(_xlfn.XLOOKUP(E291,Groups!A:A,Groups!M:M)=1,0.25,0.8)*C291^-0.25</f>
        <v>5.1480524630900852</v>
      </c>
      <c r="BG291" s="8">
        <f>EXP(1.076*LN(AR291)-4.5397)*IF(_xlfn.XLOOKUP(E291,Groups!A:A,Groups!BC:BC)=1,1.25,IF(_xlfn.XLOOKUP(E291,Groups!A:A,Groups!BD:BD)=1,3.5,2.5))</f>
        <v>403.64903444222597</v>
      </c>
      <c r="BH291" s="8">
        <f>EXP(1.076*LN(AS291)-4.5397)*IF(_xlfn.XLOOKUP(E291,Groups!A:A,Groups!M:M)=1,0.8,IF(_xlfn.XLOOKUP(E291,Groups!A:A,Groups!BC:BC)=1,1.3,3))</f>
        <v>473.75402609099581</v>
      </c>
      <c r="BI291" s="8">
        <f>IF(W291="No","No",IF(_xlfn.XLOOKUP(E291,Groups!A:A,Groups!U:U)=1,'Base stats'!BJ291,IF(OR(_xlfn.XLOOKUP(E291,Groups!A:A,Groups!BD:BD)=1,_xlfn.XLOOKUP(E291,Groups!A:A,Groups!U:U)=2),BG291,BH291))*1.2)</f>
        <v>568.50483130919497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ref="BK291" si="593">ROUNDDOWN(SQRT((2*BG291)/BD291),0)</f>
        <v>15</v>
      </c>
      <c r="BL291" s="8">
        <f t="shared" ref="BL291" si="594">ROUNDDOWN(SQRT((2*BH291)/BE291),0)</f>
        <v>11</v>
      </c>
      <c r="BM291" s="8">
        <f t="shared" ref="BM291" si="595">IF(W291="No","No",ROUNDDOWN(SQRT((2*BI291)/BC291),0))</f>
        <v>14</v>
      </c>
      <c r="BN291" s="8" t="str">
        <f t="shared" ref="BN291" si="596">IF(V291="No","No",ROUNDDOWN(SQRT((2*BJ291)/BB291),0))</f>
        <v>No</v>
      </c>
      <c r="BO291" s="8">
        <f t="shared" ref="BO291" si="597">ROUNDDOWN(SQRT((2*BH291)/BF291),0)</f>
        <v>13</v>
      </c>
      <c r="BP291" s="8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64.103753174089817</v>
      </c>
      <c r="BQ291" s="8">
        <f>IF(W291="No","No",IF(_xlfn.XLOOKUP(E291,Groups!A:A,Groups!BD:BD)=1,(AO291*5%),EXP(0.7354*LN(C291)^0.4078)*2/IF(_xlfn.XLOOKUP(E291,Groups!A:A,Groups!BL:BL)=1,1000,100)))</f>
        <v>9.0734189120175002E-2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ref="BS291" si="598">BG291/(AO291*5%)</f>
        <v>0.16146065353004271</v>
      </c>
      <c r="BT291" s="8">
        <f t="shared" ref="BT291" si="599">IF(BP291="No","No",BH291/BP291)</f>
        <v>7.3904257182008974</v>
      </c>
      <c r="BU291" s="8">
        <f t="shared" ref="BU291" si="600">IF(W291="No","No",BI291/BQ291)</f>
        <v>6265.6076702931196</v>
      </c>
      <c r="BV291" s="8" t="str">
        <f t="shared" ref="BV291" si="601">IF(BJ291="No","No",BJ291/BR291)</f>
        <v>No</v>
      </c>
      <c r="BW291" s="4">
        <v>0</v>
      </c>
      <c r="BX291" s="4">
        <v>1</v>
      </c>
    </row>
    <row r="292" spans="1:76" s="16" customFormat="1" x14ac:dyDescent="0.25">
      <c r="A292" s="26" t="s">
        <v>1399</v>
      </c>
      <c r="B292" s="6" t="s">
        <v>1628</v>
      </c>
      <c r="C292" s="7">
        <v>700</v>
      </c>
      <c r="D292" s="7" t="s">
        <v>528</v>
      </c>
      <c r="E292" s="7" t="str">
        <f>Groups!$A$51</f>
        <v>Ruminant (HORNS)</v>
      </c>
      <c r="F292" s="7">
        <v>274</v>
      </c>
      <c r="G292" s="7">
        <f>738/365</f>
        <v>2.021917808219178</v>
      </c>
      <c r="H292" s="7">
        <v>26.3</v>
      </c>
      <c r="I292" s="4">
        <v>0</v>
      </c>
      <c r="J292" s="7">
        <v>1</v>
      </c>
      <c r="K292" s="7" t="s">
        <v>531</v>
      </c>
      <c r="L292" s="7">
        <v>29</v>
      </c>
      <c r="M292" s="7" t="s">
        <v>627</v>
      </c>
      <c r="N292" s="4">
        <v>0</v>
      </c>
      <c r="O292" s="4">
        <v>1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">
        <v>45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>
        <v>42.6</v>
      </c>
      <c r="X292" s="7" t="s">
        <v>964</v>
      </c>
      <c r="Y292" s="4" t="s">
        <v>42</v>
      </c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 t="s">
        <v>398</v>
      </c>
      <c r="AG292" s="28" t="s">
        <v>392</v>
      </c>
      <c r="AH292" s="4" t="str">
        <f>Animals!$C$45</f>
        <v>&lt;li&gt;Yak&lt;/li&gt;</v>
      </c>
      <c r="AI292" s="4">
        <v>1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>(0.111*C292^0.65)*10000</f>
        <v>78457.904543492041</v>
      </c>
      <c r="AP292" s="8">
        <f>IFERROR(C292*_xlfn.XLOOKUP(E292,Groups!A:A,Groups!K:K),0.106*C292^0.94)</f>
        <v>50.083886523008175</v>
      </c>
      <c r="AQ292" s="8">
        <f>AP292*10000/(_xlfn.XLOOKUP(E292,Groups!A:A,Groups!J:J)*AO292)</f>
        <v>5.8564551288019864</v>
      </c>
      <c r="AR292" s="8">
        <f>EXP(0.8447*LN(C292)+3.996)</f>
        <v>13762.428132140532</v>
      </c>
      <c r="AS292" s="8">
        <f>IF(_xlfn.XLOOKUP(E292,Groups!A:A,Groups!M:M)=1,EXP(0.7444*LN('Base stats'!C292)+6.5696),EXP(0.7927*LN('Base stats'!C292)+4.28))</f>
        <v>13004.378424053171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IF(_xlfn.XLOOKUP(E292,Groups!A:A,Groups!N:N)="Theropod",EXP(0.6966*LN(C292)+4.158)*S292,
"No"))))))))))))))))</f>
        <v>No</v>
      </c>
      <c r="AU292" s="8">
        <f>IF(_xlfn.XLOOKUP(E292,Groups!A:A,Groups!U:U)=3,AS292,IF(_xlfn.XLOOKUP(E292,Groups!A:A,Groups!U:U)=2,AR292,AT292))</f>
        <v>13004.378424053171</v>
      </c>
      <c r="AV292" s="46">
        <f>IFERROR(AVERAGE(_xlfn.XLOOKUP(B292,Animals!B:B,Animals!N:N),_xlfn.XLOOKUP(B292,Animals!B:B,Animals!O:O)),0)</f>
        <v>0</v>
      </c>
      <c r="AW292" s="8">
        <f>MROUND(40*Animals!AO227*_xlfn.XLOOKUP(Animals!BB227,Leathers!$A$2:$A$99,Leathers!$B$2:$B$99,0)+(140*_xlfn.XLOOKUP(B292,Animals!B:B,Animals!AO:AO)*2),5)</f>
        <v>910</v>
      </c>
      <c r="AX292" s="8">
        <f>IFERROR(ROUND(SQRT(V292-1)*IF(_xlfn.XLOOKUP(E292,Groups!A:A,Groups!BF:BF)=0,2,1)*IF(_xlfn.XLOOKUP('Base stats'!E292,Groups!A:A,Groups!O:O)=0,1,0.1),1),0)</f>
        <v>0</v>
      </c>
      <c r="AY292" s="8">
        <f>IFERROR(ROUND(SQRT(U292-1),1),0)</f>
        <v>0</v>
      </c>
      <c r="AZ292" s="8">
        <f>IFERROR(ROUND(SQRT(W292),1),0)</f>
        <v>6.5</v>
      </c>
      <c r="BA292" s="8">
        <f>ROUND(
  EXP(0.3582*LN(C292)-0.2221) *
  (0.75 + 0.25*(C292^4/(C292^4+10^4))),
1)</f>
        <v>8.4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5.4763347745999518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8.7181785818357795</v>
      </c>
      <c r="BD292" s="8">
        <f>(0.0392*C292^IF(OR(Y292="Herbivore",Y292="Dendrovore",Y292="OmnivoreRough"),0.889,0.966))*C292^-0.135</f>
        <v>5.4763347745999518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11.76074463058284</v>
      </c>
      <c r="BF292" s="8">
        <f>(0.048*C292^1.01)/IF(_xlfn.XLOOKUP(E292,Groups!A:A,Groups!M:M)=1,0.25,0.8)*C292^-0.25</f>
        <v>8.7181785818357795</v>
      </c>
      <c r="BG292" s="8">
        <f>EXP(1.076*LN(AR292)-4.5397)*IF(_xlfn.XLOOKUP(E292,Groups!A:A,Groups!BC:BC)=1,1.25,IF(_xlfn.XLOOKUP(E292,Groups!A:A,Groups!BD:BD)=1,3.5,2.5))</f>
        <v>757.89534237941155</v>
      </c>
      <c r="BH292" s="8">
        <f>EXP(1.076*LN(AS292)-4.5397)*IF(_xlfn.XLOOKUP(E292,Groups!A:A,Groups!M:M)=1,0.8,IF(_xlfn.XLOOKUP(E292,Groups!A:A,Groups!BC:BC)=1,1.3,3))</f>
        <v>855.6871370720321</v>
      </c>
      <c r="BI292" s="8">
        <f>IF(W292="No","No",IF(_xlfn.XLOOKUP(E292,Groups!A:A,Groups!U:U)=1,'Base stats'!BJ292,IF(OR(_xlfn.XLOOKUP(E292,Groups!A:A,Groups!BD:BD)=1,_xlfn.XLOOKUP(E292,Groups!A:A,Groups!U:U)=2),BG292,BH292))*1.2)</f>
        <v>1026.8245644864385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>ROUNDDOWN(SQRT((2*BG292)/BD292),0)</f>
        <v>16</v>
      </c>
      <c r="BL292" s="8">
        <f>ROUNDDOWN(SQRT((2*BH292)/BE292),0)</f>
        <v>12</v>
      </c>
      <c r="BM292" s="8">
        <f>IF(W292="No","No",ROUNDDOWN(SQRT((2*BI292)/BC292),0))</f>
        <v>15</v>
      </c>
      <c r="BN292" s="8" t="str">
        <f>IF(V292="No","No",ROUNDDOWN(SQRT((2*BJ292)/BB292),0))</f>
        <v>No</v>
      </c>
      <c r="BO292" s="8">
        <f>ROUNDDOWN(SQRT((2*BH292)/BF292),0)</f>
        <v>14</v>
      </c>
      <c r="BP292" s="8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120.43285065333971</v>
      </c>
      <c r="BQ292" s="8">
        <f>IF(W292="No","No",IF(_xlfn.XLOOKUP(E292,Groups!A:A,Groups!BD:BD)=1,(AO292*5%),EXP(0.7354*LN(C292)^0.4078)*2/IF(_xlfn.XLOOKUP(E292,Groups!A:A,Groups!BL:BL)=1,1000,100)))</f>
        <v>9.7367824270848363E-2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>BG292/(AO292*5%)</f>
        <v>0.19319795673596735</v>
      </c>
      <c r="BT292" s="8">
        <f>IF(BP292="No","No",BH292/BP292)</f>
        <v>7.105097425079534</v>
      </c>
      <c r="BU292" s="8">
        <f>IF(W292="No","No",BI292/BQ292)</f>
        <v>10545.830433985231</v>
      </c>
      <c r="BV292" s="8" t="str">
        <f>IF(BJ292="No","No",BJ292/BR292)</f>
        <v>No</v>
      </c>
      <c r="BW292" s="4">
        <v>0</v>
      </c>
      <c r="BX292" s="4">
        <v>1</v>
      </c>
    </row>
    <row r="293" spans="1:76" s="16" customFormat="1" x14ac:dyDescent="0.25">
      <c r="A293" s="26" t="s">
        <v>1575</v>
      </c>
      <c r="B293" s="6" t="s">
        <v>1692</v>
      </c>
      <c r="C293" s="7">
        <v>90</v>
      </c>
      <c r="D293" s="7" t="s">
        <v>528</v>
      </c>
      <c r="E293" s="7" t="str">
        <f>Groups!$A$112</f>
        <v>Ruminant  (BLUNT HORNS, SIX EYES)</v>
      </c>
      <c r="F293" s="7">
        <v>170</v>
      </c>
      <c r="G293" s="7">
        <v>2.5</v>
      </c>
      <c r="H293" s="7">
        <v>25</v>
      </c>
      <c r="I293" s="4">
        <v>0</v>
      </c>
      <c r="J293" s="7">
        <v>1</v>
      </c>
      <c r="K293" s="7" t="s">
        <v>528</v>
      </c>
      <c r="L293" s="7">
        <v>45</v>
      </c>
      <c r="M293" s="7" t="s">
        <v>627</v>
      </c>
      <c r="N293" s="4">
        <v>0</v>
      </c>
      <c r="O293" s="4">
        <v>1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">
        <v>45</v>
      </c>
      <c r="V293" s="7" t="str">
        <f>IF(AT293="No","No",IF(_xlfn.XLOOKUP(E293,Groups!A:A,Groups!AM:AM)=1,MROUND(EXP(0.3582*LN(C293)-0.2221)*T293,0.05),IF(_xlfn.XLOOKUP(E293,Groups!A:A,Groups!AM:AM)=2,MROUND(EXP(0.3582*LN(C293)-0.2221)*T293,0.05),"Need a formula")))</f>
        <v>No</v>
      </c>
      <c r="W293" s="7">
        <v>70</v>
      </c>
      <c r="X293" s="7" t="s">
        <v>933</v>
      </c>
      <c r="Y293" s="4" t="s">
        <v>42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398</v>
      </c>
      <c r="AG293" s="28" t="s">
        <v>392</v>
      </c>
      <c r="AH293" s="4" t="str">
        <f>Animals!$C$51</f>
        <v>&lt;li&gt;Goat&lt;/li&gt;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ref="AO293:AO294" si="602">(0.111*C293^0.65)*10000</f>
        <v>20681.432168514104</v>
      </c>
      <c r="AP293" s="8">
        <f>IFERROR(C293*_xlfn.XLOOKUP(E293,Groups!A:A,Groups!K:K),0.106*C293^0.94)</f>
        <v>7.2827235426007038</v>
      </c>
      <c r="AQ293" s="8">
        <f>AP293*10000/(_xlfn.XLOOKUP(E293,Groups!A:A,Groups!J:J)*AO293)</f>
        <v>3.2306262405159485</v>
      </c>
      <c r="AR293" s="8">
        <f t="shared" ref="AR293:AR294" si="603">EXP(0.8447*LN(C293)+3.996)</f>
        <v>2433.2649334397288</v>
      </c>
      <c r="AS293" s="8">
        <f>IF(_xlfn.XLOOKUP(E293,Groups!A:A,Groups!M:M)=1,EXP(0.7444*LN('Base stats'!C293)+6.5696),EXP(0.7927*LN('Base stats'!C293)+4.28))</f>
        <v>2558.0464115759232</v>
      </c>
      <c r="AT293" s="8" t="str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IF(_xlfn.XLOOKUP(E293,Groups!A:A,Groups!N:N)="Theropod",EXP(0.6966*LN(C293)+4.158)*S293,
"No"))))))))))))))))</f>
        <v>No</v>
      </c>
      <c r="AU293" s="8">
        <f>IF(_xlfn.XLOOKUP(E293,Groups!A:A,Groups!U:U)=3,AS293,IF(_xlfn.XLOOKUP(E293,Groups!A:A,Groups!U:U)=2,AR293,AT293))</f>
        <v>2558.0464115759232</v>
      </c>
      <c r="AV293" s="46">
        <f>IFERROR(AVERAGE(_xlfn.XLOOKUP(B293,Animals!B:B,Animals!N:N),_xlfn.XLOOKUP(B293,Animals!B:B,Animals!O:O)),0)</f>
        <v>0</v>
      </c>
      <c r="AW293" s="8">
        <f>MROUND(40*Animals!AO312*_xlfn.XLOOKUP(Animals!BB312,Leathers!$A$2:$A$99,Leathers!$B$2:$B$99,0)+(140*_xlfn.XLOOKUP(B293,Animals!B:B,Animals!AO:AO)*2),5)</f>
        <v>345</v>
      </c>
      <c r="AX293" s="8">
        <f>IFERROR(ROUND(SQRT(V293-1)*IF(_xlfn.XLOOKUP(E293,Groups!A:A,Groups!BF:BF)=0,2,1)*IF(_xlfn.XLOOKUP('Base stats'!E293,Groups!A:A,Groups!O:O)=0,1,0.1),1),0)</f>
        <v>0</v>
      </c>
      <c r="AY293" s="8">
        <f t="shared" ref="AY293:AY294" si="604">IFERROR(ROUND(SQRT(U293-1),1),0)</f>
        <v>0</v>
      </c>
      <c r="AZ293" s="8">
        <f t="shared" ref="AZ293:AZ294" si="605">IFERROR(ROUND(SQRT(W293),1),0)</f>
        <v>8.4</v>
      </c>
      <c r="BA293" s="8">
        <f t="shared" ref="BA293:BA294" si="606">ROUND(
  EXP(0.3582*LN(C293)-0.2221) *
  (0.75 + 0.25*(C293^4/(C293^4+10^4))),
1)</f>
        <v>4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1.1662319070123504</v>
      </c>
      <c r="BC293" s="8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1.1662319070123504</v>
      </c>
      <c r="BD293" s="8">
        <f t="shared" ref="BD293:BD294" si="607">(0.0392*C293^IF(OR(Y293="Herbivore",Y293="Dendrovore",Y293="OmnivoreRough"),0.889,0.966))*C293^-0.135</f>
        <v>1.1662319070123504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2.3744744787968441</v>
      </c>
      <c r="BF293" s="8">
        <f>(0.048*C293^1.01)/IF(_xlfn.XLOOKUP(E293,Groups!A:A,Groups!M:M)=1,0.25,0.8)*C293^-0.25</f>
        <v>1.8338996074909986</v>
      </c>
      <c r="BG293" s="8">
        <f>EXP(1.076*LN(AR293)-4.5397)*IF(_xlfn.XLOOKUP(E293,Groups!A:A,Groups!BC:BC)=1,1.25,IF(_xlfn.XLOOKUP(E293,Groups!A:A,Groups!BD:BD)=1,3.5,2.5))</f>
        <v>164.45276372986393</v>
      </c>
      <c r="BH293" s="8">
        <f>EXP(1.076*LN(AS293)-4.5397)*IF(_xlfn.XLOOKUP(E293,Groups!A:A,Groups!M:M)=1,0.8,IF(_xlfn.XLOOKUP(E293,Groups!A:A,Groups!BC:BC)=1,1.3,3))</f>
        <v>148.75242516006193</v>
      </c>
      <c r="BI293" s="8">
        <f>IF(W293="No","No",IF(_xlfn.XLOOKUP(E293,Groups!A:A,Groups!U:U)=1,'Base stats'!BJ293,IF(OR(_xlfn.XLOOKUP(E293,Groups!A:A,Groups!BD:BD)=1,_xlfn.XLOOKUP(E293,Groups!A:A,Groups!U:U)=2),BG293,BH293))*1.2)</f>
        <v>197.3433164758367</v>
      </c>
      <c r="BJ293" s="8" t="str">
        <f>IFERROR(EXP(1.076*LN(AT293)-4.5397)*IF(_xlfn.XLOOKUP(E293,Groups!A:A,Groups!N:N)="Insect",1,IF(OR(_xlfn.XLOOKUP(E293,Groups!A:A,Groups!N:N)="Pig",_xlfn.XLOOKUP(E293,Groups!A:A,Groups!N:N)="StrongBitingHerbivore"),3.5,3.75)),"No")</f>
        <v>No</v>
      </c>
      <c r="BK293" s="8">
        <f t="shared" ref="BK293:BK294" si="608">ROUNDDOWN(SQRT((2*BG293)/BD293),0)</f>
        <v>16</v>
      </c>
      <c r="BL293" s="8">
        <f t="shared" ref="BL293:BL294" si="609">ROUNDDOWN(SQRT((2*BH293)/BE293),0)</f>
        <v>11</v>
      </c>
      <c r="BM293" s="8">
        <f t="shared" ref="BM293:BM294" si="610">IF(W293="No","No",ROUNDDOWN(SQRT((2*BI293)/BC293),0))</f>
        <v>18</v>
      </c>
      <c r="BN293" s="8" t="str">
        <f t="shared" ref="BN293:BN294" si="611">IF(V293="No","No",ROUNDDOWN(SQRT((2*BJ293)/BB293),0))</f>
        <v>No</v>
      </c>
      <c r="BO293" s="8">
        <f t="shared" ref="BO293:BO294" si="612">ROUNDDOWN(SQRT((2*BH293)/BF293),0)</f>
        <v>12</v>
      </c>
      <c r="BP293" s="8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19.183144014979568</v>
      </c>
      <c r="BQ293" s="8">
        <f>IF(W293="No","No",IF(_xlfn.XLOOKUP(E293,Groups!A:A,Groups!BD:BD)=1,(AO293*5%),EXP(0.7354*LN(C293)^0.4078)*2/IF(_xlfn.XLOOKUP(E293,Groups!A:A,Groups!BL:BL)=1,1000,100)))</f>
        <v>1034.0716084257053</v>
      </c>
      <c r="BR293" s="8" t="str">
        <f>IF(BJ293="No","No",IF(_xlfn.XLOOKUP(E293,Groups!A:A,Groups!BF:BF)=1,(0.0315*C293+2.1825)*2,(0.7354*C293^0.4078)*2)/IF(_xlfn.XLOOKUP(E293,Groups!A:A,Groups!BM:BM)=1,1000,100))</f>
        <v>No</v>
      </c>
      <c r="BS293" s="8">
        <f t="shared" ref="BS293:BS294" si="613">BG293/(AO293*5%)</f>
        <v>0.15903421232136006</v>
      </c>
      <c r="BT293" s="8">
        <f t="shared" ref="BT293:BT294" si="614">IF(BP293="No","No",BH293/BP293)</f>
        <v>7.754329793067571</v>
      </c>
      <c r="BU293" s="8">
        <f t="shared" ref="BU293:BU294" si="615">IF(W293="No","No",BI293/BQ293)</f>
        <v>0.19084105478563207</v>
      </c>
      <c r="BV293" s="8" t="str">
        <f t="shared" ref="BV293:BV294" si="616">IF(BJ293="No","No",BJ293/BR293)</f>
        <v>No</v>
      </c>
      <c r="BW293" s="4">
        <v>0</v>
      </c>
      <c r="BX293" s="4">
        <v>1</v>
      </c>
    </row>
    <row r="294" spans="1:76" s="16" customFormat="1" x14ac:dyDescent="0.25">
      <c r="A294" s="26" t="s">
        <v>1583</v>
      </c>
      <c r="B294" s="6" t="s">
        <v>1879</v>
      </c>
      <c r="C294" s="7">
        <v>425</v>
      </c>
      <c r="D294" s="7" t="s">
        <v>528</v>
      </c>
      <c r="E294" s="7" t="str">
        <f>Groups!$A$53</f>
        <v>Ruminant  (BLUNT HORNS)</v>
      </c>
      <c r="F294" s="7">
        <f>ROUND(7.545*(C294*1000)^0.2689,0)</f>
        <v>246</v>
      </c>
      <c r="G294" s="7">
        <f>548/365</f>
        <v>1.5013698630136987</v>
      </c>
      <c r="H294" s="7">
        <v>20</v>
      </c>
      <c r="I294" s="4">
        <v>1</v>
      </c>
      <c r="J294" s="7">
        <v>1</v>
      </c>
      <c r="K294" s="7" t="s">
        <v>528</v>
      </c>
      <c r="L294" s="7">
        <v>29</v>
      </c>
      <c r="M294" s="7" t="s">
        <v>627</v>
      </c>
      <c r="N294" s="4">
        <v>0</v>
      </c>
      <c r="O294" s="4">
        <v>2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">
        <v>45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>
        <v>11.4</v>
      </c>
      <c r="X294" s="7" t="s">
        <v>964</v>
      </c>
      <c r="Y294" s="4" t="s">
        <v>42</v>
      </c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 t="s">
        <v>398</v>
      </c>
      <c r="AG294" s="28" t="s">
        <v>392</v>
      </c>
      <c r="AH294" s="4" t="str">
        <f>Animals!$C$43</f>
        <v>&lt;li&gt;Cow&lt;/li&gt;</v>
      </c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602"/>
        <v>56725.167024694514</v>
      </c>
      <c r="AP294" s="8">
        <f>IFERROR(C294*_xlfn.XLOOKUP(E294,Groups!A:A,Groups!K:K),0.106*C294^0.94)</f>
        <v>31.332241082303479</v>
      </c>
      <c r="AQ294" s="8">
        <f>AP294*10000/(_xlfn.XLOOKUP(E294,Groups!A:A,Groups!J:J)*AO294)</f>
        <v>5.0674465695890794</v>
      </c>
      <c r="AR294" s="8">
        <f t="shared" si="603"/>
        <v>9029.0254860405639</v>
      </c>
      <c r="AS294" s="8">
        <f>IF(_xlfn.XLOOKUP(E294,Groups!A:A,Groups!M:M)=1,EXP(0.7444*LN('Base stats'!C294)+6.5696),EXP(0.7927*LN('Base stats'!C294)+4.28))</f>
        <v>8755.9704534850171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IF(_xlfn.XLOOKUP(E294,Groups!A:A,Groups!N:N)="Theropod",EXP(0.6966*LN(C294)+4.158)*S294,
"No"))))))))))))))))</f>
        <v>No</v>
      </c>
      <c r="AU294" s="8">
        <f>IF(_xlfn.XLOOKUP(E294,Groups!A:A,Groups!U:U)=3,AS294,IF(_xlfn.XLOOKUP(E294,Groups!A:A,Groups!U:U)=2,AR294,AT294))</f>
        <v>8755.9704534850171</v>
      </c>
      <c r="AV294" s="46">
        <f>IFERROR(AVERAGE(_xlfn.XLOOKUP(B294,Animals!B:B,Animals!N:N),_xlfn.XLOOKUP(B294,Animals!B:B,Animals!O:O)),0)</f>
        <v>0</v>
      </c>
      <c r="AW294" s="8">
        <f>MROUND(40*Animals!AO332*_xlfn.XLOOKUP(Animals!BB332,Leathers!$A$2:$A$99,Leathers!$B$2:$B$99,0)+(140*_xlfn.XLOOKUP(B294,Animals!B:B,Animals!AO:AO)*2),5)</f>
        <v>1000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604"/>
        <v>0</v>
      </c>
      <c r="AZ294" s="8">
        <f t="shared" si="605"/>
        <v>3.4</v>
      </c>
      <c r="BA294" s="8">
        <f t="shared" si="606"/>
        <v>7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3.7591644094794265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3.7591644094794265</v>
      </c>
      <c r="BD294" s="8">
        <f t="shared" si="607"/>
        <v>3.7591644094794265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7.9689612341336513</v>
      </c>
      <c r="BF294" s="8">
        <f>(0.048*C294^1.01)/IF(_xlfn.XLOOKUP(E294,Groups!A:A,Groups!M:M)=1,0.25,0.8)*C294^-0.25</f>
        <v>5.9665988108012469</v>
      </c>
      <c r="BG294" s="8">
        <f>EXP(1.076*LN(AR294)-4.5397)*IF(_xlfn.XLOOKUP(E294,Groups!A:A,Groups!BC:BC)=1,1.25,IF(_xlfn.XLOOKUP(E294,Groups!A:A,Groups!BD:BD)=1,3.5,2.5))</f>
        <v>674.17240251223291</v>
      </c>
      <c r="BH294" s="8">
        <f>EXP(1.076*LN(AS294)-4.5397)*IF(_xlfn.XLOOKUP(E294,Groups!A:A,Groups!M:M)=1,0.8,IF(_xlfn.XLOOKUP(E294,Groups!A:A,Groups!BC:BC)=1,1.3,3))</f>
        <v>559.08006689810611</v>
      </c>
      <c r="BI294" s="8">
        <f>IF(W294="No","No",IF(_xlfn.XLOOKUP(E294,Groups!A:A,Groups!U:U)=1,'Base stats'!BJ294,IF(OR(_xlfn.XLOOKUP(E294,Groups!A:A,Groups!BD:BD)=1,_xlfn.XLOOKUP(E294,Groups!A:A,Groups!U:U)=2),BG294,BH294))*1.2)</f>
        <v>809.00688301467949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608"/>
        <v>18</v>
      </c>
      <c r="BL294" s="8">
        <f t="shared" si="609"/>
        <v>11</v>
      </c>
      <c r="BM294" s="8">
        <f t="shared" si="610"/>
        <v>20</v>
      </c>
      <c r="BN294" s="8" t="str">
        <f t="shared" si="611"/>
        <v>No</v>
      </c>
      <c r="BO294" s="8">
        <f t="shared" si="612"/>
        <v>13</v>
      </c>
      <c r="BP294" s="8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76.416379268219856</v>
      </c>
      <c r="BQ294" s="8">
        <f>IF(W294="No","No",IF(_xlfn.XLOOKUP(E294,Groups!A:A,Groups!BD:BD)=1,(AO294*5%),EXP(0.7354*LN(C294)^0.4078)*2/IF(_xlfn.XLOOKUP(E294,Groups!A:A,Groups!BL:BL)=1,1000,100)))</f>
        <v>2836.258351234726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613"/>
        <v>0.23769781135020412</v>
      </c>
      <c r="BT294" s="8">
        <f t="shared" si="614"/>
        <v>7.3162334077063118</v>
      </c>
      <c r="BU294" s="8">
        <f t="shared" si="615"/>
        <v>0.28523737362024498</v>
      </c>
      <c r="BV294" s="8" t="str">
        <f t="shared" si="616"/>
        <v>No</v>
      </c>
      <c r="BW294" s="4">
        <v>0</v>
      </c>
      <c r="BX294" s="4">
        <v>1</v>
      </c>
    </row>
    <row r="295" spans="1:76" s="16" customFormat="1" x14ac:dyDescent="0.25">
      <c r="A295" s="26" t="s">
        <v>1421</v>
      </c>
      <c r="B295" s="6" t="s">
        <v>1637</v>
      </c>
      <c r="C295" s="7">
        <v>65</v>
      </c>
      <c r="D295" s="7" t="s">
        <v>528</v>
      </c>
      <c r="E295" s="7" t="str">
        <f>Groups!$A$53</f>
        <v>Ruminant  (BLUNT HORNS)</v>
      </c>
      <c r="F295" s="7">
        <v>146</v>
      </c>
      <c r="G295" s="7">
        <f>548/365</f>
        <v>1.5013698630136987</v>
      </c>
      <c r="H295" s="7">
        <v>22.8</v>
      </c>
      <c r="I295" s="4">
        <v>0</v>
      </c>
      <c r="J295" s="7">
        <v>1.58</v>
      </c>
      <c r="K295" s="7" t="s">
        <v>528</v>
      </c>
      <c r="L295" s="7">
        <f>MAX(3.1,4.3)*3.6*(23.3/11)</f>
        <v>32.789454545454547</v>
      </c>
      <c r="M295" s="7" t="s">
        <v>636</v>
      </c>
      <c r="N295" s="4">
        <v>0</v>
      </c>
      <c r="O295" s="4">
        <v>2</v>
      </c>
      <c r="P295" s="4">
        <v>10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">
        <v>45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>
        <v>35</v>
      </c>
      <c r="X295" s="7" t="s">
        <v>964</v>
      </c>
      <c r="Y295" s="4" t="s">
        <v>42</v>
      </c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 t="s">
        <v>398</v>
      </c>
      <c r="AG295" s="28" t="s">
        <v>392</v>
      </c>
      <c r="AH295" s="4" t="str">
        <f>Animals!$C$52</f>
        <v>&lt;li&gt;Sheep&lt;/li&gt;</v>
      </c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>(0.111*C295^0.65)*10000</f>
        <v>16738.504777916427</v>
      </c>
      <c r="AP295" s="8">
        <f>IFERROR(C295*_xlfn.XLOOKUP(E295,Groups!A:A,Groups!K:K),0.106*C295^0.94)</f>
        <v>5.3634522745904958</v>
      </c>
      <c r="AQ295" s="8">
        <f>AP295*10000/(_xlfn.XLOOKUP(E295,Groups!A:A,Groups!J:J)*AO295)</f>
        <v>2.9396881515649969</v>
      </c>
      <c r="AR295" s="8">
        <f>EXP(0.8447*LN(C295)+3.996)</f>
        <v>1848.4540625807454</v>
      </c>
      <c r="AS295" s="8">
        <f>IF(_xlfn.XLOOKUP(E295,Groups!A:A,Groups!M:M)=1,EXP(0.7444*LN('Base stats'!C295)+6.5696),EXP(0.7927*LN('Base stats'!C295)+4.28))</f>
        <v>1976.4088975251395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IF(_xlfn.XLOOKUP(E295,Groups!A:A,Groups!N:N)="Theropod",EXP(0.6966*LN(C295)+4.158)*S295,
"No"))))))))))))))))</f>
        <v>No</v>
      </c>
      <c r="AU295" s="8">
        <f>IF(_xlfn.XLOOKUP(E295,Groups!A:A,Groups!U:U)=3,AS295,IF(_xlfn.XLOOKUP(E295,Groups!A:A,Groups!U:U)=2,AR295,AT295))</f>
        <v>1976.4088975251395</v>
      </c>
      <c r="AV295" s="46">
        <f>IFERROR(AVERAGE(_xlfn.XLOOKUP(B295,Animals!B:B,Animals!N:N),_xlfn.XLOOKUP(B295,Animals!B:B,Animals!O:O)),0)</f>
        <v>0</v>
      </c>
      <c r="AW295" s="8">
        <f>MROUND(40*Animals!AO238*_xlfn.XLOOKUP(Animals!BB238,Leathers!$A$2:$A$99,Leathers!$B$2:$B$99,0)+(140*_xlfn.XLOOKUP(B295,Animals!B:B,Animals!AO:AO)*2),5)</f>
        <v>265</v>
      </c>
      <c r="AX295" s="8">
        <f>IFERROR(ROUND(SQRT(V295-1)*IF(_xlfn.XLOOKUP(E295,Groups!A:A,Groups!BF:BF)=0,2,1)*IF(_xlfn.XLOOKUP('Base stats'!E295,Groups!A:A,Groups!O:O)=0,1,0.1),1),0)</f>
        <v>0</v>
      </c>
      <c r="AY295" s="8">
        <f>IFERROR(ROUND(SQRT(U295-1),1),0)</f>
        <v>0</v>
      </c>
      <c r="AZ295" s="8">
        <f>IFERROR(ROUND(SQRT(W295),1),0)</f>
        <v>5.9</v>
      </c>
      <c r="BA295" s="8">
        <f>ROUND(
  EXP(0.3582*LN(C295)-0.2221) *
  (0.75 + 0.25*(C295^4/(C295^4+10^4))),
1)</f>
        <v>3.6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0.9124787050909684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0.9124787050909684</v>
      </c>
      <c r="BD295" s="8">
        <f>(0.0392*C295^IF(OR(Y295="Herbivore",Y295="Dendrovore",Y295="OmnivoreRough"),0.889,0.966))*C295^-0.135</f>
        <v>0.9124787050909684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1.8421745022968996</v>
      </c>
      <c r="BF295" s="8">
        <f>(0.048*C295^1.01)/IF(_xlfn.XLOOKUP(E295,Groups!A:A,Groups!M:M)=1,0.25,0.8)*C295^-0.25</f>
        <v>1.4320738069273629</v>
      </c>
      <c r="BG295" s="8">
        <f>EXP(1.076*LN(AR295)-4.5397)*IF(_xlfn.XLOOKUP(E295,Groups!A:A,Groups!BC:BC)=1,1.25,IF(_xlfn.XLOOKUP(E295,Groups!A:A,Groups!BD:BD)=1,3.5,2.5))</f>
        <v>122.34536056745829</v>
      </c>
      <c r="BH295" s="8">
        <f>EXP(1.076*LN(AS295)-4.5397)*IF(_xlfn.XLOOKUP(E295,Groups!A:A,Groups!M:M)=1,0.8,IF(_xlfn.XLOOKUP(E295,Groups!A:A,Groups!BC:BC)=1,1.3,3))</f>
        <v>112.69847319818533</v>
      </c>
      <c r="BI295" s="8">
        <f>IF(W295="No","No",IF(_xlfn.XLOOKUP(E295,Groups!A:A,Groups!U:U)=1,'Base stats'!BJ295,IF(OR(_xlfn.XLOOKUP(E295,Groups!A:A,Groups!BD:BD)=1,_xlfn.XLOOKUP(E295,Groups!A:A,Groups!U:U)=2),BG295,BH295))*1.2)</f>
        <v>146.81443268094995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ref="BK295:BL298" si="617">ROUNDDOWN(SQRT((2*BG295)/BD295),0)</f>
        <v>16</v>
      </c>
      <c r="BL295" s="8">
        <f t="shared" si="617"/>
        <v>11</v>
      </c>
      <c r="BM295" s="8">
        <f>IF(W295="No","No",ROUNDDOWN(SQRT((2*BI295)/BC295),0))</f>
        <v>17</v>
      </c>
      <c r="BN295" s="8" t="str">
        <f>IF(V295="No","No",ROUNDDOWN(SQRT((2*BJ295)/BB295),0))</f>
        <v>No</v>
      </c>
      <c r="BO295" s="8">
        <f>ROUNDDOWN(SQRT((2*BH295)/BF295),0)</f>
        <v>12</v>
      </c>
      <c r="BP295" s="8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14.457797122458805</v>
      </c>
      <c r="BQ295" s="8">
        <f>IF(W295="No","No",IF(_xlfn.XLOOKUP(E295,Groups!A:A,Groups!BD:BD)=1,(AO295*5%),EXP(0.7354*LN(C295)^0.4078)*2/IF(_xlfn.XLOOKUP(E295,Groups!A:A,Groups!BL:BL)=1,1000,100)))</f>
        <v>836.92523889582139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>BG295/(AO295*5%)</f>
        <v>0.14618433628417266</v>
      </c>
      <c r="BT295" s="8">
        <f>IF(BP295="No","No",BH295/BP295)</f>
        <v>7.7949961701370833</v>
      </c>
      <c r="BU295" s="8">
        <f>IF(W295="No","No",BI295/BQ295)</f>
        <v>0.17542120354100718</v>
      </c>
      <c r="BV295" s="8" t="str">
        <f>IF(BJ295="No","No",BJ295/BR295)</f>
        <v>No</v>
      </c>
      <c r="BW295" s="4">
        <v>0</v>
      </c>
      <c r="BX295" s="4">
        <v>1</v>
      </c>
    </row>
    <row r="296" spans="1:76" s="16" customFormat="1" x14ac:dyDescent="0.25">
      <c r="A296" s="26" t="s">
        <v>1485</v>
      </c>
      <c r="B296" s="6" t="s">
        <v>1878</v>
      </c>
      <c r="C296" s="7">
        <v>100</v>
      </c>
      <c r="D296" s="7" t="s">
        <v>1159</v>
      </c>
      <c r="E296" s="7" t="str">
        <f>Groups!$A$53</f>
        <v>Ruminant  (BLUNT HORNS)</v>
      </c>
      <c r="F296" s="7">
        <v>160</v>
      </c>
      <c r="G296" s="7">
        <v>2</v>
      </c>
      <c r="H296" s="7">
        <v>25</v>
      </c>
      <c r="I296" s="4">
        <v>0</v>
      </c>
      <c r="J296" s="7">
        <v>1</v>
      </c>
      <c r="K296" s="7" t="s">
        <v>528</v>
      </c>
      <c r="L296" s="7">
        <f>MAX(3.1,4.3)*3.6*(23.3/11)</f>
        <v>32.789454545454547</v>
      </c>
      <c r="M296" s="7" t="s">
        <v>636</v>
      </c>
      <c r="N296" s="4">
        <v>0</v>
      </c>
      <c r="O296" s="4">
        <v>1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 t="s">
        <v>45</v>
      </c>
      <c r="V296" s="7" t="str">
        <f>IF(AT296="No","No",IF(_xlfn.XLOOKUP(E296,Groups!A:A,Groups!AM:AM)=1,MROUND(EXP(0.3582*LN(C296)-0.2221)*T296,0.05),IF(_xlfn.XLOOKUP(E296,Groups!A:A,Groups!AM:AM)=2,MROUND(EXP(0.3582*LN(C296)-0.2221)*T296,0.05),"Need a formula")))</f>
        <v>No</v>
      </c>
      <c r="W296" s="7">
        <v>35</v>
      </c>
      <c r="X296" s="7" t="s">
        <v>933</v>
      </c>
      <c r="Y296" s="4" t="s">
        <v>42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">
        <v>311</v>
      </c>
      <c r="AG296" s="28" t="s">
        <v>392</v>
      </c>
      <c r="AH296" s="4" t="str">
        <f>Animals!$C$52</f>
        <v>&lt;li&gt;Sheep&lt;/li&gt;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>(0.111*C296^0.65)*10000</f>
        <v>22147.411696154573</v>
      </c>
      <c r="AP296" s="8">
        <f>IFERROR(C296*_xlfn.XLOOKUP(E296,Groups!A:A,Groups!K:K),0.106*C296^0.94)</f>
        <v>8.0409222953093469</v>
      </c>
      <c r="AQ296" s="8">
        <f>AP296*10000/(_xlfn.XLOOKUP(E296,Groups!A:A,Groups!J:J)*AO296)</f>
        <v>3.3308600719050716</v>
      </c>
      <c r="AR296" s="8">
        <f>EXP(0.8447*LN(C296)+3.996)</f>
        <v>2659.7495843014949</v>
      </c>
      <c r="AS296" s="8">
        <f>IF(_xlfn.XLOOKUP(E296,Groups!A:A,Groups!M:M)=1,EXP(0.7444*LN('Base stats'!C296)+6.5696),EXP(0.7927*LN('Base stats'!C296)+4.28))</f>
        <v>2780.8680507952254</v>
      </c>
      <c r="AT296" s="8" t="str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IF(_xlfn.XLOOKUP(E296,Groups!A:A,Groups!N:N)="Theropod",EXP(0.6966*LN(C296)+4.158)*S296,
"No"))))))))))))))))</f>
        <v>No</v>
      </c>
      <c r="AU296" s="8">
        <f>IF(_xlfn.XLOOKUP(E296,Groups!A:A,Groups!U:U)=3,AS296,IF(_xlfn.XLOOKUP(E296,Groups!A:A,Groups!U:U)=2,AR296,AT296))</f>
        <v>2780.8680507952254</v>
      </c>
      <c r="AV296" s="46">
        <f>IFERROR(AVERAGE(_xlfn.XLOOKUP(B296,Animals!B:B,Animals!N:N),_xlfn.XLOOKUP(B296,Animals!B:B,Animals!O:O)),0)</f>
        <v>0</v>
      </c>
      <c r="AW296" s="8">
        <f>MROUND(40*Animals!AO269*_xlfn.XLOOKUP(Animals!BB269,Leathers!$A$2:$A$99,Leathers!$B$2:$B$99,0)+(140*_xlfn.XLOOKUP(B296,Animals!B:B,Animals!AO:AO)*2),5)</f>
        <v>360</v>
      </c>
      <c r="AX296" s="8">
        <f>IFERROR(ROUND(SQRT(V296-1)*IF(_xlfn.XLOOKUP(E296,Groups!A:A,Groups!BF:BF)=0,2,1)*IF(_xlfn.XLOOKUP('Base stats'!E296,Groups!A:A,Groups!O:O)=0,1,0.1),1),0)</f>
        <v>0</v>
      </c>
      <c r="AY296" s="8">
        <f>IFERROR(ROUND(SQRT(U296-1),1),0)</f>
        <v>0</v>
      </c>
      <c r="AZ296" s="8">
        <f>IFERROR(ROUND(SQRT(W296),1),0)</f>
        <v>5.9</v>
      </c>
      <c r="BA296" s="8">
        <f>ROUND(
  EXP(0.3582*LN(C296)-0.2221) *
  (0.75 + 0.25*(C296^4/(C296^4+10^4))),
1)</f>
        <v>4.2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1.2626589661831062</v>
      </c>
      <c r="BC296" s="8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1.2626589661831062</v>
      </c>
      <c r="BD296" s="8">
        <f>(0.0392*C296^IF(OR(Y296="Herbivore",Y296="Dendrovore",Y296="OmnivoreRough"),0.889,0.966))*C296^-0.135</f>
        <v>1.2626589661831062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2.5778541888677213</v>
      </c>
      <c r="BF296" s="8">
        <f>(0.048*C296^1.01)/IF(_xlfn.XLOOKUP(E296,Groups!A:A,Groups!M:M)=1,0.25,0.8)*C296^-0.25</f>
        <v>1.986786728895547</v>
      </c>
      <c r="BG296" s="8">
        <f>EXP(1.076*LN(AR296)-4.5397)*IF(_xlfn.XLOOKUP(E296,Groups!A:A,Groups!BC:BC)=1,1.25,IF(_xlfn.XLOOKUP(E296,Groups!A:A,Groups!BD:BD)=1,3.5,2.5))</f>
        <v>180.97976981900274</v>
      </c>
      <c r="BH296" s="8">
        <f>EXP(1.076*LN(AS296)-4.5397)*IF(_xlfn.XLOOKUP(E296,Groups!A:A,Groups!M:M)=1,0.8,IF(_xlfn.XLOOKUP(E296,Groups!A:A,Groups!BC:BC)=1,1.3,3))</f>
        <v>162.73939114543509</v>
      </c>
      <c r="BI296" s="8">
        <f>IF(W296="No","No",IF(_xlfn.XLOOKUP(E296,Groups!A:A,Groups!U:U)=1,'Base stats'!BJ296,IF(OR(_xlfn.XLOOKUP(E296,Groups!A:A,Groups!BD:BD)=1,_xlfn.XLOOKUP(E296,Groups!A:A,Groups!U:U)=2),BG296,BH296))*1.2)</f>
        <v>217.17572378280329</v>
      </c>
      <c r="BJ296" s="8" t="str">
        <f>IFERROR(EXP(1.076*LN(AT296)-4.5397)*IF(_xlfn.XLOOKUP(E296,Groups!A:A,Groups!N:N)="Insect",1,IF(OR(_xlfn.XLOOKUP(E296,Groups!A:A,Groups!N:N)="Pig",_xlfn.XLOOKUP(E296,Groups!A:A,Groups!N:N)="StrongBitingHerbivore"),3.5,3.75)),"No")</f>
        <v>No</v>
      </c>
      <c r="BK296" s="8">
        <f t="shared" si="617"/>
        <v>16</v>
      </c>
      <c r="BL296" s="8">
        <f t="shared" si="617"/>
        <v>11</v>
      </c>
      <c r="BM296" s="8">
        <f>IF(W296="No","No",ROUNDDOWN(SQRT((2*BI296)/BC296),0))</f>
        <v>18</v>
      </c>
      <c r="BN296" s="8" t="str">
        <f>IF(V296="No","No",ROUNDDOWN(SQRT((2*BJ296)/BB296),0))</f>
        <v>No</v>
      </c>
      <c r="BO296" s="8">
        <f>ROUNDDOWN(SQRT((2*BH296)/BF296),0)</f>
        <v>12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21.033883214338587</v>
      </c>
      <c r="BQ296" s="8">
        <f>IF(W296="No","No",IF(_xlfn.XLOOKUP(E296,Groups!A:A,Groups!BD:BD)=1,(AO296*5%),EXP(0.7354*LN(C296)^0.4078)*2/IF(_xlfn.XLOOKUP(E296,Groups!A:A,Groups!BL:BL)=1,1000,100)))</f>
        <v>1107.3705848077286</v>
      </c>
      <c r="BR296" s="8" t="str">
        <f>IF(BJ296="No","No",IF(_xlfn.XLOOKUP(E296,Groups!A:A,Groups!BF:BF)=1,(0.0315*C296+2.1825)*2,(0.7354*C296^0.4078)*2)/IF(_xlfn.XLOOKUP(E296,Groups!A:A,Groups!BM:BM)=1,1000,100))</f>
        <v>No</v>
      </c>
      <c r="BS296" s="8">
        <f>BG296/(AO296*5%)</f>
        <v>0.16343198230285846</v>
      </c>
      <c r="BT296" s="8">
        <f>IF(BP296="No","No",BH296/BP296)</f>
        <v>7.7370112540368812</v>
      </c>
      <c r="BU296" s="8">
        <f>IF(W296="No","No",BI296/BQ296)</f>
        <v>0.19611837876343016</v>
      </c>
      <c r="BV296" s="8" t="str">
        <f>IF(BJ296="No","No",BJ296/BR296)</f>
        <v>No</v>
      </c>
      <c r="BW296" s="4">
        <v>0</v>
      </c>
      <c r="BX296" s="4">
        <v>1</v>
      </c>
    </row>
    <row r="297" spans="1:76" s="16" customFormat="1" x14ac:dyDescent="0.25">
      <c r="A297" s="26" t="s">
        <v>1479</v>
      </c>
      <c r="B297" s="6" t="s">
        <v>1657</v>
      </c>
      <c r="C297" s="7">
        <v>800</v>
      </c>
      <c r="D297" s="7" t="s">
        <v>528</v>
      </c>
      <c r="E297" s="7" t="str">
        <f>Groups!$A$22</f>
        <v>Camellike (CAMEL)</v>
      </c>
      <c r="F297" s="7">
        <f>385</f>
        <v>385</v>
      </c>
      <c r="G297" s="7">
        <f>1095/365</f>
        <v>3</v>
      </c>
      <c r="H297" s="7">
        <v>28.4</v>
      </c>
      <c r="I297" s="4">
        <v>0</v>
      </c>
      <c r="J297" s="7">
        <v>1</v>
      </c>
      <c r="K297" s="7" t="s">
        <v>528</v>
      </c>
      <c r="L297" s="7">
        <v>40</v>
      </c>
      <c r="M297" s="7" t="s">
        <v>528</v>
      </c>
      <c r="N297" s="4">
        <v>0</v>
      </c>
      <c r="O297" s="4">
        <v>1</v>
      </c>
      <c r="P297" s="4">
        <v>0</v>
      </c>
      <c r="Q297" s="4">
        <v>0</v>
      </c>
      <c r="R297" s="4">
        <v>0.6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">
        <v>45</v>
      </c>
      <c r="V297" s="7">
        <f>MROUND(4.5,0.05)</f>
        <v>4.5</v>
      </c>
      <c r="W297" s="7" t="s">
        <v>45</v>
      </c>
      <c r="X297" s="7" t="s">
        <v>933</v>
      </c>
      <c r="Y297" s="4" t="s">
        <v>42</v>
      </c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 t="s">
        <v>398</v>
      </c>
      <c r="AG297" s="28" t="s">
        <v>377</v>
      </c>
      <c r="AH297" s="4" t="str">
        <f>Animals!$C$54</f>
        <v>&lt;li&gt;Gazelle&lt;/li&gt;</v>
      </c>
      <c r="AI297" s="4">
        <v>1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>(0.111*C297^0.65)*10000</f>
        <v>85571.958195882878</v>
      </c>
      <c r="AP297" s="8">
        <f>IFERROR(C297*_xlfn.XLOOKUP(E297,Groups!A:A,Groups!K:K),0.106*C297^0.94)</f>
        <v>56.78196962407911</v>
      </c>
      <c r="AQ297" s="8">
        <f>AP297*10000/(_xlfn.XLOOKUP(E297,Groups!A:A,Groups!J:J)*AO297)</f>
        <v>6.0876893800404366</v>
      </c>
      <c r="AR297" s="8">
        <f>EXP(0.8447*LN(C297)+3.996)</f>
        <v>15405.679611654272</v>
      </c>
      <c r="AS297" s="8">
        <f>IF(_xlfn.XLOOKUP(E297,Groups!A:A,Groups!M:M)=1,EXP(0.7444*LN('Base stats'!C297)+6.5696),EXP(0.7927*LN('Base stats'!C297)+4.28))</f>
        <v>14456.38864394653</v>
      </c>
      <c r="AT297" s="8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IF(_xlfn.XLOOKUP(E297,Groups!A:A,Groups!N:N)="Theropod",EXP(0.6966*LN(C297)+4.158)*S297,
"No"))))))))))))))))</f>
        <v>7507.2021248286919</v>
      </c>
      <c r="AU297" s="8">
        <f>IF(_xlfn.XLOOKUP(E297,Groups!A:A,Groups!U:U)=3,AS297,IF(_xlfn.XLOOKUP(E297,Groups!A:A,Groups!U:U)=2,AR297,AT297))</f>
        <v>7507.2021248286919</v>
      </c>
      <c r="AV297" s="46">
        <f>IFERROR(AVERAGE(_xlfn.XLOOKUP(B297,Animals!B:B,Animals!N:N),_xlfn.XLOOKUP(B297,Animals!B:B,Animals!O:O)),0)</f>
        <v>0</v>
      </c>
      <c r="AW297" s="8">
        <f>MROUND(40*Animals!AO266*_xlfn.XLOOKUP(Animals!BB266,Leathers!$A$2:$A$99,Leathers!$B$2:$B$99,0)+(140*_xlfn.XLOOKUP(B297,Animals!B:B,Animals!AO:AO)*2),5)</f>
        <v>910</v>
      </c>
      <c r="AX297" s="8">
        <f>IFERROR(ROUND(SQRT(V297-1)*IF(_xlfn.XLOOKUP(E297,Groups!A:A,Groups!BF:BF)=0,2,1)*IF(_xlfn.XLOOKUP('Base stats'!E297,Groups!A:A,Groups!O:O)=0,1,0.1),1),0)</f>
        <v>1.9</v>
      </c>
      <c r="AY297" s="8">
        <f>IFERROR(ROUND(SQRT(U297-1),1),0)</f>
        <v>0</v>
      </c>
      <c r="AZ297" s="8">
        <f>IFERROR(ROUND(SQRT(W297),1),0)</f>
        <v>0</v>
      </c>
      <c r="BA297" s="8">
        <f>ROUND(
  EXP(0.3582*LN(C297)-0.2221) *
  (0.75 + 0.25*(C297^4/(C297^4+10^4))),
1)</f>
        <v>8.8000000000000007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8.9876673750034257</v>
      </c>
      <c r="BC297" s="8" t="str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No</v>
      </c>
      <c r="BD297" s="8">
        <f>(0.0392*C297^IF(OR(Y297="Herbivore",Y297="Dendrovore",Y297="OmnivoreRough"),0.889,0.966))*C297^-0.135</f>
        <v>6.0564190554255397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13.051743751412893</v>
      </c>
      <c r="BF297" s="8">
        <f>(0.048*C297^1.01)/IF(_xlfn.XLOOKUP(E297,Groups!A:A,Groups!M:M)=1,0.25,0.8)*C297^-0.25</f>
        <v>9.6493851304357605</v>
      </c>
      <c r="BG297" s="8">
        <f>EXP(1.076*LN(AR297)-4.5397)*IF(_xlfn.XLOOKUP(E297,Groups!A:A,Groups!BC:BC)=1,1.25,IF(_xlfn.XLOOKUP(E297,Groups!A:A,Groups!BD:BD)=1,3.5,2.5))</f>
        <v>855.69295489233104</v>
      </c>
      <c r="BH297" s="8">
        <f>EXP(1.076*LN(AS297)-4.5397)*IF(_xlfn.XLOOKUP(E297,Groups!A:A,Groups!M:M)=1,0.8,IF(_xlfn.XLOOKUP(E297,Groups!A:A,Groups!BC:BC)=1,1.3,3))</f>
        <v>958.91244802824076</v>
      </c>
      <c r="BI297" s="8" t="str">
        <f>IF(W297="No","No",IF(_xlfn.XLOOKUP(E297,Groups!A:A,Groups!U:U)=1,'Base stats'!BJ297,IF(OR(_xlfn.XLOOKUP(E297,Groups!A:A,Groups!BD:BD)=1,_xlfn.XLOOKUP(E297,Groups!A:A,Groups!U:U)=2),BG297,BH297))*1.2)</f>
        <v>No</v>
      </c>
      <c r="BJ297" s="8">
        <f>IFERROR(EXP(1.076*LN(AT297)-4.5397)*IF(_xlfn.XLOOKUP(E297,Groups!A:A,Groups!N:N)="Insect",1,IF(OR(_xlfn.XLOOKUP(E297,Groups!A:A,Groups!N:N)="Pig",_xlfn.XLOOKUP(E297,Groups!A:A,Groups!N:N)="StrongBitingHerbivore"),3.5,3.75)),"No")</f>
        <v>552.73355487751633</v>
      </c>
      <c r="BK297" s="8">
        <f t="shared" si="617"/>
        <v>16</v>
      </c>
      <c r="BL297" s="8">
        <f t="shared" si="617"/>
        <v>12</v>
      </c>
      <c r="BM297" s="8" t="str">
        <f>IF(W297="No","No",ROUNDDOWN(SQRT((2*BI297)/BC297),0))</f>
        <v>No</v>
      </c>
      <c r="BN297" s="8">
        <f>IF(V297="No","No",ROUNDDOWN(SQRT((2*BJ297)/BB297),0))</f>
        <v>11</v>
      </c>
      <c r="BO297" s="8">
        <f>ROUNDDOWN(SQRT((2*BH297)/BF297),0)</f>
        <v>14</v>
      </c>
      <c r="BP297" s="8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136.1294450002996</v>
      </c>
      <c r="BQ297" s="8" t="str">
        <f>IF(W297="No","No",IF(_xlfn.XLOOKUP(E297,Groups!A:A,Groups!BD:BD)=1,(AO297*5%),EXP(0.7354*LN(C297)^0.4078)*2/IF(_xlfn.XLOOKUP(E297,Groups!A:A,Groups!BL:BL)=1,1000,100)))</f>
        <v>No</v>
      </c>
      <c r="BR297" s="8">
        <f>IF(BJ297="No","No",IF(_xlfn.XLOOKUP(E297,Groups!A:A,Groups!BF:BF)=1,(0.0315*C297+2.1825)*2,(0.7354*C297^0.4078)*2)/IF(_xlfn.XLOOKUP(E297,Groups!A:A,Groups!BM:BM)=1,1000,100))</f>
        <v>0.54764999999999997</v>
      </c>
      <c r="BS297" s="8">
        <f>BG297/(AO297*5%)</f>
        <v>0.19999377668407753</v>
      </c>
      <c r="BT297" s="8">
        <f>IF(BP297="No","No",BH297/BP297)</f>
        <v>7.044122217835608</v>
      </c>
      <c r="BU297" s="8" t="str">
        <f>IF(W297="No","No",BI297/BQ297)</f>
        <v>No</v>
      </c>
      <c r="BV297" s="8">
        <f>IF(BJ297="No","No",BJ297/BR297)</f>
        <v>1009.2824885921964</v>
      </c>
      <c r="BW297" s="4">
        <v>0</v>
      </c>
      <c r="BX297" s="4">
        <v>1</v>
      </c>
    </row>
    <row r="298" spans="1:76" s="16" customFormat="1" x14ac:dyDescent="0.25">
      <c r="A298" s="26" t="s">
        <v>1451</v>
      </c>
      <c r="B298" s="6" t="s">
        <v>1647</v>
      </c>
      <c r="C298" s="7">
        <v>0.1</v>
      </c>
      <c r="D298" s="7" t="s">
        <v>528</v>
      </c>
      <c r="E298" s="7" t="str">
        <f>Groups!$A$50</f>
        <v>Rodent</v>
      </c>
      <c r="F298" s="7">
        <v>19</v>
      </c>
      <c r="G298" s="7">
        <f>42/365</f>
        <v>0.11506849315068493</v>
      </c>
      <c r="H298" s="7">
        <v>4</v>
      </c>
      <c r="I298" s="4">
        <v>0</v>
      </c>
      <c r="J298" s="7">
        <v>7</v>
      </c>
      <c r="K298" s="7" t="s">
        <v>1800</v>
      </c>
      <c r="L298" s="7">
        <v>10</v>
      </c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">
        <v>45</v>
      </c>
      <c r="V298" s="7">
        <v>0.3</v>
      </c>
      <c r="W298" s="7" t="s">
        <v>45</v>
      </c>
      <c r="X298" s="7" t="s">
        <v>933</v>
      </c>
      <c r="Y298" s="4" t="s">
        <v>1008</v>
      </c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 t="s">
        <v>45</v>
      </c>
      <c r="AG298" s="28" t="s">
        <v>385</v>
      </c>
      <c r="AH298" s="4" t="s">
        <v>45</v>
      </c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>(0.111*C298^0.65)*10000</f>
        <v>248.49804638108569</v>
      </c>
      <c r="AP298" s="8">
        <f>IFERROR(C298*_xlfn.XLOOKUP(E298,Groups!A:A,Groups!K:K),0.106*C298^0.94)</f>
        <v>1.2170428387866963E-2</v>
      </c>
      <c r="AQ298" s="8">
        <f>AP298*10000/(_xlfn.XLOOKUP(E298,Groups!A:A,Groups!J:J)*AO298)</f>
        <v>0.44932066041065122</v>
      </c>
      <c r="AR298" s="8">
        <f>EXP(0.8447*LN(C298)+3.996)</f>
        <v>7.7757224389992476</v>
      </c>
      <c r="AS298" s="8">
        <f>IF(_xlfn.XLOOKUP(E298,Groups!A:A,Groups!M:M)=1,EXP(0.7444*LN('Base stats'!C298)+6.5696),EXP(0.7927*LN('Base stats'!C298)+4.28))</f>
        <v>11.643415147050879</v>
      </c>
      <c r="AT298" s="8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IF(_xlfn.XLOOKUP(E298,Groups!A:A,Groups!N:N)="Theropod",EXP(0.6966*LN(C298)+4.158)*S298,
"No"))))))))))))))))</f>
        <v>20.194209102051079</v>
      </c>
      <c r="AU298" s="8">
        <f>IF(_xlfn.XLOOKUP(E298,Groups!A:A,Groups!U:U)=3,AS298,IF(_xlfn.XLOOKUP(E298,Groups!A:A,Groups!U:U)=2,AR298,AT298))</f>
        <v>20.194209102051079</v>
      </c>
      <c r="AV298" s="46">
        <f>IFERROR(AVERAGE(_xlfn.XLOOKUP(B298,Animals!B:B,Animals!N:N),_xlfn.XLOOKUP(B298,Animals!B:B,Animals!O:O)),0)</f>
        <v>0</v>
      </c>
      <c r="AW298" s="8">
        <f>MROUND(40*Animals!AO253*_xlfn.XLOOKUP(Animals!BB253,Leathers!$A$2:$A$99,Leathers!$B$2:$B$99,0)+(140*_xlfn.XLOOKUP(B298,Animals!B:B,Animals!AO:AO)*2),5)</f>
        <v>150</v>
      </c>
      <c r="AX298" s="8">
        <f>IFERROR(ROUND(SQRT(V298-1)*IF(_xlfn.XLOOKUP(E298,Groups!A:A,Groups!BF:BF)=0,2,1)*IF(_xlfn.XLOOKUP('Base stats'!E298,Groups!A:A,Groups!O:O)=0,1,0.1),1),0)</f>
        <v>0</v>
      </c>
      <c r="AY298" s="8">
        <f>IFERROR(ROUND(SQRT(U298-1),1),0)</f>
        <v>0</v>
      </c>
      <c r="AZ298" s="8">
        <f>IFERROR(ROUND(SQRT(W298),1),0)</f>
        <v>0</v>
      </c>
      <c r="BA298" s="8">
        <f>ROUND(
  EXP(0.3582*LN(C298)-0.2221) *
  (0.75 + 0.25*(C298^4/(C298^4+10^4))),
1)</f>
        <v>0.3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6.0893340481305069E-2</v>
      </c>
      <c r="BC298" s="8" t="str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No</v>
      </c>
      <c r="BD298" s="8">
        <f>(0.0392*C298^IF(OR(Y298="Herbivore",Y298="Dendrovore",Y298="OmnivoreRough"),0.889,0.966))*C298^-0.135</f>
        <v>6.9069461019335872E-3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1.1783067042806681E-2</v>
      </c>
      <c r="BF298" s="8">
        <f>(0.048*C298^1.01)/IF(_xlfn.XLOOKUP(E298,Groups!A:A,Groups!M:M)=1,0.25,0.8)*C298^-0.25</f>
        <v>1.0426804972496253E-2</v>
      </c>
      <c r="BG298" s="8">
        <f>EXP(1.076*LN(AR298)-4.5397)*IF(_xlfn.XLOOKUP(E298,Groups!A:A,Groups!BC:BC)=1,1.25,IF(_xlfn.XLOOKUP(E298,Groups!A:A,Groups!BD:BD)=1,3.5,2.5))</f>
        <v>0.2425550917554648</v>
      </c>
      <c r="BH298" s="8">
        <f>EXP(1.076*LN(AS298)-4.5397)*IF(_xlfn.XLOOKUP(E298,Groups!A:A,Groups!M:M)=1,0.8,IF(_xlfn.XLOOKUP(E298,Groups!A:A,Groups!BC:BC)=1,1.3,3))</f>
        <v>0.44942485486133998</v>
      </c>
      <c r="BI298" s="8" t="str">
        <f>IF(W298="No","No",IF(_xlfn.XLOOKUP(E298,Groups!A:A,Groups!U:U)=1,'Base stats'!BJ298,IF(OR(_xlfn.XLOOKUP(E298,Groups!A:A,Groups!BD:BD)=1,_xlfn.XLOOKUP(E298,Groups!A:A,Groups!U:U)=2),BG298,BH298))*1.2)</f>
        <v>No</v>
      </c>
      <c r="BJ298" s="8">
        <f>IFERROR(EXP(1.076*LN(AT298)-4.5397)*IF(_xlfn.XLOOKUP(E298,Groups!A:A,Groups!N:N)="Insect",1,IF(OR(_xlfn.XLOOKUP(E298,Groups!A:A,Groups!N:N)="Pig",_xlfn.XLOOKUP(E298,Groups!A:A,Groups!N:N)="StrongBitingHerbivore"),3.5,3.75)),"No")</f>
        <v>1.0159882787716583</v>
      </c>
      <c r="BK298" s="8">
        <f t="shared" si="617"/>
        <v>8</v>
      </c>
      <c r="BL298" s="8">
        <f t="shared" si="617"/>
        <v>8</v>
      </c>
      <c r="BM298" s="8" t="str">
        <f>IF(W298="No","No",ROUNDDOWN(SQRT((2*BI298)/BC298),0))</f>
        <v>No</v>
      </c>
      <c r="BN298" s="8">
        <f>IF(V298="No","No",ROUNDDOWN(SQRT((2*BJ298)/BB298),0))</f>
        <v>5</v>
      </c>
      <c r="BO298" s="8">
        <f>ROUNDDOWN(SQRT((2*BH298)/BF298),0)</f>
        <v>9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 t="str">
        <f>IF(W298="No","No",IF(_xlfn.XLOOKUP(E298,Groups!A:A,Groups!BD:BD)=1,(AO298*5%),EXP(0.7354*LN(C298)^0.4078)*2/IF(_xlfn.XLOOKUP(E298,Groups!A:A,Groups!BL:BL)=1,1000,100)))</f>
        <v>No</v>
      </c>
      <c r="BR298" s="8">
        <f>IF(BJ298="No","No",IF(_xlfn.XLOOKUP(E298,Groups!A:A,Groups!BF:BF)=1,(0.0315*C298+2.1825)*2,(0.7354*C298^0.4078)*2)/IF(_xlfn.XLOOKUP(E298,Groups!A:A,Groups!BM:BM)=1,1000,100))</f>
        <v>5.7511357814731753E-3</v>
      </c>
      <c r="BS298" s="8">
        <f>BG298/(AO298*5%)</f>
        <v>1.9521690032403151E-2</v>
      </c>
      <c r="BT298" s="8" t="str">
        <f>IF(BP298="No","No",BH298/BP298)</f>
        <v>No</v>
      </c>
      <c r="BU298" s="8" t="str">
        <f>IF(W298="No","No",BI298/BQ298)</f>
        <v>No</v>
      </c>
      <c r="BV298" s="8">
        <f>IF(BJ298="No","No",BJ298/BR298)</f>
        <v>176.65871879509146</v>
      </c>
      <c r="BW298" s="4">
        <v>0</v>
      </c>
      <c r="BX298" s="4">
        <v>1</v>
      </c>
    </row>
    <row r="299" spans="1:76" s="16" customFormat="1" x14ac:dyDescent="0.25">
      <c r="A299" s="26" t="s">
        <v>1453</v>
      </c>
      <c r="B299" s="6" t="s">
        <v>1648</v>
      </c>
      <c r="C299" s="7">
        <v>0.1</v>
      </c>
      <c r="D299" s="7" t="s">
        <v>528</v>
      </c>
      <c r="E299" s="7" t="str">
        <f>Groups!$A$50</f>
        <v>Rodent</v>
      </c>
      <c r="F299" s="7">
        <v>19</v>
      </c>
      <c r="G299" s="7" t="s">
        <v>1707</v>
      </c>
      <c r="H299" s="7">
        <v>4</v>
      </c>
      <c r="I299" s="4">
        <v>0</v>
      </c>
      <c r="J299" s="7">
        <v>7</v>
      </c>
      <c r="K299" s="7" t="s">
        <v>1800</v>
      </c>
      <c r="L299" s="7">
        <v>10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 t="s">
        <v>45</v>
      </c>
      <c r="V299" s="7">
        <v>0.3</v>
      </c>
      <c r="W299" s="7" t="s">
        <v>45</v>
      </c>
      <c r="X299" s="7" t="s">
        <v>933</v>
      </c>
      <c r="Y299" s="4" t="s">
        <v>1008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385</v>
      </c>
      <c r="AH299" s="4" t="s">
        <v>45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ref="AO299:AO300" si="618">(0.111*C299^0.65)*10000</f>
        <v>248.49804638108569</v>
      </c>
      <c r="AP299" s="8">
        <f>IFERROR(C299*_xlfn.XLOOKUP(E299,Groups!A:A,Groups!K:K),0.106*C299^0.94)</f>
        <v>1.2170428387866963E-2</v>
      </c>
      <c r="AQ299" s="8">
        <f>AP299*10000/(_xlfn.XLOOKUP(E299,Groups!A:A,Groups!J:J)*AO299)</f>
        <v>0.44932066041065122</v>
      </c>
      <c r="AR299" s="8">
        <f t="shared" ref="AR299:AR300" si="619">EXP(0.8447*LN(C299)+3.996)</f>
        <v>7.7757224389992476</v>
      </c>
      <c r="AS299" s="8">
        <f>IF(_xlfn.XLOOKUP(E299,Groups!A:A,Groups!M:M)=1,EXP(0.7444*LN('Base stats'!C299)+6.5696),EXP(0.7927*LN('Base stats'!C299)+4.28))</f>
        <v>11.643415147050879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IF(_xlfn.XLOOKUP(E299,Groups!A:A,Groups!N:N)="Theropod",EXP(0.6966*LN(C299)+4.158)*S299,
"No"))))))))))))))))</f>
        <v>20.194209102051079</v>
      </c>
      <c r="AU299" s="8">
        <f>IF(_xlfn.XLOOKUP(E299,Groups!A:A,Groups!U:U)=3,AS299,IF(_xlfn.XLOOKUP(E299,Groups!A:A,Groups!U:U)=2,AR299,AT299))</f>
        <v>20.194209102051079</v>
      </c>
      <c r="AV299" s="46">
        <f>IFERROR(AVERAGE(_xlfn.XLOOKUP(B299,Animals!B:B,Animals!N:N),_xlfn.XLOOKUP(B299,Animals!B:B,Animals!O:O)),0)</f>
        <v>0</v>
      </c>
      <c r="AW299" s="8">
        <f>MROUND(40*Animals!AO254*_xlfn.XLOOKUP(Animals!BB254,Leathers!$A$2:$A$99,Leathers!$B$2:$B$99,0)+(140*_xlfn.XLOOKUP(B299,Animals!B:B,Animals!AO:AO)*2),5)</f>
        <v>110</v>
      </c>
      <c r="AX299" s="8">
        <f>IFERROR(ROUND(SQRT(V299-1)*IF(_xlfn.XLOOKUP(E299,Groups!A:A,Groups!BF:BF)=0,2,1)*IF(_xlfn.XLOOKUP('Base stats'!E299,Groups!A:A,Groups!O:O)=0,1,0.1),1),0)</f>
        <v>0</v>
      </c>
      <c r="AY299" s="8">
        <f t="shared" ref="AY299:AY300" si="620">IFERROR(ROUND(SQRT(U299-1),1),0)</f>
        <v>0</v>
      </c>
      <c r="AZ299" s="8">
        <f t="shared" ref="AZ299:AZ300" si="621">IFERROR(ROUND(SQRT(W299),1),0)</f>
        <v>0</v>
      </c>
      <c r="BA299" s="8">
        <f t="shared" ref="BA299:BA300" si="622">ROUND(
  EXP(0.3582*LN(C299)-0.2221) *
  (0.75 + 0.25*(C299^4/(C299^4+10^4))),
1)</f>
        <v>0.3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6.0893340481305069E-2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ref="BD299:BD300" si="623">(0.0392*C299^IF(OR(Y299="Herbivore",Y299="Dendrovore",Y299="OmnivoreRough"),0.889,0.966))*C299^-0.135</f>
        <v>6.9069461019335872E-3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1.1783067042806681E-2</v>
      </c>
      <c r="BF299" s="8">
        <f>(0.048*C299^1.01)/IF(_xlfn.XLOOKUP(E299,Groups!A:A,Groups!M:M)=1,0.25,0.8)*C299^-0.25</f>
        <v>1.0426804972496253E-2</v>
      </c>
      <c r="BG299" s="8">
        <f>EXP(1.076*LN(AR299)-4.5397)*IF(_xlfn.XLOOKUP(E299,Groups!A:A,Groups!BC:BC)=1,1.25,IF(_xlfn.XLOOKUP(E299,Groups!A:A,Groups!BD:BD)=1,3.5,2.5))</f>
        <v>0.2425550917554648</v>
      </c>
      <c r="BH299" s="8">
        <f>EXP(1.076*LN(AS299)-4.5397)*IF(_xlfn.XLOOKUP(E299,Groups!A:A,Groups!M:M)=1,0.8,IF(_xlfn.XLOOKUP(E299,Groups!A:A,Groups!BC:BC)=1,1.3,3))</f>
        <v>0.44942485486133998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1.0159882787716583</v>
      </c>
      <c r="BK299" s="8">
        <f t="shared" ref="BK299:BK300" si="624">ROUNDDOWN(SQRT((2*BG299)/BD299),0)</f>
        <v>8</v>
      </c>
      <c r="BL299" s="8">
        <f t="shared" ref="BL299:BL300" si="625">ROUNDDOWN(SQRT((2*BH299)/BE299),0)</f>
        <v>8</v>
      </c>
      <c r="BM299" s="8" t="str">
        <f t="shared" ref="BM299:BM300" si="626">IF(W299="No","No",ROUNDDOWN(SQRT((2*BI299)/BC299),0))</f>
        <v>No</v>
      </c>
      <c r="BN299" s="8">
        <f t="shared" ref="BN299:BN300" si="627">IF(V299="No","No",ROUNDDOWN(SQRT((2*BJ299)/BB299),0))</f>
        <v>5</v>
      </c>
      <c r="BO299" s="8">
        <f t="shared" ref="BO299:BO300" si="628">ROUNDDOWN(SQRT((2*BH299)/BF299),0)</f>
        <v>9</v>
      </c>
      <c r="BP299" s="8" t="str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No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5.7511357814731753E-3</v>
      </c>
      <c r="BS299" s="8">
        <f t="shared" ref="BS299:BS300" si="629">BG299/(AO299*5%)</f>
        <v>1.9521690032403151E-2</v>
      </c>
      <c r="BT299" s="8" t="str">
        <f t="shared" ref="BT299:BT300" si="630">IF(BP299="No","No",BH299/BP299)</f>
        <v>No</v>
      </c>
      <c r="BU299" s="8" t="str">
        <f t="shared" ref="BU299:BU300" si="631">IF(W299="No","No",BI299/BQ299)</f>
        <v>No</v>
      </c>
      <c r="BV299" s="8">
        <f t="shared" ref="BV299:BV300" si="632">IF(BJ299="No","No",BJ299/BR299)</f>
        <v>176.65871879509146</v>
      </c>
      <c r="BW299" s="4">
        <v>0</v>
      </c>
      <c r="BX299" s="4">
        <v>1</v>
      </c>
    </row>
    <row r="300" spans="1:76" s="16" customFormat="1" x14ac:dyDescent="0.25">
      <c r="A300" s="26" t="s">
        <v>1455</v>
      </c>
      <c r="B300" s="6" t="s">
        <v>1649</v>
      </c>
      <c r="C300" s="7">
        <v>0.1</v>
      </c>
      <c r="D300" s="7" t="s">
        <v>528</v>
      </c>
      <c r="E300" s="7" t="str">
        <f>Groups!$A$50</f>
        <v>Rodent</v>
      </c>
      <c r="F300" s="7">
        <v>19</v>
      </c>
      <c r="G300" s="7" t="s">
        <v>1707</v>
      </c>
      <c r="H300" s="7">
        <v>4</v>
      </c>
      <c r="I300" s="4">
        <v>0</v>
      </c>
      <c r="J300" s="7">
        <v>7</v>
      </c>
      <c r="K300" s="7" t="s">
        <v>1800</v>
      </c>
      <c r="L300" s="7">
        <v>10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 t="s">
        <v>40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 t="s">
        <v>45</v>
      </c>
      <c r="V300" s="7">
        <v>0.3</v>
      </c>
      <c r="W300" s="7" t="s">
        <v>45</v>
      </c>
      <c r="X300" s="7" t="s">
        <v>933</v>
      </c>
      <c r="Y300" s="4" t="s">
        <v>1008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45</v>
      </c>
      <c r="AF300" s="4" t="s">
        <v>45</v>
      </c>
      <c r="AG300" s="28" t="s">
        <v>385</v>
      </c>
      <c r="AH300" s="4" t="s">
        <v>45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618"/>
        <v>248.49804638108569</v>
      </c>
      <c r="AP300" s="8">
        <f>IFERROR(C300*_xlfn.XLOOKUP(E300,Groups!A:A,Groups!K:K),0.106*C300^0.94)</f>
        <v>1.2170428387866963E-2</v>
      </c>
      <c r="AQ300" s="8">
        <f>AP300*10000/(_xlfn.XLOOKUP(E300,Groups!A:A,Groups!J:J)*AO300)</f>
        <v>0.44932066041065122</v>
      </c>
      <c r="AR300" s="8">
        <f t="shared" si="619"/>
        <v>7.7757224389992476</v>
      </c>
      <c r="AS300" s="8">
        <f>IF(_xlfn.XLOOKUP(E300,Groups!A:A,Groups!M:M)=1,EXP(0.7444*LN('Base stats'!C300)+6.5696),EXP(0.7927*LN('Base stats'!C300)+4.28))</f>
        <v>11.643415147050879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IF(_xlfn.XLOOKUP(E300,Groups!A:A,Groups!N:N)="Theropod",EXP(0.6966*LN(C300)+4.158)*S300,
"No"))))))))))))))))</f>
        <v>20.194209102051079</v>
      </c>
      <c r="AU300" s="8">
        <f>IF(_xlfn.XLOOKUP(E300,Groups!A:A,Groups!U:U)=3,AS300,IF(_xlfn.XLOOKUP(E300,Groups!A:A,Groups!U:U)=2,AR300,AT300))</f>
        <v>20.194209102051079</v>
      </c>
      <c r="AV300" s="46">
        <f>IFERROR(AVERAGE(_xlfn.XLOOKUP(B300,Animals!B:B,Animals!N:N),_xlfn.XLOOKUP(B300,Animals!B:B,Animals!O:O)),0)</f>
        <v>0</v>
      </c>
      <c r="AW300" s="8">
        <f>MROUND(40*Animals!AO255*_xlfn.XLOOKUP(Animals!BB255,Leathers!$A$2:$A$99,Leathers!$B$2:$B$99,0)+(140*_xlfn.XLOOKUP(B300,Animals!B:B,Animals!AO:AO)*2),5)</f>
        <v>30</v>
      </c>
      <c r="AX300" s="8">
        <f>IFERROR(ROUND(SQRT(V300-1)*IF(_xlfn.XLOOKUP(E300,Groups!A:A,Groups!BF:BF)=0,2,1)*IF(_xlfn.XLOOKUP('Base stats'!E300,Groups!A:A,Groups!O:O)=0,1,0.1),1),0)</f>
        <v>0</v>
      </c>
      <c r="AY300" s="8">
        <f t="shared" si="620"/>
        <v>0</v>
      </c>
      <c r="AZ300" s="8">
        <f t="shared" si="621"/>
        <v>0</v>
      </c>
      <c r="BA300" s="8">
        <f t="shared" si="622"/>
        <v>0.3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6.0893340481305069E-2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623"/>
        <v>6.9069461019335872E-3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1.1783067042806681E-2</v>
      </c>
      <c r="BF300" s="8">
        <f>(0.048*C300^1.01)/IF(_xlfn.XLOOKUP(E300,Groups!A:A,Groups!M:M)=1,0.25,0.8)*C300^-0.25</f>
        <v>1.0426804972496253E-2</v>
      </c>
      <c r="BG300" s="8">
        <f>EXP(1.076*LN(AR300)-4.5397)*IF(_xlfn.XLOOKUP(E300,Groups!A:A,Groups!BC:BC)=1,1.25,IF(_xlfn.XLOOKUP(E300,Groups!A:A,Groups!BD:BD)=1,3.5,2.5))</f>
        <v>0.2425550917554648</v>
      </c>
      <c r="BH300" s="8">
        <f>EXP(1.076*LN(AS300)-4.5397)*IF(_xlfn.XLOOKUP(E300,Groups!A:A,Groups!M:M)=1,0.8,IF(_xlfn.XLOOKUP(E300,Groups!A:A,Groups!BC:BC)=1,1.3,3))</f>
        <v>0.44942485486133998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1.0159882787716583</v>
      </c>
      <c r="BK300" s="8">
        <f t="shared" si="624"/>
        <v>8</v>
      </c>
      <c r="BL300" s="8">
        <f t="shared" si="625"/>
        <v>8</v>
      </c>
      <c r="BM300" s="8" t="str">
        <f t="shared" si="626"/>
        <v>No</v>
      </c>
      <c r="BN300" s="8">
        <f t="shared" si="627"/>
        <v>5</v>
      </c>
      <c r="BO300" s="8">
        <f t="shared" si="628"/>
        <v>9</v>
      </c>
      <c r="BP300" s="8" t="str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No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5.7511357814731753E-3</v>
      </c>
      <c r="BS300" s="8">
        <f t="shared" si="629"/>
        <v>1.9521690032403151E-2</v>
      </c>
      <c r="BT300" s="8" t="str">
        <f t="shared" si="630"/>
        <v>No</v>
      </c>
      <c r="BU300" s="8" t="str">
        <f t="shared" si="631"/>
        <v>No</v>
      </c>
      <c r="BV300" s="8">
        <f t="shared" si="632"/>
        <v>176.65871879509146</v>
      </c>
      <c r="BW300" s="4">
        <v>0</v>
      </c>
      <c r="BX300" s="4">
        <v>1</v>
      </c>
    </row>
    <row r="301" spans="1:76" s="16" customFormat="1" x14ac:dyDescent="0.25">
      <c r="A301" s="26" t="s">
        <v>1487</v>
      </c>
      <c r="B301" s="6" t="s">
        <v>1660</v>
      </c>
      <c r="C301" s="7">
        <v>225</v>
      </c>
      <c r="D301" s="7" t="s">
        <v>528</v>
      </c>
      <c r="E301" s="7" t="str">
        <f>Groups!$A$118</f>
        <v>Rodent (CLAWED DIGGER)</v>
      </c>
      <c r="F301" s="7">
        <f>ROUND(7.545*(C301*1000)^0.2689,0)</f>
        <v>207</v>
      </c>
      <c r="G301" s="7">
        <v>5</v>
      </c>
      <c r="H301" s="7">
        <v>30</v>
      </c>
      <c r="I301" s="4">
        <v>1</v>
      </c>
      <c r="J301" s="7">
        <v>1</v>
      </c>
      <c r="K301" s="7" t="s">
        <v>528</v>
      </c>
      <c r="L301" s="7">
        <v>18</v>
      </c>
      <c r="M301" s="7" t="s">
        <v>528</v>
      </c>
      <c r="N301" s="4">
        <v>0</v>
      </c>
      <c r="O301" s="4">
        <v>1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1.0425371059413748</v>
      </c>
      <c r="T301" s="7">
        <f>_xlfn.XLOOKUP(B301,[1]TeethAdjusters!$A:$A,[1]TeethAdjusters!$B:$B,1)</f>
        <v>1.038364019968949</v>
      </c>
      <c r="U301" s="7">
        <v>12</v>
      </c>
      <c r="V301" s="7">
        <v>10</v>
      </c>
      <c r="W301" s="7" t="str">
        <f>IF(_xlfn.XLOOKUP(E301,Groups!A:A,Groups!V:V)&lt;&gt;"No","Need a formula","No")</f>
        <v>No</v>
      </c>
      <c r="X301" s="7" t="s">
        <v>933</v>
      </c>
      <c r="Y301" s="4" t="s">
        <v>42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1049</v>
      </c>
      <c r="AF301" s="4" t="s">
        <v>1805</v>
      </c>
      <c r="AG301" s="28" t="s">
        <v>392</v>
      </c>
      <c r="AH301" s="4" t="s">
        <v>45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>(0.111*C301^0.65)*10000</f>
        <v>37518.167291030215</v>
      </c>
      <c r="AP301" s="8">
        <f>IFERROR(C301*_xlfn.XLOOKUP(E301,Groups!A:A,Groups!K:K),0.106*C301^0.94)</f>
        <v>17.232862875886827</v>
      </c>
      <c r="AQ301" s="8">
        <f>AP301*10000/(_xlfn.XLOOKUP(E301,Groups!A:A,Groups!J:J)*AO301)</f>
        <v>4.213949423099991</v>
      </c>
      <c r="AR301" s="8">
        <f>EXP(0.8447*LN(C301)+3.996)</f>
        <v>5276.2980808141829</v>
      </c>
      <c r="AS301" s="8">
        <f>IF(_xlfn.XLOOKUP(E301,Groups!A:A,Groups!M:M)=1,EXP(0.7444*LN('Base stats'!C301)+6.5696),EXP(0.7927*LN('Base stats'!C301)+4.28))</f>
        <v>5288.7795472348907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IF(_xlfn.XLOOKUP(E301,Groups!A:A,Groups!N:N)="Theropod",EXP(0.6966*LN(C301)+4.158)*S301,
"No"))))))))))))))))</f>
        <v>1617.785865250393</v>
      </c>
      <c r="AU301" s="8">
        <f>IF(_xlfn.XLOOKUP(E301,Groups!A:A,Groups!U:U)=3,AS301,IF(_xlfn.XLOOKUP(E301,Groups!A:A,Groups!U:U)=2,AR301,AT301))</f>
        <v>1617.785865250393</v>
      </c>
      <c r="AV301" s="46">
        <f>IFERROR(AVERAGE(_xlfn.XLOOKUP(B301,Animals!B:B,Animals!N:N),_xlfn.XLOOKUP(B301,Animals!B:B,Animals!O:O)),0)</f>
        <v>0</v>
      </c>
      <c r="AW301" s="8">
        <f>MROUND(40*Animals!AO270*_xlfn.XLOOKUP(Animals!BB270,Leathers!$A$2:$A$99,Leathers!$B$2:$B$99,0)+(140*_xlfn.XLOOKUP(B301,Animals!B:B,Animals!AO:AO)*2),5)</f>
        <v>570</v>
      </c>
      <c r="AX301" s="8">
        <f>IFERROR(ROUND(SQRT(V301-1)*IF(_xlfn.XLOOKUP(E301,Groups!A:A,Groups!BF:BF)=0,2,1)*IF(_xlfn.XLOOKUP('Base stats'!E301,Groups!A:A,Groups!O:O)=0,1,0.1),1),0)</f>
        <v>6</v>
      </c>
      <c r="AY301" s="8">
        <f>IFERROR(ROUND(SQRT(U301-1),1),0)</f>
        <v>3.3</v>
      </c>
      <c r="AZ301" s="8">
        <f>IFERROR(ROUND(SQRT(W301),1),0)</f>
        <v>0</v>
      </c>
      <c r="BA301" s="8">
        <f>ROUND(
  EXP(0.3582*LN(C301)-0.2221) *
  (0.75 + 0.25*(C301^4/(C301^4+10^4))),
1)</f>
        <v>5.6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2.1476754638228392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>(0.0392*C301^IF(OR(Y301="Herbivore",Y301="Dendrovore",Y301="OmnivoreRough"),0.889,0.966))*C301^-0.135</f>
        <v>2.3271891619698901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4.8524460197198902</v>
      </c>
      <c r="BF301" s="8">
        <f>(0.048*C301^1.01)/IF(_xlfn.XLOOKUP(E301,Groups!A:A,Groups!M:M)=1,0.25,0.8)*C301^-0.25</f>
        <v>3.6796792531617739</v>
      </c>
      <c r="BG301" s="8">
        <f>EXP(1.076*LN(AR301)-4.5397)*IF(_xlfn.XLOOKUP(E301,Groups!A:A,Groups!BC:BC)=1,1.25,IF(_xlfn.XLOOKUP(E301,Groups!A:A,Groups!BD:BD)=1,3.5,2.5))</f>
        <v>270.14672095717975</v>
      </c>
      <c r="BH301" s="8">
        <f>EXP(1.076*LN(AS301)-4.5397)*IF(_xlfn.XLOOKUP(E301,Groups!A:A,Groups!M:M)=1,0.8,IF(_xlfn.XLOOKUP(E301,Groups!A:A,Groups!BC:BC)=1,1.3,3))</f>
        <v>325.00128281545972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113.57000466923745</v>
      </c>
      <c r="BK301" s="8">
        <f t="shared" ref="BK301:BL303" si="633">ROUNDDOWN(SQRT((2*BG301)/BD301),0)</f>
        <v>15</v>
      </c>
      <c r="BL301" s="8">
        <f t="shared" si="633"/>
        <v>11</v>
      </c>
      <c r="BM301" s="8" t="str">
        <f>IF(W301="No","No",ROUNDDOWN(SQRT((2*BI301)/BC301),0))</f>
        <v>No</v>
      </c>
      <c r="BN301" s="8">
        <f>IF(V301="No","No",ROUNDDOWN(SQRT((2*BJ301)/BB301),0))</f>
        <v>10</v>
      </c>
      <c r="BO301" s="8">
        <f>ROUNDDOWN(SQRT((2*BH301)/BF301),0)</f>
        <v>13</v>
      </c>
      <c r="BP301" s="8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0.13389786494950129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0.13389786494950129</v>
      </c>
      <c r="BS301" s="8">
        <f>BG301/(AO301*5%)</f>
        <v>0.14400848466911442</v>
      </c>
      <c r="BT301" s="8">
        <f>IF(BP301="No","No",BH301/BP301)</f>
        <v>2427.2327489167346</v>
      </c>
      <c r="BU301" s="8" t="str">
        <f>IF(W301="No","No",BI301/BQ301)</f>
        <v>No</v>
      </c>
      <c r="BV301" s="8">
        <f>IF(BJ301="No","No",BJ301/BR301)</f>
        <v>848.18383558296193</v>
      </c>
      <c r="BW301" s="4">
        <v>0</v>
      </c>
      <c r="BX301" s="4">
        <v>1</v>
      </c>
    </row>
    <row r="302" spans="1:76" s="16" customFormat="1" x14ac:dyDescent="0.25">
      <c r="A302" s="26" t="s">
        <v>1417</v>
      </c>
      <c r="B302" s="6" t="s">
        <v>1635</v>
      </c>
      <c r="C302" s="7">
        <v>70</v>
      </c>
      <c r="D302" s="7" t="s">
        <v>528</v>
      </c>
      <c r="E302" s="7" t="str">
        <f>Groups!$A$99</f>
        <v>Drake</v>
      </c>
      <c r="F302" s="7">
        <v>90</v>
      </c>
      <c r="G302" s="7">
        <f>912/365</f>
        <v>2.4986301369863013</v>
      </c>
      <c r="H302" s="7">
        <v>20</v>
      </c>
      <c r="I302" s="4">
        <v>1</v>
      </c>
      <c r="J302" s="7">
        <v>2</v>
      </c>
      <c r="K302" s="7" t="s">
        <v>528</v>
      </c>
      <c r="L302" s="7">
        <f>MIN(20*C302^0.183,19.9*C302^0.142)</f>
        <v>36.379522807087291</v>
      </c>
      <c r="M302" s="7" t="s">
        <v>627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>
        <v>3</v>
      </c>
      <c r="V302" s="7">
        <v>4</v>
      </c>
      <c r="W302" s="7" t="str">
        <f>IF(_xlfn.XLOOKUP(E302,Groups!A:A,Groups!V:V)&lt;&gt;"No","Need a formula","No")</f>
        <v>No</v>
      </c>
      <c r="X302" s="7" t="s">
        <v>933</v>
      </c>
      <c r="Y302" s="4" t="s">
        <v>1789</v>
      </c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 t="s">
        <v>45</v>
      </c>
      <c r="AG302" s="28" t="s">
        <v>386</v>
      </c>
      <c r="AH302" s="4" t="str">
        <f>Animals!$C$32</f>
        <v>&lt;li&gt;Iguana&lt;/li&gt;</v>
      </c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>(0.111*C302^0.65)*10000</f>
        <v>17564.536938929268</v>
      </c>
      <c r="AP302" s="8">
        <f>IFERROR(C302*_xlfn.XLOOKUP(E302,Groups!A:A,Groups!K:K),0.106*C302^0.94)</f>
        <v>5.7503995690030791</v>
      </c>
      <c r="AQ302" s="8">
        <f>AP302*10000/(_xlfn.XLOOKUP(E302,Groups!A:A,Groups!J:J)*AO302)</f>
        <v>2.5183608877525985</v>
      </c>
      <c r="AR302" s="8">
        <f>EXP(0.8447*LN(C302)+3.996)</f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IF(_xlfn.XLOOKUP(E302,Groups!A:A,Groups!N:N)="Theropod",EXP(0.6966*LN(C302)+4.158)*S302,
"No"))))))))))))))))</f>
        <v>3387.3452526227502</v>
      </c>
      <c r="AU302" s="8">
        <f>IF(_xlfn.XLOOKUP(E302,Groups!A:A,Groups!U:U)=3,AS302,IF(_xlfn.XLOOKUP(E302,Groups!A:A,Groups!U:U)=2,AR302,AT302))</f>
        <v>3387.3452526227502</v>
      </c>
      <c r="AV302" s="46">
        <f>IFERROR(AVERAGE(_xlfn.XLOOKUP(B302,Animals!B:B,Animals!N:N),_xlfn.XLOOKUP(B302,Animals!B:B,Animals!O:O)),0)</f>
        <v>0.82500000000000007</v>
      </c>
      <c r="AW302" s="8">
        <f>MROUND(40*Animals!AO236*_xlfn.XLOOKUP(Animals!BB236,Leathers!$A$2:$A$99,Leathers!$B$2:$B$99,0)+(140*_xlfn.XLOOKUP(B302,Animals!B:B,Animals!AO:AO)*2),5)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3.5</v>
      </c>
      <c r="AY302" s="8">
        <f>IFERROR(ROUND(SQRT(U302-1),1),0)</f>
        <v>1.4</v>
      </c>
      <c r="AZ302" s="8">
        <f>IFERROR(ROUND(SQRT(W302),1),0)</f>
        <v>0</v>
      </c>
      <c r="BA302" s="8">
        <f>ROUND(
  EXP(0.3582*LN(C302)-0.2221) *
  (0.75 + 0.25*(C302^4/(C302^4+10^4))),
1)</f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4.2687254270171584</v>
      </c>
      <c r="BC302" s="8" t="str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No</v>
      </c>
      <c r="BD302" s="8">
        <f>(0.0392*C302^IF(OR(Y302="Herbivore",Y302="Dendrovore",Y302="OmnivoreRough"),0.889,0.966))*C302^-0.135</f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 t="str">
        <f>IF(W302="No","No",IF(_xlfn.XLOOKUP(E302,Groups!A:A,Groups!U:U)=1,'Base stats'!BJ302,IF(OR(_xlfn.XLOOKUP(E302,Groups!A:A,Groups!BD:BD)=1,_xlfn.XLOOKUP(E302,Groups!A:A,Groups!U:U)=2),BG302,BH302))*1.2)</f>
        <v>No</v>
      </c>
      <c r="BJ302" s="8">
        <f>IFERROR(EXP(1.076*LN(AT302)-4.5397)*IF(_xlfn.XLOOKUP(E302,Groups!A:A,Groups!N:N)="Insect",1,IF(OR(_xlfn.XLOOKUP(E302,Groups!A:A,Groups!N:N)="Pig",_xlfn.XLOOKUP(E302,Groups!A:A,Groups!N:N)="StrongBitingHerbivore"),3.5,3.75)),"No")</f>
        <v>251.53208543782037</v>
      </c>
      <c r="BK302" s="8">
        <f t="shared" si="633"/>
        <v>11</v>
      </c>
      <c r="BL302" s="8">
        <f t="shared" si="633"/>
        <v>11</v>
      </c>
      <c r="BM302" s="8" t="str">
        <f>IF(W302="No","No",ROUNDDOWN(SQRT((2*BI302)/BC302),0))</f>
        <v>No</v>
      </c>
      <c r="BN302" s="8">
        <f>IF(V302="No","No",ROUNDDOWN(SQRT((2*BJ302)/BB302),0))</f>
        <v>10</v>
      </c>
      <c r="BO302" s="8">
        <f>ROUNDDOWN(SQRT((2*BH302)/BF302),0)</f>
        <v>12</v>
      </c>
      <c r="BP302" s="8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8.3173428110674564E-3</v>
      </c>
      <c r="BQ302" s="8" t="str">
        <f>IF(W302="No","No",IF(_xlfn.XLOOKUP(E302,Groups!A:A,Groups!BD:BD)=1,(AO302*5%),EXP(0.7354*LN(C302)^0.4078)*2/IF(_xlfn.XLOOKUP(E302,Groups!A:A,Groups!BL:BL)=1,1000,100)))</f>
        <v>No</v>
      </c>
      <c r="BR302" s="8">
        <f>IF(BJ302="No","No",IF(_xlfn.XLOOKUP(E302,Groups!A:A,Groups!BF:BF)=1,(0.0315*C302+2.1825)*2,(0.7354*C302^0.4078)*2)/IF(_xlfn.XLOOKUP(E302,Groups!A:A,Groups!BM:BM)=1,1000,100))</f>
        <v>8.3173428110674564E-3</v>
      </c>
      <c r="BS302" s="8">
        <f>BG302/(AO302*5%)</f>
        <v>0.10644011350494281</v>
      </c>
      <c r="BT302" s="8">
        <f>IF(BP302="No","No",BH302/BP302)</f>
        <v>14433.950170946904</v>
      </c>
      <c r="BU302" s="8" t="str">
        <f>IF(W302="No","No",BI302/BQ302)</f>
        <v>No</v>
      </c>
      <c r="BV302" s="8">
        <f>IF(BJ302="No","No",BJ302/BR302)</f>
        <v>30241.880267712386</v>
      </c>
      <c r="BW302" s="4">
        <v>0</v>
      </c>
      <c r="BX302" s="4">
        <v>1</v>
      </c>
    </row>
    <row r="303" spans="1:76" s="16" customFormat="1" x14ac:dyDescent="0.25">
      <c r="A303" s="26" t="s">
        <v>1569</v>
      </c>
      <c r="B303" s="6" t="s">
        <v>1858</v>
      </c>
      <c r="C303" s="7">
        <v>500</v>
      </c>
      <c r="D303" s="7" t="s">
        <v>528</v>
      </c>
      <c r="E303" s="7" t="str">
        <f>Groups!$A$26</f>
        <v>Lizard (MONITOR)</v>
      </c>
      <c r="F303" s="7" t="str">
        <f t="shared" ref="F303" si="634">"Lay eggs"</f>
        <v>Lay eggs</v>
      </c>
      <c r="G303" s="7">
        <f>1825/365</f>
        <v>5</v>
      </c>
      <c r="H303" s="7">
        <v>65</v>
      </c>
      <c r="I303" s="4">
        <v>0</v>
      </c>
      <c r="J303" s="7" t="str">
        <f t="shared" ref="J303" si="635">"Lay eggs"</f>
        <v>Lay eggs</v>
      </c>
      <c r="K303" s="7" t="s">
        <v>528</v>
      </c>
      <c r="L303" s="7">
        <v>20</v>
      </c>
      <c r="M303" s="7" t="s">
        <v>638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>
        <v>4.5</v>
      </c>
      <c r="V303" s="7">
        <v>6</v>
      </c>
      <c r="W303" s="7" t="s">
        <v>45</v>
      </c>
      <c r="X303" s="7" t="s">
        <v>933</v>
      </c>
      <c r="Y303" s="4" t="s">
        <v>56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386</v>
      </c>
      <c r="AH303" s="4" t="str">
        <f>Animals!$C$32</f>
        <v>&lt;li&gt;Iguana&lt;/li&gt;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1</v>
      </c>
      <c r="AN303" s="44" t="s">
        <v>40</v>
      </c>
      <c r="AO303" s="8">
        <f>(0.111*C303^0.65)*10000</f>
        <v>63045.411191767809</v>
      </c>
      <c r="AP303" s="8">
        <f>IFERROR(C303*_xlfn.XLOOKUP(E303,Groups!A:A,Groups!K:K),0.106*C303^0.94)</f>
        <v>36.503765791879047</v>
      </c>
      <c r="AQ303" s="8">
        <f>AP303*10000/(_xlfn.XLOOKUP(E303,Groups!A:A,Groups!J:J)*AO303)</f>
        <v>5.3119953941101317</v>
      </c>
      <c r="AR303" s="8">
        <f>EXP(0.8447*LN(C303)+3.996)</f>
        <v>10357.637618796818</v>
      </c>
      <c r="AS303" s="8">
        <f>IF(_xlfn.XLOOKUP(E303,Groups!A:A,Groups!M:M)=1,EXP(0.7444*LN('Base stats'!C303)+6.5696),EXP(0.7927*LN('Base stats'!C303)+4.28))</f>
        <v>9959.8753916241294</v>
      </c>
      <c r="AT303" s="8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IF(_xlfn.XLOOKUP(E303,Groups!A:A,Groups!N:N)="Theropod",EXP(0.6966*LN(C303)+4.158)*S303,
"No"))))))))))))))))</f>
        <v>30824.232913308635</v>
      </c>
      <c r="AU303" s="8">
        <f>IF(_xlfn.XLOOKUP(E303,Groups!A:A,Groups!U:U)=3,AS303,IF(_xlfn.XLOOKUP(E303,Groups!A:A,Groups!U:U)=2,AR303,AT303))</f>
        <v>30824.232913308635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900</v>
      </c>
      <c r="AX303" s="8">
        <f>IFERROR(ROUND(SQRT(V303-1)*IF(_xlfn.XLOOKUP(E303,Groups!A:A,Groups!BF:BF)=0,2,1)*IF(_xlfn.XLOOKUP('Base stats'!E303,Groups!A:A,Groups!O:O)=0,1,0.1),1),0)</f>
        <v>4.5</v>
      </c>
      <c r="AY303" s="8">
        <f>IFERROR(ROUND(SQRT(U303-1),1),0)</f>
        <v>1.9</v>
      </c>
      <c r="AZ303" s="8">
        <f>IFERROR(ROUND(SQRT(W303),1),0)</f>
        <v>0</v>
      </c>
      <c r="BA303" s="8">
        <f>ROUND(
  EXP(0.3582*LN(C303)-0.2221) *
  (0.75 + 0.25*(C303^4/(C303^4+10^4))),
1)</f>
        <v>7.4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28.639286087071646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>(0.0392*C303^IF(OR(Y303="Herbivore",Y303="Dendrovore",Y303="OmnivoreRough"),0.889,0.966))*C303^-0.135</f>
        <v>6.8569367053883514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9.0459660212328927</v>
      </c>
      <c r="BF303" s="8">
        <f>(0.048*C303^1.01)/IF(_xlfn.XLOOKUP(E303,Groups!A:A,Groups!M:M)=1,0.25,0.8)*C303^-0.25</f>
        <v>6.7510053736705169</v>
      </c>
      <c r="BG303" s="8">
        <f>EXP(1.076*LN(AR303)-4.5397)*IF(_xlfn.XLOOKUP(E303,Groups!A:A,Groups!BC:BC)=1,1.25,IF(_xlfn.XLOOKUP(E303,Groups!A:A,Groups!BD:BD)=1,3.5,2.5))</f>
        <v>558.20519715935461</v>
      </c>
      <c r="BH303" s="8">
        <f>EXP(1.076*LN(AS303)-4.5397)*IF(_xlfn.XLOOKUP(E303,Groups!A:A,Groups!M:M)=1,0.8,IF(_xlfn.XLOOKUP(E303,Groups!A:A,Groups!BC:BC)=1,1.3,3))</f>
        <v>642.20812673473438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>
        <f>IFERROR(EXP(1.076*LN(AT303)-4.5397)*IF(_xlfn.XLOOKUP(E303,Groups!A:A,Groups!N:N)="Insect",1,IF(OR(_xlfn.XLOOKUP(E303,Groups!A:A,Groups!N:N)="Pig",_xlfn.XLOOKUP(E303,Groups!A:A,Groups!N:N)="StrongBitingHerbivore"),3.5,3.75)),"No")</f>
        <v>2707.1523610385143</v>
      </c>
      <c r="BK303" s="8">
        <f t="shared" si="633"/>
        <v>12</v>
      </c>
      <c r="BL303" s="8">
        <f t="shared" si="633"/>
        <v>11</v>
      </c>
      <c r="BM303" s="8" t="str">
        <f>IF(W303="No","No",ROUNDDOWN(SQRT((2*BI303)/BC303),0))</f>
        <v>No</v>
      </c>
      <c r="BN303" s="8">
        <f>IF(V303="No","No",ROUNDDOWN(SQRT((2*BJ303)/BB303),0))</f>
        <v>13</v>
      </c>
      <c r="BO303" s="8">
        <f>ROUNDDOWN(SQRT((2*BH303)/BF303),0)</f>
        <v>13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0.18543580286977573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>
        <f>IF(BJ303="No","No",IF(_xlfn.XLOOKUP(E303,Groups!A:A,Groups!BF:BF)=1,(0.0315*C303+2.1825)*2,(0.7354*C303^0.4078)*2)/IF(_xlfn.XLOOKUP(E303,Groups!A:A,Groups!BM:BM)=1,1000,100))</f>
        <v>0.18543580286977573</v>
      </c>
      <c r="BS303" s="8">
        <f>BG303/(AO303*5%)</f>
        <v>0.17708035735112868</v>
      </c>
      <c r="BT303" s="8">
        <f>IF(BP303="No","No",BH303/BP303)</f>
        <v>3463.2369628519464</v>
      </c>
      <c r="BU303" s="8" t="str">
        <f>IF(W303="No","No",BI303/BQ303)</f>
        <v>No</v>
      </c>
      <c r="BV303" s="8">
        <f>IF(BJ303="No","No",BJ303/BR303)</f>
        <v>14598.865586596785</v>
      </c>
      <c r="BW303" s="4">
        <v>0</v>
      </c>
      <c r="BX303" s="4">
        <v>1</v>
      </c>
    </row>
    <row r="304" spans="1:76" s="16" customFormat="1" x14ac:dyDescent="0.25">
      <c r="A304" s="26" t="s">
        <v>1553</v>
      </c>
      <c r="B304" s="6" t="s">
        <v>1877</v>
      </c>
      <c r="C304" s="7">
        <v>70</v>
      </c>
      <c r="D304" s="7" t="s">
        <v>528</v>
      </c>
      <c r="E304" s="7" t="str">
        <f>Groups!$A$26</f>
        <v>Lizard (MONITOR)</v>
      </c>
      <c r="F304" s="7" t="str">
        <f t="shared" ref="F304" si="636">"Lay eggs"</f>
        <v>Lay eggs</v>
      </c>
      <c r="G304" s="7">
        <v>4</v>
      </c>
      <c r="H304" s="7">
        <v>45</v>
      </c>
      <c r="I304" s="4">
        <v>0</v>
      </c>
      <c r="J304" s="7" t="str">
        <f t="shared" ref="J304" si="637">"Lay eggs"</f>
        <v>Lay eggs</v>
      </c>
      <c r="K304" s="7" t="s">
        <v>528</v>
      </c>
      <c r="L304" s="7">
        <v>20</v>
      </c>
      <c r="M304" s="7" t="s">
        <v>638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>
        <v>1.5</v>
      </c>
      <c r="V304" s="7">
        <v>2</v>
      </c>
      <c r="W304" s="7" t="s">
        <v>45</v>
      </c>
      <c r="X304" s="7" t="s">
        <v>933</v>
      </c>
      <c r="Y304" s="4" t="s">
        <v>56</v>
      </c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 t="s">
        <v>45</v>
      </c>
      <c r="AG304" s="28" t="s">
        <v>386</v>
      </c>
      <c r="AH304" s="4" t="str">
        <f>Animals!$C$32</f>
        <v>&lt;li&gt;Iguana&lt;/li&gt;</v>
      </c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ref="AO304" si="638">(0.111*C304^0.65)*10000</f>
        <v>17564.536938929268</v>
      </c>
      <c r="AP304" s="8">
        <f>IFERROR(C304*_xlfn.XLOOKUP(E304,Groups!A:A,Groups!K:K),0.106*C304^0.94)</f>
        <v>5.7503995690030791</v>
      </c>
      <c r="AQ304" s="8">
        <f>AP304*10000/(_xlfn.XLOOKUP(E304,Groups!A:A,Groups!J:J)*AO304)</f>
        <v>3.0035496826407138</v>
      </c>
      <c r="AR304" s="8">
        <f t="shared" ref="AR304" si="639">EXP(0.8447*LN(C304)+3.996)</f>
        <v>1967.863924091341</v>
      </c>
      <c r="AS304" s="8">
        <f>IF(_xlfn.XLOOKUP(E304,Groups!A:A,Groups!M:M)=1,EXP(0.7444*LN('Base stats'!C304)+6.5696),EXP(0.7927*LN('Base stats'!C304)+4.28))</f>
        <v>2095.9918946402931</v>
      </c>
      <c r="AT304" s="8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IF(_xlfn.XLOOKUP(E304,Groups!A:A,Groups!N:N)="Theropod",EXP(0.6966*LN(C304)+4.158)*S304,
"No"))))))))))))))))</f>
        <v>6738.9632437784339</v>
      </c>
      <c r="AU304" s="8">
        <f>IF(_xlfn.XLOOKUP(E304,Groups!A:A,Groups!U:U)=3,AS304,IF(_xlfn.XLOOKUP(E304,Groups!A:A,Groups!U:U)=2,AR304,AT304))</f>
        <v>6738.9632437784339</v>
      </c>
      <c r="AV304" s="46">
        <f>IFERROR(AVERAGE(_xlfn.XLOOKUP(B304,Animals!B:B,Animals!N:N),_xlfn.XLOOKUP(B304,Animals!B:B,Animals!O:O)),0)</f>
        <v>0</v>
      </c>
      <c r="AW304" s="8">
        <f>MROUND(40*Animals!AO301*_xlfn.XLOOKUP(Animals!BB301,Leathers!$A$2:$A$99,Leathers!$B$2:$B$99,0)+(140*_xlfn.XLOOKUP(B304,Animals!B:B,Animals!AO:AO)*2),5)</f>
        <v>280</v>
      </c>
      <c r="AX304" s="8">
        <f>IFERROR(ROUND(SQRT(V304-1)*IF(_xlfn.XLOOKUP(E304,Groups!A:A,Groups!BF:BF)=0,2,1)*IF(_xlfn.XLOOKUP('Base stats'!E304,Groups!A:A,Groups!O:O)=0,1,0.1),1),0)</f>
        <v>2</v>
      </c>
      <c r="AY304" s="8">
        <f t="shared" ref="AY304" si="640">IFERROR(ROUND(SQRT(U304-1),1),0)</f>
        <v>0.7</v>
      </c>
      <c r="AZ304" s="8">
        <f t="shared" ref="AZ304" si="641">IFERROR(ROUND(SQRT(W304),1),0)</f>
        <v>0</v>
      </c>
      <c r="BA304" s="8">
        <f t="shared" ref="BA304" si="642">ROUND(
  EXP(0.3582*LN(C304)-0.2221) *
  (0.75 + 0.25*(C304^4/(C304^4+10^4))),
1)</f>
        <v>3.7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8.1193153140455987</v>
      </c>
      <c r="BC304" s="8" t="str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No</v>
      </c>
      <c r="BD304" s="8">
        <f t="shared" ref="BD304" si="643">(0.0392*C304^IF(OR(Y304="Herbivore",Y304="Dendrovore",Y304="OmnivoreRough"),0.889,0.966))*C304^-0.135</f>
        <v>1.3383279200893237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1.9517977810631861</v>
      </c>
      <c r="BF304" s="8">
        <f>(0.048*C304^1.01)/IF(_xlfn.XLOOKUP(E304,Groups!A:A,Groups!M:M)=1,0.25,0.8)*C304^-0.25</f>
        <v>1.515045796469928</v>
      </c>
      <c r="BG304" s="8">
        <f>EXP(1.076*LN(AR304)-4.5397)*IF(_xlfn.XLOOKUP(E304,Groups!A:A,Groups!BC:BC)=1,1.25,IF(_xlfn.XLOOKUP(E304,Groups!A:A,Groups!BD:BD)=1,3.5,2.5))</f>
        <v>93.478565272069602</v>
      </c>
      <c r="BH304" s="8">
        <f>EXP(1.076*LN(AS304)-4.5397)*IF(_xlfn.XLOOKUP(E304,Groups!A:A,Groups!M:M)=1,0.8,IF(_xlfn.XLOOKUP(E304,Groups!A:A,Groups!BC:BC)=1,1.3,3))</f>
        <v>120.05211168963112</v>
      </c>
      <c r="BI304" s="8" t="str">
        <f>IF(W304="No","No",IF(_xlfn.XLOOKUP(E304,Groups!A:A,Groups!U:U)=1,'Base stats'!BJ304,IF(OR(_xlfn.XLOOKUP(E304,Groups!A:A,Groups!BD:BD)=1,_xlfn.XLOOKUP(E304,Groups!A:A,Groups!U:U)=2),BG304,BH304))*1.2)</f>
        <v>No</v>
      </c>
      <c r="BJ304" s="8">
        <f>IFERROR(EXP(1.076*LN(AT304)-4.5397)*IF(_xlfn.XLOOKUP(E304,Groups!A:A,Groups!N:N)="Insect",1,IF(OR(_xlfn.XLOOKUP(E304,Groups!A:A,Groups!N:N)="Pig",_xlfn.XLOOKUP(E304,Groups!A:A,Groups!N:N)="StrongBitingHerbivore"),3.5,3.75)),"No")</f>
        <v>527.26721787855001</v>
      </c>
      <c r="BK304" s="8">
        <f t="shared" ref="BK304" si="644">ROUNDDOWN(SQRT((2*BG304)/BD304),0)</f>
        <v>11</v>
      </c>
      <c r="BL304" s="8">
        <f t="shared" ref="BL304" si="645">ROUNDDOWN(SQRT((2*BH304)/BE304),0)</f>
        <v>11</v>
      </c>
      <c r="BM304" s="8" t="str">
        <f t="shared" ref="BM304" si="646">IF(W304="No","No",ROUNDDOWN(SQRT((2*BI304)/BC304),0))</f>
        <v>No</v>
      </c>
      <c r="BN304" s="8">
        <f t="shared" ref="BN304" si="647">IF(V304="No","No",ROUNDDOWN(SQRT((2*BJ304)/BB304),0))</f>
        <v>11</v>
      </c>
      <c r="BO304" s="8">
        <f t="shared" ref="BO304" si="648">ROUNDDOWN(SQRT((2*BH304)/BF304),0)</f>
        <v>12</v>
      </c>
      <c r="BP304" s="8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8.3173428110674574E-2</v>
      </c>
      <c r="BQ304" s="8" t="str">
        <f>IF(W304="No","No",IF(_xlfn.XLOOKUP(E304,Groups!A:A,Groups!BD:BD)=1,(AO304*5%),EXP(0.7354*LN(C304)^0.4078)*2/IF(_xlfn.XLOOKUP(E304,Groups!A:A,Groups!BL:BL)=1,1000,100)))</f>
        <v>No</v>
      </c>
      <c r="BR304" s="8">
        <f>IF(BJ304="No","No",IF(_xlfn.XLOOKUP(E304,Groups!A:A,Groups!BF:BF)=1,(0.0315*C304+2.1825)*2,(0.7354*C304^0.4078)*2)/IF(_xlfn.XLOOKUP(E304,Groups!A:A,Groups!BM:BM)=1,1000,100))</f>
        <v>8.3173428110674574E-2</v>
      </c>
      <c r="BS304" s="8">
        <f t="shared" ref="BS304" si="649">BG304/(AO304*5%)</f>
        <v>0.10644011350494281</v>
      </c>
      <c r="BT304" s="8">
        <f t="shared" ref="BT304" si="650">IF(BP304="No","No",BH304/BP304)</f>
        <v>1443.3950170946903</v>
      </c>
      <c r="BU304" s="8" t="str">
        <f t="shared" ref="BU304" si="651">IF(W304="No","No",BI304/BQ304)</f>
        <v>No</v>
      </c>
      <c r="BV304" s="8">
        <f t="shared" ref="BV304" si="652">IF(BJ304="No","No",BJ304/BR304)</f>
        <v>6339.3709969119327</v>
      </c>
      <c r="BW304" s="4">
        <v>0</v>
      </c>
      <c r="BX304" s="4">
        <v>1</v>
      </c>
    </row>
    <row r="305" spans="1:76" s="16" customFormat="1" x14ac:dyDescent="0.25">
      <c r="A305" s="26" t="s">
        <v>1407</v>
      </c>
      <c r="B305" s="6" t="s">
        <v>1631</v>
      </c>
      <c r="C305" s="7">
        <v>50</v>
      </c>
      <c r="D305" s="7" t="s">
        <v>528</v>
      </c>
      <c r="E305" s="7" t="str">
        <f>Groups!$A$26</f>
        <v>Lizard (MONITOR)</v>
      </c>
      <c r="F305" s="7" t="str">
        <f t="shared" si="344"/>
        <v>Lay eggs</v>
      </c>
      <c r="G305" s="7">
        <f>1825/365</f>
        <v>5</v>
      </c>
      <c r="H305" s="7">
        <v>62</v>
      </c>
      <c r="I305" s="4">
        <v>0</v>
      </c>
      <c r="J305" s="7" t="str">
        <f t="shared" si="345"/>
        <v>Lay eggs</v>
      </c>
      <c r="K305" s="7" t="s">
        <v>528</v>
      </c>
      <c r="L305" s="7">
        <v>20</v>
      </c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1.7200053335432037</v>
      </c>
      <c r="T305" s="7">
        <f>_xlfn.XLOOKUP(B305,[1]TeethAdjusters!$A:$A,[1]TeethAdjusters!$B:$B,1)</f>
        <v>1</v>
      </c>
      <c r="U305" s="7">
        <v>2</v>
      </c>
      <c r="V305" s="7">
        <v>2.5</v>
      </c>
      <c r="W305" s="7" t="s">
        <v>45</v>
      </c>
      <c r="X305" s="7" t="s">
        <v>933</v>
      </c>
      <c r="Y305" s="4" t="s">
        <v>53</v>
      </c>
      <c r="Z305" s="4">
        <v>2.4500000000000002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 t="s">
        <v>45</v>
      </c>
      <c r="AG305" s="28" t="s">
        <v>386</v>
      </c>
      <c r="AH305" s="4" t="str">
        <f>Animals!$C$32</f>
        <v>&lt;li&gt;Iguana&lt;/li&gt;</v>
      </c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ref="AO305" si="653">(0.111*C305^0.65)*10000</f>
        <v>14114.109472474363</v>
      </c>
      <c r="AP305" s="8">
        <f>IFERROR(C305*_xlfn.XLOOKUP(E305,Groups!A:A,Groups!K:K),0.106*C305^0.94)</f>
        <v>4.1911930892219962</v>
      </c>
      <c r="AQ305" s="8">
        <f>AP305*10000/(_xlfn.XLOOKUP(E305,Groups!A:A,Groups!J:J)*AO305)</f>
        <v>2.7243173095790771</v>
      </c>
      <c r="AR305" s="8">
        <f t="shared" ref="AR305" si="654">EXP(0.8447*LN(C305)+3.996)</f>
        <v>1481.019280401604</v>
      </c>
      <c r="AS305" s="8">
        <f>IF(_xlfn.XLOOKUP(E305,Groups!A:A,Groups!M:M)=1,EXP(0.7444*LN('Base stats'!C305)+6.5696),EXP(0.7927*LN('Base stats'!C305)+4.28))</f>
        <v>1605.2914958133745</v>
      </c>
      <c r="AT305" s="8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IF(_xlfn.XLOOKUP(E305,Groups!A:A,Groups!N:N)="Theropod",EXP(0.6966*LN(C305)+4.158)*S305,
"No"))))))))))))))))</f>
        <v>8935.5660879038314</v>
      </c>
      <c r="AU305" s="8">
        <f>IF(_xlfn.XLOOKUP(E305,Groups!A:A,Groups!U:U)=3,AS305,IF(_xlfn.XLOOKUP(E305,Groups!A:A,Groups!U:U)=2,AR305,AT305))</f>
        <v>8935.5660879038314</v>
      </c>
      <c r="AV305" s="46">
        <f>IFERROR(AVERAGE(_xlfn.XLOOKUP(B305,Animals!B:B,Animals!N:N),_xlfn.XLOOKUP(B305,Animals!B:B,Animals!O:O)),0)</f>
        <v>0</v>
      </c>
      <c r="AW305" s="8">
        <f>MROUND(40*Animals!AO231*_xlfn.XLOOKUP(Animals!BB231,Leathers!$A$2:$A$99,Leathers!$B$2:$B$99,0)+(140*_xlfn.XLOOKUP(B305,Animals!B:B,Animals!AO:AO)*2),5)</f>
        <v>240</v>
      </c>
      <c r="AX305" s="8">
        <f>IFERROR(ROUND(SQRT(V305-1)*IF(_xlfn.XLOOKUP(E305,Groups!A:A,Groups!BF:BF)=0,2,1)*IF(_xlfn.XLOOKUP('Base stats'!E305,Groups!A:A,Groups!O:O)=0,1,0.1),1),0)</f>
        <v>2.4</v>
      </c>
      <c r="AY305" s="8">
        <f t="shared" ref="AY305" si="655">IFERROR(ROUND(SQRT(U305-1),1),0)</f>
        <v>1</v>
      </c>
      <c r="AZ305" s="8">
        <f t="shared" ref="AZ305" si="656">IFERROR(ROUND(SQRT(W305),1),0)</f>
        <v>0</v>
      </c>
      <c r="BA305" s="8">
        <f t="shared" ref="BA305" si="657">ROUND(
  EXP(0.3582*LN(C305)-0.2221) *
  (0.75 + 0.25*(C305^4/(C305^4+10^4))),
1)</f>
        <v>3.3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11.041273278574417</v>
      </c>
      <c r="BC305" s="8" t="str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No</v>
      </c>
      <c r="BD305" s="8">
        <f t="shared" ref="BD305" si="658">(0.0392*C305^IF(OR(Y305="Herbivore",Y305="Dendrovore",Y305="OmnivoreRough"),0.889,0.966))*C305^-0.135</f>
        <v>1.0118826294400882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1.5012566773963152</v>
      </c>
      <c r="BF305" s="8">
        <f>(0.048*C305^1.01)/IF(_xlfn.XLOOKUP(E305,Groups!A:A,Groups!M:M)=1,0.25,0.8)*C305^-0.25</f>
        <v>1.1731902733256112</v>
      </c>
      <c r="BG305" s="8">
        <f>EXP(1.076*LN(AR305)-4.5397)*IF(_xlfn.XLOOKUP(E305,Groups!A:A,Groups!BC:BC)=1,1.25,IF(_xlfn.XLOOKUP(E305,Groups!A:A,Groups!BD:BD)=1,3.5,2.5))</f>
        <v>68.848847644384961</v>
      </c>
      <c r="BH305" s="8">
        <f>EXP(1.076*LN(AS305)-4.5397)*IF(_xlfn.XLOOKUP(E305,Groups!A:A,Groups!M:M)=1,0.8,IF(_xlfn.XLOOKUP(E305,Groups!A:A,Groups!BC:BC)=1,1.3,3))</f>
        <v>90.101204539033517</v>
      </c>
      <c r="BI305" s="8" t="str">
        <f>IF(W305="No","No",IF(_xlfn.XLOOKUP(E305,Groups!A:A,Groups!U:U)=1,'Base stats'!BJ305,IF(OR(_xlfn.XLOOKUP(E305,Groups!A:A,Groups!BD:BD)=1,_xlfn.XLOOKUP(E305,Groups!A:A,Groups!U:U)=2),BG305,BH305))*1.2)</f>
        <v>No</v>
      </c>
      <c r="BJ305" s="8">
        <f>IFERROR(EXP(1.076*LN(AT305)-4.5397)*IF(_xlfn.XLOOKUP(E305,Groups!A:A,Groups!N:N)="Insect",1,IF(OR(_xlfn.XLOOKUP(E305,Groups!A:A,Groups!N:N)="Pig",_xlfn.XLOOKUP(E305,Groups!A:A,Groups!N:N)="StrongBitingHerbivore"),3.5,3.75)),"No")</f>
        <v>714.28570203908293</v>
      </c>
      <c r="BK305" s="8">
        <f t="shared" ref="BK305" si="659">ROUNDDOWN(SQRT((2*BG305)/BD305),0)</f>
        <v>11</v>
      </c>
      <c r="BL305" s="8">
        <f t="shared" ref="BL305" si="660">ROUNDDOWN(SQRT((2*BH305)/BE305),0)</f>
        <v>10</v>
      </c>
      <c r="BM305" s="8" t="str">
        <f t="shared" ref="BM305" si="661">IF(W305="No","No",ROUNDDOWN(SQRT((2*BI305)/BC305),0))</f>
        <v>No</v>
      </c>
      <c r="BN305" s="8">
        <f t="shared" ref="BN305" si="662">IF(V305="No","No",ROUNDDOWN(SQRT((2*BJ305)/BB305),0))</f>
        <v>11</v>
      </c>
      <c r="BO305" s="8">
        <f t="shared" ref="BO305" si="663">ROUNDDOWN(SQRT((2*BH305)/BF305),0)</f>
        <v>12</v>
      </c>
      <c r="BP305" s="8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7.2509279375208957E-2</v>
      </c>
      <c r="BQ305" s="8" t="str">
        <f>IF(W305="No","No",IF(_xlfn.XLOOKUP(E305,Groups!A:A,Groups!BD:BD)=1,(AO305*5%),EXP(0.7354*LN(C305)^0.4078)*2/IF(_xlfn.XLOOKUP(E305,Groups!A:A,Groups!BL:BL)=1,1000,100)))</f>
        <v>No</v>
      </c>
      <c r="BR305" s="8">
        <f>IF(BJ305="No","No",IF(_xlfn.XLOOKUP(E305,Groups!A:A,Groups!BF:BF)=1,(0.0315*C305+2.1825)*2,(0.7354*C305^0.4078)*2)/IF(_xlfn.XLOOKUP(E305,Groups!A:A,Groups!BM:BM)=1,1000,100))</f>
        <v>7.2509279375208957E-2</v>
      </c>
      <c r="BS305" s="8">
        <f t="shared" ref="BS305" si="664">BG305/(AO305*5%)</f>
        <v>9.756031406537613E-2</v>
      </c>
      <c r="BT305" s="8">
        <f t="shared" ref="BT305" si="665">IF(BP305="No","No",BH305/BP305)</f>
        <v>1242.6161908573492</v>
      </c>
      <c r="BU305" s="8" t="str">
        <f t="shared" ref="BU305" si="666">IF(W305="No","No",BI305/BQ305)</f>
        <v>No</v>
      </c>
      <c r="BV305" s="8">
        <f t="shared" ref="BV305" si="667">IF(BJ305="No","No",BJ305/BR305)</f>
        <v>9850.9557424080322</v>
      </c>
      <c r="BW305" s="4">
        <v>0</v>
      </c>
      <c r="BX305" s="4">
        <v>1</v>
      </c>
    </row>
    <row r="306" spans="1:76" s="16" customFormat="1" x14ac:dyDescent="0.25">
      <c r="A306" s="26" t="s">
        <v>1563</v>
      </c>
      <c r="B306" s="6" t="s">
        <v>1874</v>
      </c>
      <c r="C306" s="7">
        <v>100</v>
      </c>
      <c r="D306" s="7" t="s">
        <v>528</v>
      </c>
      <c r="E306" s="7" t="str">
        <f>Groups!$A$26</f>
        <v>Lizard (MONITOR)</v>
      </c>
      <c r="F306" s="7" t="str">
        <f t="shared" ref="F306" si="668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669">"Lay eggs"</f>
        <v>Lay eggs</v>
      </c>
      <c r="K306" s="7" t="s">
        <v>528</v>
      </c>
      <c r="L306" s="7">
        <v>20</v>
      </c>
      <c r="M306" s="7" t="s">
        <v>638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933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ref="AO306:AO320" si="670">(0.111*C306^0.65)*10000</f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ref="AR306:AR320" si="671">EXP(0.8447*LN(C306)+3.996)</f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IF(_xlfn.XLOOKUP(E306,Groups!A:A,Groups!N:N)="Theropod",EXP(0.6966*LN(C306)+4.158)*S306,
"No"))))))))))))))))</f>
        <v>8879.300894805825</v>
      </c>
      <c r="AU306" s="8">
        <f>IF(_xlfn.XLOOKUP(E306,Groups!A:A,Groups!U:U)=3,AS306,IF(_xlfn.XLOOKUP(E306,Groups!A:A,Groups!U:U)=2,AR306,AT306))</f>
        <v>8879.300894805825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ref="AY306:AY320" si="672">IFERROR(ROUND(SQRT(U306-1),1),0)</f>
        <v>1.2</v>
      </c>
      <c r="AZ306" s="8">
        <f t="shared" ref="AZ306:AZ320" si="673">IFERROR(ROUND(SQRT(W306),1),0)</f>
        <v>0</v>
      </c>
      <c r="BA306" s="8">
        <f t="shared" ref="BA306:BA320" si="674">ROUND(
  EXP(0.3582*LN(C306)-0.2221) *
  (0.75 + 0.25*(C306^4/(C306^4+10^4))),
1)</f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10.204988786651578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ref="BD306:BD320" si="675">(0.0392*C306^IF(OR(Y306="Herbivore",Y306="Dendrovore",Y306="OmnivoreRough"),0.889,0.966))*C306^-0.135</f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709.44734582499711</v>
      </c>
      <c r="BK306" s="8">
        <f t="shared" ref="BK306:BK320" si="676">ROUNDDOWN(SQRT((2*BG306)/BD306),0)</f>
        <v>11</v>
      </c>
      <c r="BL306" s="8">
        <f t="shared" ref="BL306:BL320" si="677">ROUNDDOWN(SQRT((2*BH306)/BE306),0)</f>
        <v>11</v>
      </c>
      <c r="BM306" s="8" t="str">
        <f t="shared" ref="BM306:BM320" si="678">IF(W306="No","No",ROUNDDOWN(SQRT((2*BI306)/BC306),0))</f>
        <v>No</v>
      </c>
      <c r="BN306" s="8">
        <f t="shared" ref="BN306:BN320" si="679">IF(V306="No","No",ROUNDDOWN(SQRT((2*BJ306)/BB306),0))</f>
        <v>11</v>
      </c>
      <c r="BO306" s="8">
        <f t="shared" ref="BO306:BO320" si="680">ROUNDDOWN(SQRT((2*BH306)/BF306),0)</f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ref="BS306:BS320" si="681">BG306/(AO306*5%)</f>
        <v>0.11673713021632748</v>
      </c>
      <c r="BT306" s="8">
        <f t="shared" ref="BT306:BT320" si="682">IF(BP306="No","No",BH306/BP306)</f>
        <v>1691.7612206952792</v>
      </c>
      <c r="BU306" s="8" t="str">
        <f t="shared" ref="BU306:BU320" si="683">IF(W306="No","No",BI306/BQ306)</f>
        <v>No</v>
      </c>
      <c r="BV306" s="8">
        <f t="shared" ref="BV306:BV320" si="684">IF(BJ306="No","No",BJ306/BR306)</f>
        <v>7375.0767982124744</v>
      </c>
      <c r="BW306" s="4">
        <v>0</v>
      </c>
      <c r="BX306" s="4">
        <v>1</v>
      </c>
    </row>
    <row r="307" spans="1:76" s="16" customFormat="1" x14ac:dyDescent="0.25">
      <c r="A307" s="26" t="s">
        <v>1499</v>
      </c>
      <c r="B307" s="6" t="s">
        <v>1663</v>
      </c>
      <c r="C307" s="7">
        <v>1500</v>
      </c>
      <c r="D307" s="7" t="s">
        <v>528</v>
      </c>
      <c r="E307" s="7" t="str">
        <f>Groups!$A$119</f>
        <v>Crocodile (LOCKJAW)</v>
      </c>
      <c r="F307" s="7" t="str">
        <f>"Lay eggs"</f>
        <v>Lay eggs</v>
      </c>
      <c r="G307" s="7">
        <v>15</v>
      </c>
      <c r="H307" s="7">
        <v>100</v>
      </c>
      <c r="I307" s="4">
        <v>1</v>
      </c>
      <c r="J307" s="7" t="str">
        <f>"Lay eggs"</f>
        <v>Lay eggs</v>
      </c>
      <c r="K307" s="7" t="s">
        <v>869</v>
      </c>
      <c r="L307" s="7">
        <v>8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 t="s">
        <v>45</v>
      </c>
      <c r="V307" s="7">
        <v>8</v>
      </c>
      <c r="W307" s="7" t="s">
        <v>45</v>
      </c>
      <c r="X307" s="7" t="s">
        <v>933</v>
      </c>
      <c r="Y307" s="4" t="s">
        <v>56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45</v>
      </c>
      <c r="AG307" s="28" t="s">
        <v>386</v>
      </c>
      <c r="AH307" s="4" t="str">
        <f>Animals!$C$32</f>
        <v>&lt;li&gt;Iguana&lt;/li&gt;</v>
      </c>
      <c r="AI307" s="4">
        <v>0</v>
      </c>
      <c r="AJ307" s="4">
        <v>1</v>
      </c>
      <c r="AK307" s="4">
        <v>0</v>
      </c>
      <c r="AL307" s="4">
        <v>0</v>
      </c>
      <c r="AM307" s="4">
        <v>1</v>
      </c>
      <c r="AN307" s="44">
        <v>15</v>
      </c>
      <c r="AO307" s="8">
        <f t="shared" si="670"/>
        <v>128760.39407088321</v>
      </c>
      <c r="AP307" s="8">
        <f>IFERROR(C307*_xlfn.XLOOKUP(E307,Groups!A:A,Groups!K:K),0.106*C307^0.94)</f>
        <v>300</v>
      </c>
      <c r="AQ307" s="8">
        <f>AP307*10000/(_xlfn.XLOOKUP(E307,Groups!A:A,Groups!J:J)*AO307)</f>
        <v>12.526392431810519</v>
      </c>
      <c r="AR307" s="8">
        <f t="shared" si="671"/>
        <v>26199.019384472653</v>
      </c>
      <c r="AS307" s="8">
        <f>IF(_xlfn.XLOOKUP(E307,Groups!A:A,Groups!M:M)=1,EXP(0.7444*LN('Base stats'!C307)+6.5696),EXP(0.7927*LN('Base stats'!C307)+4.28))</f>
        <v>23794.025550249138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IF(_xlfn.XLOOKUP(E307,Groups!A:A,Groups!N:N)="Theropod",EXP(0.6966*LN(C307)+4.158)*S307,
"No"))))))))))))))))</f>
        <v>40909.469881110606</v>
      </c>
      <c r="AU307" s="8">
        <f>IF(_xlfn.XLOOKUP(E307,Groups!A:A,Groups!U:U)=3,AS307,IF(_xlfn.XLOOKUP(E307,Groups!A:A,Groups!U:U)=2,AR307,AT307))</f>
        <v>40909.469881110606</v>
      </c>
      <c r="AV307" s="46">
        <f>IFERROR(AVERAGE(_xlfn.XLOOKUP(B307,Animals!B:B,Animals!N:N),_xlfn.XLOOKUP(B307,Animals!B:B,Animals!O:O)),0)</f>
        <v>0.42500000000000004</v>
      </c>
      <c r="AW307" s="8">
        <f>MROUND(40*Animals!AO274*_xlfn.XLOOKUP(Animals!BB274,Leathers!$A$2:$A$99,Leathers!$B$2:$B$99,0)+(140*_xlfn.XLOOKUP(B307,Animals!B:B,Animals!AO:AO)*2),5)</f>
        <v>1300</v>
      </c>
      <c r="AX307" s="8">
        <f>IFERROR(ROUND(SQRT(V307-1)*IF(_xlfn.XLOOKUP(E307,Groups!A:A,Groups!BF:BF)=0,2,1)*IF(_xlfn.XLOOKUP('Base stats'!E307,Groups!A:A,Groups!O:O)=0,1,0.1),1),0)</f>
        <v>2.6</v>
      </c>
      <c r="AY307" s="8">
        <f t="shared" si="672"/>
        <v>0</v>
      </c>
      <c r="AZ307" s="8">
        <f t="shared" si="673"/>
        <v>0</v>
      </c>
      <c r="BA307" s="8">
        <f t="shared" si="674"/>
        <v>11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34.257944661692385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675"/>
        <v>17.08511487854344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21.311279786591054</v>
      </c>
      <c r="BF307" s="8">
        <f>(0.048*C307^1.01)/IF(_xlfn.XLOOKUP(E307,Groups!A:A,Groups!M:M)=1,0.25,0.8)*C307^-0.25</f>
        <v>15.558961539689577</v>
      </c>
      <c r="BG307" s="8">
        <f>EXP(1.076*LN(AR307)-4.5397)*IF(_xlfn.XLOOKUP(E307,Groups!A:A,Groups!BC:BC)=1,1.25,IF(_xlfn.XLOOKUP(E307,Groups!A:A,Groups!BD:BD)=1,3.5,2.5))</f>
        <v>1515.1235483484809</v>
      </c>
      <c r="BH307" s="8">
        <f>EXP(1.076*LN(AS307)-4.5397)*IF(_xlfn.XLOOKUP(E307,Groups!A:A,Groups!M:M)=1,0.8,IF(_xlfn.XLOOKUP(E307,Groups!A:A,Groups!BC:BC)=1,1.3,3))</f>
        <v>1639.2080607108026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3671.0227233906712</v>
      </c>
      <c r="BK307" s="8">
        <f t="shared" si="676"/>
        <v>13</v>
      </c>
      <c r="BL307" s="8">
        <f t="shared" si="677"/>
        <v>12</v>
      </c>
      <c r="BM307" s="8" t="str">
        <f t="shared" si="678"/>
        <v>No</v>
      </c>
      <c r="BN307" s="8">
        <f t="shared" si="679"/>
        <v>14</v>
      </c>
      <c r="BO307" s="8">
        <f t="shared" si="680"/>
        <v>14</v>
      </c>
      <c r="BP307" s="8" t="str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No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0.98864999999999992</v>
      </c>
      <c r="BS307" s="8">
        <f t="shared" si="681"/>
        <v>0.23533999865119987</v>
      </c>
      <c r="BT307" s="8" t="str">
        <f t="shared" si="682"/>
        <v>No</v>
      </c>
      <c r="BU307" s="8" t="str">
        <f t="shared" si="683"/>
        <v>No</v>
      </c>
      <c r="BV307" s="8">
        <f t="shared" si="684"/>
        <v>3713.1671707790133</v>
      </c>
      <c r="BW307" s="4">
        <v>0</v>
      </c>
      <c r="BX307" s="4">
        <v>1</v>
      </c>
    </row>
    <row r="308" spans="1:76" s="16" customFormat="1" x14ac:dyDescent="0.25">
      <c r="A308" s="26" t="s">
        <v>1373</v>
      </c>
      <c r="B308" s="6" t="s">
        <v>1873</v>
      </c>
      <c r="C308" s="7">
        <v>8000</v>
      </c>
      <c r="D308" s="7" t="s">
        <v>528</v>
      </c>
      <c r="E308" s="7" t="str">
        <f>Groups!$A$100</f>
        <v>Drake (FOUR EYES)</v>
      </c>
      <c r="F308" s="7">
        <v>700</v>
      </c>
      <c r="G308" s="7">
        <v>15</v>
      </c>
      <c r="H308" s="7">
        <v>300</v>
      </c>
      <c r="I308" s="4">
        <v>1</v>
      </c>
      <c r="J308" s="7">
        <v>1</v>
      </c>
      <c r="K308" s="7" t="s">
        <v>528</v>
      </c>
      <c r="L308" s="7">
        <v>30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18</v>
      </c>
      <c r="V308" s="7">
        <v>8</v>
      </c>
      <c r="W308" s="7" t="str">
        <f>IF(_xlfn.XLOOKUP(E308,Groups!A:A,Groups!V:V)&lt;&gt;"No","Need a formula","No")</f>
        <v>No</v>
      </c>
      <c r="X308" s="7" t="s">
        <v>933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1760</v>
      </c>
      <c r="AH308" s="4" t="str">
        <f>Animals!$C$32</f>
        <v>&lt;li&gt;Iguana&lt;/li&gt;</v>
      </c>
      <c r="AI308" s="4">
        <v>1</v>
      </c>
      <c r="AJ308" s="4">
        <v>0</v>
      </c>
      <c r="AK308" s="4">
        <v>0</v>
      </c>
      <c r="AL308" s="4">
        <v>1</v>
      </c>
      <c r="AM308" s="4">
        <v>1</v>
      </c>
      <c r="AN308" s="44" t="s">
        <v>40</v>
      </c>
      <c r="AO308" s="8">
        <f t="shared" si="670"/>
        <v>382235.89674329048</v>
      </c>
      <c r="AP308" s="8">
        <f>IFERROR(C308*_xlfn.XLOOKUP(E308,Groups!A:A,Groups!K:K),0.106*C308^0.94)</f>
        <v>494.55028108565017</v>
      </c>
      <c r="AQ308" s="8">
        <f>AP308*10000/(_xlfn.XLOOKUP(E308,Groups!A:A,Groups!J:J)*AO308)</f>
        <v>9.9525789279362211</v>
      </c>
      <c r="AR308" s="8">
        <f t="shared" si="671"/>
        <v>107740.9651584902</v>
      </c>
      <c r="AS308" s="8">
        <f>IF(_xlfn.XLOOKUP(E308,Groups!A:A,Groups!M:M)=1,EXP(0.7444*LN('Base stats'!C308)+6.5696),EXP(0.7927*LN('Base stats'!C308)+4.28))</f>
        <v>89693.26124389864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IF(_xlfn.XLOOKUP(E308,Groups!A:A,Groups!N:N)="Theropod",EXP(0.6966*LN(C308)+4.158)*S308,
"No"))))))))))))))))</f>
        <v>159514.84923347735</v>
      </c>
      <c r="AU308" s="8">
        <f>IF(_xlfn.XLOOKUP(E308,Groups!A:A,Groups!U:U)=3,AS308,IF(_xlfn.XLOOKUP(E308,Groups!A:A,Groups!U:U)=2,AR308,AT308))</f>
        <v>159514.84923347735</v>
      </c>
      <c r="AV308" s="46">
        <f>IFERROR(AVERAGE(_xlfn.XLOOKUP(B308,Animals!B:B,Animals!N:N),_xlfn.XLOOKUP(B308,Animals!B:B,Animals!O:O)),0)</f>
        <v>1</v>
      </c>
      <c r="AW308" s="8">
        <f>MROUND(40*Animals!AO213*_xlfn.XLOOKUP(Animals!BB213,Leathers!$A$2:$A$99,Leathers!$B$2:$B$99,0)+(140*_xlfn.XLOOKUP(B308,Animals!B:B,Animals!AO:AO)*2),5)</f>
        <v>1680</v>
      </c>
      <c r="AX308" s="8">
        <f>IFERROR(ROUND(SQRT(V308-1)*IF(_xlfn.XLOOKUP(E308,Groups!A:A,Groups!BF:BF)=0,2,1)*IF(_xlfn.XLOOKUP('Base stats'!E308,Groups!A:A,Groups!O:O)=0,1,0.1),1),0)</f>
        <v>5.3</v>
      </c>
      <c r="AY308" s="8">
        <f t="shared" si="672"/>
        <v>4.0999999999999996</v>
      </c>
      <c r="AZ308" s="8">
        <f t="shared" si="673"/>
        <v>0</v>
      </c>
      <c r="BA308" s="8">
        <f t="shared" si="674"/>
        <v>20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106.86444383425798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675"/>
        <v>68.667912680157826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46.261490072940845</v>
      </c>
      <c r="BF308" s="8">
        <f>(0.048*C308^1.01)/IF(_xlfn.XLOOKUP(E308,Groups!A:A,Groups!M:M)=1,0.25,0.8)*C308^-0.25</f>
        <v>55.526415748000481</v>
      </c>
      <c r="BG308" s="8">
        <f>EXP(1.076*LN(AR308)-4.5397)*IF(_xlfn.XLOOKUP(E308,Groups!A:A,Groups!BC:BC)=1,1.25,IF(_xlfn.XLOOKUP(E308,Groups!A:A,Groups!BD:BD)=1,3.5,2.5))</f>
        <v>6937.6942524977676</v>
      </c>
      <c r="BH308" s="8">
        <f>EXP(1.076*LN(AS308)-4.5397)*IF(_xlfn.XLOOKUP(E308,Groups!A:A,Groups!M:M)=1,0.8,IF(_xlfn.XLOOKUP(E308,Groups!A:A,Groups!BC:BC)=1,1.3,3))</f>
        <v>6834.773964470698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15873.716180288138</v>
      </c>
      <c r="BK308" s="8">
        <f t="shared" si="676"/>
        <v>14</v>
      </c>
      <c r="BL308" s="8">
        <f t="shared" si="677"/>
        <v>17</v>
      </c>
      <c r="BM308" s="8" t="str">
        <f t="shared" si="678"/>
        <v>No</v>
      </c>
      <c r="BN308" s="8">
        <f t="shared" si="679"/>
        <v>17</v>
      </c>
      <c r="BO308" s="8">
        <f t="shared" si="680"/>
        <v>15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5.7442550919421846E-2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5.7442550919421846E-2</v>
      </c>
      <c r="BS308" s="8">
        <f t="shared" si="681"/>
        <v>0.36300589827423357</v>
      </c>
      <c r="BT308" s="8">
        <f t="shared" si="682"/>
        <v>118984.51331066844</v>
      </c>
      <c r="BU308" s="8" t="str">
        <f t="shared" si="683"/>
        <v>No</v>
      </c>
      <c r="BV308" s="8">
        <f t="shared" si="684"/>
        <v>276340.72523267922</v>
      </c>
      <c r="BW308" s="4">
        <v>0</v>
      </c>
      <c r="BX308" s="4">
        <v>1</v>
      </c>
    </row>
    <row r="309" spans="1:76" s="16" customFormat="1" x14ac:dyDescent="0.25">
      <c r="A309" s="26" t="s">
        <v>1537</v>
      </c>
      <c r="B309" s="6" t="s">
        <v>1679</v>
      </c>
      <c r="C309" s="7">
        <v>10000</v>
      </c>
      <c r="D309" s="7" t="s">
        <v>528</v>
      </c>
      <c r="E309" s="7" t="str">
        <f>Groups!$A$96</f>
        <v>GiantHexapodReptile</v>
      </c>
      <c r="F309" s="7">
        <v>700</v>
      </c>
      <c r="G309" s="7">
        <v>15</v>
      </c>
      <c r="H309" s="7">
        <v>700</v>
      </c>
      <c r="I309" s="4">
        <v>1</v>
      </c>
      <c r="J309" s="7">
        <v>1</v>
      </c>
      <c r="K309" s="7" t="s">
        <v>528</v>
      </c>
      <c r="L309" s="7">
        <v>16</v>
      </c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>
        <v>6</v>
      </c>
      <c r="W309" s="7" t="str">
        <f>IF(_xlfn.XLOOKUP(E309,Groups!A:A,Groups!V:V)&lt;&gt;"No","Need a formula","No")</f>
        <v>No</v>
      </c>
      <c r="X309" s="7" t="s">
        <v>933</v>
      </c>
      <c r="Y309" s="4" t="s">
        <v>1007</v>
      </c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 t="s">
        <v>45</v>
      </c>
      <c r="AG309" s="28" t="s">
        <v>386</v>
      </c>
      <c r="AH309" s="4" t="s">
        <v>45</v>
      </c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670"/>
        <v>441898.95931438234</v>
      </c>
      <c r="AP309" s="8">
        <f>IFERROR(C309*_xlfn.XLOOKUP(E309,Groups!A:A,Groups!K:K),0.106*C309^0.94)</f>
        <v>609.96633357738608</v>
      </c>
      <c r="AQ309" s="8">
        <f>AP309*10000/(_xlfn.XLOOKUP(E309,Groups!A:A,Groups!J:J)*AO309)</f>
        <v>10.617922085867505</v>
      </c>
      <c r="AR309" s="8">
        <f t="shared" si="671"/>
        <v>130089.05224741565</v>
      </c>
      <c r="AS309" s="8">
        <f>IF(_xlfn.XLOOKUP(E309,Groups!A:A,Groups!M:M)=1,EXP(0.7444*LN('Base stats'!C309)+6.5696),EXP(0.7927*LN('Base stats'!C309)+4.28))</f>
        <v>107048.44980386966</v>
      </c>
      <c r="AT309" s="8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IF(_xlfn.XLOOKUP(E309,Groups!A:A,Groups!N:N)="Theropod",EXP(0.6966*LN(C309)+4.158)*S309,
"No"))))))))))))))))</f>
        <v>27585.746127373859</v>
      </c>
      <c r="AU309" s="8">
        <f>IF(_xlfn.XLOOKUP(E309,Groups!A:A,Groups!U:U)=3,AS309,IF(_xlfn.XLOOKUP(E309,Groups!A:A,Groups!U:U)=2,AR309,AT309))</f>
        <v>27585.746127373859</v>
      </c>
      <c r="AV309" s="46">
        <f>IFERROR(AVERAGE(_xlfn.XLOOKUP(B309,Animals!B:B,Animals!N:N),_xlfn.XLOOKUP(B309,Animals!B:B,Animals!O:O)),0)</f>
        <v>1.05</v>
      </c>
      <c r="AW309" s="8">
        <f>MROUND(40*Animals!AO293*_xlfn.XLOOKUP(Animals!BB293,Leathers!$A$2:$A$99,Leathers!$B$2:$B$99,0)+(140*_xlfn.XLOOKUP(B309,Animals!B:B,Animals!AO:AO)*2),5)</f>
        <v>1820</v>
      </c>
      <c r="AX309" s="8">
        <f>IFERROR(ROUND(SQRT(V309-1)*IF(_xlfn.XLOOKUP(E309,Groups!A:A,Groups!BF:BF)=0,2,1)*IF(_xlfn.XLOOKUP('Base stats'!E309,Groups!A:A,Groups!O:O)=0,1,0.1),1),0)</f>
        <v>4.5</v>
      </c>
      <c r="AY309" s="8">
        <f t="shared" si="672"/>
        <v>0</v>
      </c>
      <c r="AZ309" s="8">
        <f t="shared" si="673"/>
        <v>0</v>
      </c>
      <c r="BA309" s="8">
        <f t="shared" si="674"/>
        <v>21.7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22.084647223653981</v>
      </c>
      <c r="BC309" s="8" t="str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No</v>
      </c>
      <c r="BD309" s="8">
        <f t="shared" si="675"/>
        <v>40.671113900066111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55.05660496323825</v>
      </c>
      <c r="BF309" s="8">
        <f>(0.048*C309^1.01)/IF(_xlfn.XLOOKUP(E309,Groups!A:A,Groups!M:M)=1,0.25,0.8)*C309^-0.25</f>
        <v>65.788691768591107</v>
      </c>
      <c r="BG309" s="8">
        <f>EXP(1.076*LN(AR309)-4.5397)*IF(_xlfn.XLOOKUP(E309,Groups!A:A,Groups!BC:BC)=1,1.25,IF(_xlfn.XLOOKUP(E309,Groups!A:A,Groups!BD:BD)=1,3.5,2.5))</f>
        <v>4248.8010933953938</v>
      </c>
      <c r="BH309" s="8">
        <f>EXP(1.076*LN(AS309)-4.5397)*IF(_xlfn.XLOOKUP(E309,Groups!A:A,Groups!M:M)=1,0.8,IF(_xlfn.XLOOKUP(E309,Groups!A:A,Groups!BC:BC)=1,1.3,3))</f>
        <v>3582.6566138740168</v>
      </c>
      <c r="BI309" s="8" t="str">
        <f>IF(W309="No","No",IF(_xlfn.XLOOKUP(E309,Groups!A:A,Groups!U:U)=1,'Base stats'!BJ309,IF(OR(_xlfn.XLOOKUP(E309,Groups!A:A,Groups!BD:BD)=1,_xlfn.XLOOKUP(E309,Groups!A:A,Groups!U:U)=2),BG309,BH309))*1.2)</f>
        <v>No</v>
      </c>
      <c r="BJ309" s="8">
        <f>IFERROR(EXP(1.076*LN(AT309)-4.5397)*IF(_xlfn.XLOOKUP(E309,Groups!A:A,Groups!N:N)="Insect",1,IF(OR(_xlfn.XLOOKUP(E309,Groups!A:A,Groups!N:N)="Pig",_xlfn.XLOOKUP(E309,Groups!A:A,Groups!N:N)="StrongBitingHerbivore"),3.5,3.75)),"No")</f>
        <v>2402.3782270305724</v>
      </c>
      <c r="BK309" s="8">
        <f t="shared" si="676"/>
        <v>14</v>
      </c>
      <c r="BL309" s="8">
        <f t="shared" si="677"/>
        <v>11</v>
      </c>
      <c r="BM309" s="8" t="str">
        <f t="shared" si="678"/>
        <v>No</v>
      </c>
      <c r="BN309" s="8">
        <f t="shared" si="679"/>
        <v>14</v>
      </c>
      <c r="BO309" s="8">
        <f t="shared" si="680"/>
        <v>10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 t="str">
        <f>IF(W309="No","No",IF(_xlfn.XLOOKUP(E309,Groups!A:A,Groups!BD:BD)=1,(AO309*5%),EXP(0.7354*LN(C309)^0.4078)*2/IF(_xlfn.XLOOKUP(E309,Groups!A:A,Groups!BL:BL)=1,1000,100)))</f>
        <v>No</v>
      </c>
      <c r="BR309" s="8">
        <f>IF(BJ309="No","No",IF(_xlfn.XLOOKUP(E309,Groups!A:A,Groups!BF:BF)=1,(0.0315*C309+2.1825)*2,(0.7354*C309^0.4078)*2)/IF(_xlfn.XLOOKUP(E309,Groups!A:A,Groups!BM:BM)=1,1000,100))</f>
        <v>0.62914916014378153</v>
      </c>
      <c r="BS309" s="8">
        <f t="shared" si="681"/>
        <v>0.19229740210239546</v>
      </c>
      <c r="BT309" s="8" t="str">
        <f t="shared" si="682"/>
        <v>No</v>
      </c>
      <c r="BU309" s="8" t="str">
        <f t="shared" si="683"/>
        <v>No</v>
      </c>
      <c r="BV309" s="8">
        <f t="shared" si="684"/>
        <v>3818.4557482069099</v>
      </c>
      <c r="BW309" s="4">
        <v>0</v>
      </c>
      <c r="BX309" s="4">
        <v>1</v>
      </c>
    </row>
    <row r="310" spans="1:76" s="16" customFormat="1" x14ac:dyDescent="0.25">
      <c r="A310" s="26" t="s">
        <v>1519</v>
      </c>
      <c r="B310" s="6" t="s">
        <v>1673</v>
      </c>
      <c r="C310" s="7">
        <v>10000</v>
      </c>
      <c r="D310" s="7" t="s">
        <v>528</v>
      </c>
      <c r="E310" s="7" t="str">
        <f>Groups!$A$96</f>
        <v>GiantHexapodReptile</v>
      </c>
      <c r="F310" s="7" t="s">
        <v>1707</v>
      </c>
      <c r="G310" s="7">
        <v>15</v>
      </c>
      <c r="H310" s="7">
        <v>700</v>
      </c>
      <c r="I310" s="4">
        <v>1</v>
      </c>
      <c r="J310" s="7" t="s">
        <v>1707</v>
      </c>
      <c r="K310" s="7" t="s">
        <v>528</v>
      </c>
      <c r="L310" s="7">
        <v>16</v>
      </c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>
        <v>6</v>
      </c>
      <c r="W310" s="7" t="str">
        <f>IF(_xlfn.XLOOKUP(E310,Groups!A:A,Groups!V:V)&lt;&gt;"No","Need a formula","No")</f>
        <v>No</v>
      </c>
      <c r="X310" s="7" t="s">
        <v>933</v>
      </c>
      <c r="Y310" s="4" t="s">
        <v>1007</v>
      </c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 t="s">
        <v>45</v>
      </c>
      <c r="AG310" s="4" t="s">
        <v>45</v>
      </c>
      <c r="AH310" s="4" t="s">
        <v>45</v>
      </c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670"/>
        <v>441898.95931438234</v>
      </c>
      <c r="AP310" s="8">
        <f>IFERROR(C310*_xlfn.XLOOKUP(E310,Groups!A:A,Groups!K:K),0.106*C310^0.94)</f>
        <v>609.96633357738608</v>
      </c>
      <c r="AQ310" s="8">
        <f>AP310*10000/(_xlfn.XLOOKUP(E310,Groups!A:A,Groups!J:J)*AO310)</f>
        <v>10.617922085867505</v>
      </c>
      <c r="AR310" s="8">
        <f t="shared" si="671"/>
        <v>130089.05224741565</v>
      </c>
      <c r="AS310" s="8">
        <f>IF(_xlfn.XLOOKUP(E310,Groups!A:A,Groups!M:M)=1,EXP(0.7444*LN('Base stats'!C310)+6.5696),EXP(0.7927*LN('Base stats'!C310)+4.28))</f>
        <v>107048.44980386966</v>
      </c>
      <c r="AT310" s="8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IF(_xlfn.XLOOKUP(E310,Groups!A:A,Groups!N:N)="Theropod",EXP(0.6966*LN(C310)+4.158)*S310,
"No"))))))))))))))))</f>
        <v>27585.746127373859</v>
      </c>
      <c r="AU310" s="8">
        <f>IF(_xlfn.XLOOKUP(E310,Groups!A:A,Groups!U:U)=3,AS310,IF(_xlfn.XLOOKUP(E310,Groups!A:A,Groups!U:U)=2,AR310,AT310))</f>
        <v>27585.746127373859</v>
      </c>
      <c r="AV310" s="46">
        <f>IFERROR(AVERAGE(_xlfn.XLOOKUP(B310,Animals!B:B,Animals!N:N),_xlfn.XLOOKUP(B310,Animals!B:B,Animals!O:O)),0)</f>
        <v>1.05</v>
      </c>
      <c r="AW310" s="8">
        <f>MROUND(40*Animals!AO285*_xlfn.XLOOKUP(Animals!BB285,Leathers!$A$2:$A$99,Leathers!$B$2:$B$99,0)+(140*_xlfn.XLOOKUP(B310,Animals!B:B,Animals!AO:AO)*2),5)</f>
        <v>1925</v>
      </c>
      <c r="AX310" s="8">
        <f>IFERROR(ROUND(SQRT(V310-1)*IF(_xlfn.XLOOKUP(E310,Groups!A:A,Groups!BF:BF)=0,2,1)*IF(_xlfn.XLOOKUP('Base stats'!E310,Groups!A:A,Groups!O:O)=0,1,0.1),1),0)</f>
        <v>4.5</v>
      </c>
      <c r="AY310" s="8">
        <f t="shared" si="672"/>
        <v>0</v>
      </c>
      <c r="AZ310" s="8">
        <f t="shared" si="673"/>
        <v>0</v>
      </c>
      <c r="BA310" s="8">
        <f t="shared" si="674"/>
        <v>21.7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22.084647223653981</v>
      </c>
      <c r="BC310" s="8" t="str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No</v>
      </c>
      <c r="BD310" s="8">
        <f t="shared" si="675"/>
        <v>40.671113900066111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55.05660496323825</v>
      </c>
      <c r="BF310" s="8">
        <f>(0.048*C310^1.01)/IF(_xlfn.XLOOKUP(E310,Groups!A:A,Groups!M:M)=1,0.25,0.8)*C310^-0.25</f>
        <v>65.788691768591107</v>
      </c>
      <c r="BG310" s="8">
        <f>EXP(1.076*LN(AR310)-4.5397)*IF(_xlfn.XLOOKUP(E310,Groups!A:A,Groups!BC:BC)=1,1.25,IF(_xlfn.XLOOKUP(E310,Groups!A:A,Groups!BD:BD)=1,3.5,2.5))</f>
        <v>4248.8010933953938</v>
      </c>
      <c r="BH310" s="8">
        <f>EXP(1.076*LN(AS310)-4.5397)*IF(_xlfn.XLOOKUP(E310,Groups!A:A,Groups!M:M)=1,0.8,IF(_xlfn.XLOOKUP(E310,Groups!A:A,Groups!BC:BC)=1,1.3,3))</f>
        <v>3582.6566138740168</v>
      </c>
      <c r="BI310" s="8" t="str">
        <f>IF(W310="No","No",IF(_xlfn.XLOOKUP(E310,Groups!A:A,Groups!U:U)=1,'Base stats'!BJ310,IF(OR(_xlfn.XLOOKUP(E310,Groups!A:A,Groups!BD:BD)=1,_xlfn.XLOOKUP(E310,Groups!A:A,Groups!U:U)=2),BG310,BH310))*1.2)</f>
        <v>No</v>
      </c>
      <c r="BJ310" s="8">
        <f>IFERROR(EXP(1.076*LN(AT310)-4.5397)*IF(_xlfn.XLOOKUP(E310,Groups!A:A,Groups!N:N)="Insect",1,IF(OR(_xlfn.XLOOKUP(E310,Groups!A:A,Groups!N:N)="Pig",_xlfn.XLOOKUP(E310,Groups!A:A,Groups!N:N)="StrongBitingHerbivore"),3.5,3.75)),"No")</f>
        <v>2402.3782270305724</v>
      </c>
      <c r="BK310" s="8">
        <f t="shared" si="676"/>
        <v>14</v>
      </c>
      <c r="BL310" s="8">
        <f t="shared" si="677"/>
        <v>11</v>
      </c>
      <c r="BM310" s="8" t="str">
        <f t="shared" si="678"/>
        <v>No</v>
      </c>
      <c r="BN310" s="8">
        <f t="shared" si="679"/>
        <v>14</v>
      </c>
      <c r="BO310" s="8">
        <f t="shared" si="680"/>
        <v>10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 t="str">
        <f>IF(W310="No","No",IF(_xlfn.XLOOKUP(E310,Groups!A:A,Groups!BD:BD)=1,(AO310*5%),EXP(0.7354*LN(C310)^0.4078)*2/IF(_xlfn.XLOOKUP(E310,Groups!A:A,Groups!BL:BL)=1,1000,100)))</f>
        <v>No</v>
      </c>
      <c r="BR310" s="8">
        <f>IF(BJ310="No","No",IF(_xlfn.XLOOKUP(E310,Groups!A:A,Groups!BF:BF)=1,(0.0315*C310+2.1825)*2,(0.7354*C310^0.4078)*2)/IF(_xlfn.XLOOKUP(E310,Groups!A:A,Groups!BM:BM)=1,1000,100))</f>
        <v>0.62914916014378153</v>
      </c>
      <c r="BS310" s="8">
        <f t="shared" si="681"/>
        <v>0.19229740210239546</v>
      </c>
      <c r="BT310" s="8" t="str">
        <f t="shared" si="682"/>
        <v>No</v>
      </c>
      <c r="BU310" s="8" t="str">
        <f t="shared" si="683"/>
        <v>No</v>
      </c>
      <c r="BV310" s="8">
        <f t="shared" si="684"/>
        <v>3818.4557482069099</v>
      </c>
      <c r="BW310" s="4">
        <v>0</v>
      </c>
      <c r="BX310" s="4">
        <v>1</v>
      </c>
    </row>
    <row r="311" spans="1:76" s="16" customFormat="1" x14ac:dyDescent="0.25">
      <c r="A311" s="26" t="s">
        <v>1358</v>
      </c>
      <c r="B311" s="6" t="s">
        <v>1616</v>
      </c>
      <c r="C311" s="7">
        <v>10000</v>
      </c>
      <c r="D311" s="7" t="s">
        <v>528</v>
      </c>
      <c r="E311" s="7" t="str">
        <f>Groups!$A$96</f>
        <v>GiantHexapodReptile</v>
      </c>
      <c r="F311" s="7">
        <v>700</v>
      </c>
      <c r="G311" s="7">
        <v>15</v>
      </c>
      <c r="H311" s="7">
        <v>700</v>
      </c>
      <c r="I311" s="4">
        <v>1</v>
      </c>
      <c r="J311" s="7">
        <v>1</v>
      </c>
      <c r="K311" s="7" t="s">
        <v>528</v>
      </c>
      <c r="L311" s="7">
        <v>16</v>
      </c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>
        <v>6</v>
      </c>
      <c r="W311" s="7" t="str">
        <f>IF(_xlfn.XLOOKUP(E311,Groups!A:A,Groups!V:V)&lt;&gt;"No","Need a formula","No")</f>
        <v>No</v>
      </c>
      <c r="X311" s="7" t="s">
        <v>933</v>
      </c>
      <c r="Y311" s="4" t="s">
        <v>1007</v>
      </c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 t="s">
        <v>45</v>
      </c>
      <c r="AG311" s="28" t="s">
        <v>386</v>
      </c>
      <c r="AH311" s="4" t="str">
        <f>Animals!C309</f>
        <v>&lt;li&gt;AA_OvergrownColossus&lt;/li&gt;</v>
      </c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670"/>
        <v>441898.95931438234</v>
      </c>
      <c r="AP311" s="8">
        <f>IFERROR(C311*_xlfn.XLOOKUP(E311,Groups!A:A,Groups!K:K),0.106*C311^0.94)</f>
        <v>609.96633357738608</v>
      </c>
      <c r="AQ311" s="8">
        <f>AP311*10000/(_xlfn.XLOOKUP(E311,Groups!A:A,Groups!J:J)*AO311)</f>
        <v>10.617922085867505</v>
      </c>
      <c r="AR311" s="8">
        <f t="shared" si="671"/>
        <v>130089.05224741565</v>
      </c>
      <c r="AS311" s="8">
        <f>IF(_xlfn.XLOOKUP(E311,Groups!A:A,Groups!M:M)=1,EXP(0.7444*LN('Base stats'!C311)+6.5696),EXP(0.7927*LN('Base stats'!C311)+4.28))</f>
        <v>107048.44980386966</v>
      </c>
      <c r="AT311" s="8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IF(_xlfn.XLOOKUP(E311,Groups!A:A,Groups!N:N)="Theropod",EXP(0.6966*LN(C311)+4.158)*S311,
"No"))))))))))))))))</f>
        <v>27585.746127373859</v>
      </c>
      <c r="AU311" s="8">
        <f>IF(_xlfn.XLOOKUP(E311,Groups!A:A,Groups!U:U)=3,AS311,IF(_xlfn.XLOOKUP(E311,Groups!A:A,Groups!U:U)=2,AR311,AT311))</f>
        <v>27585.746127373859</v>
      </c>
      <c r="AV311" s="46">
        <f>IFERROR(AVERAGE(_xlfn.XLOOKUP(B311,Animals!B:B,Animals!N:N),_xlfn.XLOOKUP(B311,Animals!B:B,Animals!O:O)),0)</f>
        <v>1.05</v>
      </c>
      <c r="AW311" s="8">
        <f>MROUND(40*Animals!AO204*_xlfn.XLOOKUP(Animals!BB204,Leathers!$A$2:$A$99,Leathers!$B$2:$B$99,0)+(140*_xlfn.XLOOKUP(B311,Animals!B:B,Animals!AO:AO)*2),5)</f>
        <v>1850</v>
      </c>
      <c r="AX311" s="8">
        <f>IFERROR(ROUND(SQRT(V311-1)*IF(_xlfn.XLOOKUP(E311,Groups!A:A,Groups!BF:BF)=0,2,1)*IF(_xlfn.XLOOKUP('Base stats'!E311,Groups!A:A,Groups!O:O)=0,1,0.1),1),0)</f>
        <v>4.5</v>
      </c>
      <c r="AY311" s="8">
        <f t="shared" si="672"/>
        <v>0</v>
      </c>
      <c r="AZ311" s="8">
        <f t="shared" si="673"/>
        <v>0</v>
      </c>
      <c r="BA311" s="8">
        <f t="shared" si="674"/>
        <v>21.7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22.084647223653981</v>
      </c>
      <c r="BC311" s="8" t="str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No</v>
      </c>
      <c r="BD311" s="8">
        <f t="shared" si="675"/>
        <v>40.671113900066111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55.05660496323825</v>
      </c>
      <c r="BF311" s="8">
        <f>(0.048*C311^1.01)/IF(_xlfn.XLOOKUP(E311,Groups!A:A,Groups!M:M)=1,0.25,0.8)*C311^-0.25</f>
        <v>65.788691768591107</v>
      </c>
      <c r="BG311" s="8">
        <f>EXP(1.076*LN(AR311)-4.5397)*IF(_xlfn.XLOOKUP(E311,Groups!A:A,Groups!BC:BC)=1,1.25,IF(_xlfn.XLOOKUP(E311,Groups!A:A,Groups!BD:BD)=1,3.5,2.5))</f>
        <v>4248.8010933953938</v>
      </c>
      <c r="BH311" s="8">
        <f>EXP(1.076*LN(AS311)-4.5397)*IF(_xlfn.XLOOKUP(E311,Groups!A:A,Groups!M:M)=1,0.8,IF(_xlfn.XLOOKUP(E311,Groups!A:A,Groups!BC:BC)=1,1.3,3))</f>
        <v>3582.6566138740168</v>
      </c>
      <c r="BI311" s="8" t="str">
        <f>IF(W311="No","No",IF(_xlfn.XLOOKUP(E311,Groups!A:A,Groups!U:U)=1,'Base stats'!BJ311,IF(OR(_xlfn.XLOOKUP(E311,Groups!A:A,Groups!BD:BD)=1,_xlfn.XLOOKUP(E311,Groups!A:A,Groups!U:U)=2),BG311,BH311))*1.2)</f>
        <v>No</v>
      </c>
      <c r="BJ311" s="8">
        <f>IFERROR(EXP(1.076*LN(AT311)-4.5397)*IF(_xlfn.XLOOKUP(E311,Groups!A:A,Groups!N:N)="Insect",1,IF(OR(_xlfn.XLOOKUP(E311,Groups!A:A,Groups!N:N)="Pig",_xlfn.XLOOKUP(E311,Groups!A:A,Groups!N:N)="StrongBitingHerbivore"),3.5,3.75)),"No")</f>
        <v>2402.3782270305724</v>
      </c>
      <c r="BK311" s="8">
        <f t="shared" si="676"/>
        <v>14</v>
      </c>
      <c r="BL311" s="8">
        <f t="shared" si="677"/>
        <v>11</v>
      </c>
      <c r="BM311" s="8" t="str">
        <f t="shared" si="678"/>
        <v>No</v>
      </c>
      <c r="BN311" s="8">
        <f t="shared" si="679"/>
        <v>14</v>
      </c>
      <c r="BO311" s="8">
        <f t="shared" si="680"/>
        <v>10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 t="str">
        <f>IF(W311="No","No",IF(_xlfn.XLOOKUP(E311,Groups!A:A,Groups!BD:BD)=1,(AO311*5%),EXP(0.7354*LN(C311)^0.4078)*2/IF(_xlfn.XLOOKUP(E311,Groups!A:A,Groups!BL:BL)=1,1000,100)))</f>
        <v>No</v>
      </c>
      <c r="BR311" s="8">
        <f>IF(BJ311="No","No",IF(_xlfn.XLOOKUP(E311,Groups!A:A,Groups!BF:BF)=1,(0.0315*C311+2.1825)*2,(0.7354*C311^0.4078)*2)/IF(_xlfn.XLOOKUP(E311,Groups!A:A,Groups!BM:BM)=1,1000,100))</f>
        <v>0.62914916014378153</v>
      </c>
      <c r="BS311" s="8">
        <f t="shared" si="681"/>
        <v>0.19229740210239546</v>
      </c>
      <c r="BT311" s="8" t="str">
        <f t="shared" si="682"/>
        <v>No</v>
      </c>
      <c r="BU311" s="8" t="str">
        <f t="shared" si="683"/>
        <v>No</v>
      </c>
      <c r="BV311" s="8">
        <f t="shared" si="684"/>
        <v>3818.4557482069099</v>
      </c>
      <c r="BW311" s="4">
        <v>0</v>
      </c>
      <c r="BX311" s="4">
        <v>1</v>
      </c>
    </row>
    <row r="312" spans="1:76" s="16" customFormat="1" x14ac:dyDescent="0.25">
      <c r="A312" s="26" t="s">
        <v>1517</v>
      </c>
      <c r="B312" s="6" t="s">
        <v>1672</v>
      </c>
      <c r="C312" s="7">
        <v>25</v>
      </c>
      <c r="D312" s="7" t="s">
        <v>528</v>
      </c>
      <c r="E312" s="7" t="str">
        <f>Groups!$A$106</f>
        <v>Doglike (FOUR EYES, SCAVENGER, PLAGUE)</v>
      </c>
      <c r="F312" s="7">
        <v>60</v>
      </c>
      <c r="G312" s="7">
        <v>1.5</v>
      </c>
      <c r="H312" s="7">
        <v>20</v>
      </c>
      <c r="I312" s="4">
        <v>0</v>
      </c>
      <c r="J312" s="7">
        <v>5</v>
      </c>
      <c r="K312" s="7" t="s">
        <v>528</v>
      </c>
      <c r="L312" s="7">
        <v>65</v>
      </c>
      <c r="M312" s="7" t="s">
        <v>627</v>
      </c>
      <c r="N312" s="4">
        <v>0</v>
      </c>
      <c r="O312" s="4">
        <v>0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>
        <f>IF(AT312="No","No",IF(_xlfn.XLOOKUP(E312,Groups!A:A,Groups!AM:AM)=1,MROUND(EXP(0.3582*LN(C312)-0.2221)*T312,0.05),IF(_xlfn.XLOOKUP(E312,Groups!A:A,Groups!AM:AM)=2,MROUND(EXP(0.3582*LN(C312)-0.2221)*T312,0.05),"Need a formula")))</f>
        <v>2.5500000000000003</v>
      </c>
      <c r="W312" s="7" t="s">
        <v>45</v>
      </c>
      <c r="X312" s="7" t="s">
        <v>933</v>
      </c>
      <c r="Y312" s="4" t="s">
        <v>56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452</v>
      </c>
      <c r="AG312" s="28" t="s">
        <v>1788</v>
      </c>
      <c r="AH312" s="4" t="str">
        <f>Animals!$C$35</f>
        <v>&lt;li&gt;Rat&lt;/li&gt;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1</v>
      </c>
      <c r="AN312" s="44" t="s">
        <v>40</v>
      </c>
      <c r="AO312" s="8">
        <f t="shared" si="670"/>
        <v>8994.6441116448314</v>
      </c>
      <c r="AP312" s="8">
        <f>IFERROR(C312*_xlfn.XLOOKUP(E312,Groups!A:A,Groups!K:K),0.106*C312^0.94)</f>
        <v>3.1187499999999999</v>
      </c>
      <c r="AQ312" s="8">
        <f>AP312*10000/(_xlfn.XLOOKUP(E312,Groups!A:A,Groups!J:J)*AO312)</f>
        <v>3.1810469614976942</v>
      </c>
      <c r="AR312" s="8">
        <f t="shared" si="671"/>
        <v>824.67090957260996</v>
      </c>
      <c r="AS312" s="8">
        <f>IF(_xlfn.XLOOKUP(E312,Groups!A:A,Groups!M:M)=1,EXP(0.7444*LN('Base stats'!C312)+6.5696),EXP(0.7927*LN('Base stats'!C312)+4.28))</f>
        <v>926.67495884741118</v>
      </c>
      <c r="AT312" s="8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IF(_xlfn.XLOOKUP(E312,Groups!A:A,Groups!N:N)="Theropod",EXP(0.6966*LN(C312)+4.158)*S312,
"No"))))))))))))))))</f>
        <v>1938.2356949307643</v>
      </c>
      <c r="AU312" s="8">
        <f>IF(_xlfn.XLOOKUP(E312,Groups!A:A,Groups!U:U)=3,AS312,IF(_xlfn.XLOOKUP(E312,Groups!A:A,Groups!U:U)=2,AR312,AT312))</f>
        <v>1938.2356949307643</v>
      </c>
      <c r="AV312" s="46">
        <f>IFERROR(AVERAGE(_xlfn.XLOOKUP(B312,Animals!B:B,Animals!N:N),_xlfn.XLOOKUP(B312,Animals!B:B,Animals!O:O)),0)</f>
        <v>0</v>
      </c>
      <c r="AW312" s="8">
        <f>MROUND(40*Animals!AO283*_xlfn.XLOOKUP(Animals!BB283,Leathers!$A$2:$A$99,Leathers!$B$2:$B$99,0)+(140*_xlfn.XLOOKUP(B312,Animals!B:B,Animals!AO:AO)*2),5)</f>
        <v>180</v>
      </c>
      <c r="AX312" s="8">
        <f>IFERROR(ROUND(SQRT(V312-1)*IF(_xlfn.XLOOKUP(E312,Groups!A:A,Groups!BF:BF)=0,2,1)*IF(_xlfn.XLOOKUP('Base stats'!E312,Groups!A:A,Groups!O:O)=0,1,0.1),1),0)</f>
        <v>2.5</v>
      </c>
      <c r="AY312" s="8">
        <f t="shared" si="672"/>
        <v>0</v>
      </c>
      <c r="AZ312" s="8">
        <f t="shared" si="673"/>
        <v>0</v>
      </c>
      <c r="BA312" s="8">
        <f t="shared" si="674"/>
        <v>2.5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2.7430264401596109</v>
      </c>
      <c r="BC312" s="8" t="str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No</v>
      </c>
      <c r="BD312" s="8">
        <f t="shared" si="675"/>
        <v>0.56881915680859008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0.87428203703676388</v>
      </c>
      <c r="BF312" s="8">
        <f>(0.048*C312^1.01)/IF(_xlfn.XLOOKUP(E312,Groups!A:A,Groups!M:M)=1,0.25,0.8)*C312^-0.25</f>
        <v>0.69276455162902584</v>
      </c>
      <c r="BG312" s="8">
        <f>EXP(1.076*LN(AR312)-4.5397)*IF(_xlfn.XLOOKUP(E312,Groups!A:A,Groups!BC:BC)=1,1.25,IF(_xlfn.XLOOKUP(E312,Groups!A:A,Groups!BD:BD)=1,3.5,2.5))</f>
        <v>36.668348939666025</v>
      </c>
      <c r="BH312" s="8">
        <f>EXP(1.076*LN(AS312)-4.5397)*IF(_xlfn.XLOOKUP(E312,Groups!A:A,Groups!M:M)=1,0.8,IF(_xlfn.XLOOKUP(E312,Groups!A:A,Groups!BC:BC)=1,1.3,3))</f>
        <v>49.884831215386384</v>
      </c>
      <c r="BI312" s="8" t="str">
        <f>IF(W312="No","No",IF(_xlfn.XLOOKUP(E312,Groups!A:A,Groups!U:U)=1,'Base stats'!BJ312,IF(OR(_xlfn.XLOOKUP(E312,Groups!A:A,Groups!BD:BD)=1,_xlfn.XLOOKUP(E312,Groups!A:A,Groups!U:U)=2),BG312,BH312))*1.2)</f>
        <v>No</v>
      </c>
      <c r="BJ312" s="8">
        <f>IFERROR(EXP(1.076*LN(AT312)-4.5397)*IF(_xlfn.XLOOKUP(E312,Groups!A:A,Groups!N:N)="Insect",1,IF(OR(_xlfn.XLOOKUP(E312,Groups!A:A,Groups!N:N)="Pig",_xlfn.XLOOKUP(E312,Groups!A:A,Groups!N:N)="StrongBitingHerbivore"),3.5,3.75)),"No")</f>
        <v>137.94758321841701</v>
      </c>
      <c r="BK312" s="8">
        <f t="shared" si="676"/>
        <v>11</v>
      </c>
      <c r="BL312" s="8">
        <f t="shared" si="677"/>
        <v>10</v>
      </c>
      <c r="BM312" s="8" t="str">
        <f t="shared" si="678"/>
        <v>No</v>
      </c>
      <c r="BN312" s="8">
        <f t="shared" si="679"/>
        <v>10</v>
      </c>
      <c r="BO312" s="8">
        <f t="shared" si="680"/>
        <v>12</v>
      </c>
      <c r="BP312" s="8" t="str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No</v>
      </c>
      <c r="BQ312" s="8" t="str">
        <f>IF(W312="No","No",IF(_xlfn.XLOOKUP(E312,Groups!A:A,Groups!BD:BD)=1,(AO312*5%),EXP(0.7354*LN(C312)^0.4078)*2/IF(_xlfn.XLOOKUP(E312,Groups!A:A,Groups!BL:BL)=1,1000,100)))</f>
        <v>No</v>
      </c>
      <c r="BR312" s="8">
        <f>IF(BJ312="No","No",IF(_xlfn.XLOOKUP(E312,Groups!A:A,Groups!BF:BF)=1,(0.0315*C312+2.1825)*2,(0.7354*C312^0.4078)*2)/IF(_xlfn.XLOOKUP(E312,Groups!A:A,Groups!BM:BM)=1,1000,100))</f>
        <v>5.4655460365074494E-2</v>
      </c>
      <c r="BS312" s="8">
        <f t="shared" si="681"/>
        <v>8.1533740489395656E-2</v>
      </c>
      <c r="BT312" s="8" t="str">
        <f t="shared" si="682"/>
        <v>No</v>
      </c>
      <c r="BU312" s="8" t="str">
        <f t="shared" si="683"/>
        <v>No</v>
      </c>
      <c r="BV312" s="8">
        <f t="shared" si="684"/>
        <v>2523.9487929840438</v>
      </c>
      <c r="BW312" s="4">
        <v>0</v>
      </c>
      <c r="BX312" s="4">
        <v>1</v>
      </c>
    </row>
    <row r="313" spans="1:76" s="16" customFormat="1" x14ac:dyDescent="0.25">
      <c r="A313" s="26" t="s">
        <v>1413</v>
      </c>
      <c r="B313" s="6" t="s">
        <v>1634</v>
      </c>
      <c r="C313" s="7">
        <v>350</v>
      </c>
      <c r="D313" s="7" t="s">
        <v>528</v>
      </c>
      <c r="E313" s="7" t="str">
        <f>Groups!$A$107</f>
        <v>Mustelid (FOUR EYES)</v>
      </c>
      <c r="F313" s="7">
        <f>ROUND(7.545*(C313*1000)^0.2689,0)</f>
        <v>234</v>
      </c>
      <c r="G313" s="7">
        <v>5</v>
      </c>
      <c r="H313" s="7">
        <v>40</v>
      </c>
      <c r="I313" s="4">
        <v>1</v>
      </c>
      <c r="J313" s="7">
        <v>1</v>
      </c>
      <c r="K313" s="7" t="s">
        <v>528</v>
      </c>
      <c r="L313" s="7">
        <f>MIN(37.5*C313^0.089,79.3*C313^-0.072)</f>
        <v>52.011608888338294</v>
      </c>
      <c r="M313" s="7" t="s">
        <v>627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>
        <v>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6.5500000000000007</v>
      </c>
      <c r="W313" s="7" t="str">
        <f>IF(_xlfn.XLOOKUP(E313,Groups!A:A,Groups!V:V)&lt;&gt;"No","Need a formula","No")</f>
        <v>No</v>
      </c>
      <c r="X313" s="7" t="s">
        <v>933</v>
      </c>
      <c r="Y313" s="4" t="s">
        <v>53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1788</v>
      </c>
      <c r="AH313" s="4" t="str">
        <f>Animals!$C$30</f>
        <v>&lt;li&gt;Pig&lt;/li&gt;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1</v>
      </c>
      <c r="AN313" s="44" t="s">
        <v>40</v>
      </c>
      <c r="AO313" s="8">
        <f t="shared" si="670"/>
        <v>49999.678016554004</v>
      </c>
      <c r="AP313" s="8">
        <f>IFERROR(C313*_xlfn.XLOOKUP(E313,Groups!A:A,Groups!K:K),0.106*C313^0.94)</f>
        <v>43.662500000000001</v>
      </c>
      <c r="AQ313" s="8">
        <f>AP313*10000/(_xlfn.XLOOKUP(E313,Groups!A:A,Groups!J:J)*AO313)</f>
        <v>8.0115194814412618</v>
      </c>
      <c r="AR313" s="8">
        <f t="shared" si="671"/>
        <v>7663.2858706487614</v>
      </c>
      <c r="AS313" s="8">
        <f>IF(_xlfn.XLOOKUP(E313,Groups!A:A,Groups!M:M)=1,EXP(0.7444*LN('Base stats'!C313)+6.5696),EXP(0.7927*LN('Base stats'!C313)+4.28))</f>
        <v>7506.9430520091801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IF(_xlfn.XLOOKUP(E313,Groups!A:A,Groups!N:N)="Theropod",EXP(0.6966*LN(C313)+4.158)*S313,
"No"))))))))))))))))</f>
        <v>5464.0675255985025</v>
      </c>
      <c r="AU313" s="8">
        <f>IF(_xlfn.XLOOKUP(E313,Groups!A:A,Groups!U:U)=3,AS313,IF(_xlfn.XLOOKUP(E313,Groups!A:A,Groups!U:U)=2,AR313,AT313))</f>
        <v>5464.0675255985025</v>
      </c>
      <c r="AV313" s="46">
        <f>IFERROR(AVERAGE(_xlfn.XLOOKUP(B313,Animals!B:B,Animals!N:N),_xlfn.XLOOKUP(B313,Animals!B:B,Animals!O:O)),0)</f>
        <v>0</v>
      </c>
      <c r="AW313" s="8">
        <f>MROUND(40*Animals!AO235*_xlfn.XLOOKUP(Animals!BB235,Leathers!$A$2:$A$99,Leathers!$B$2:$B$99,0)+(140*_xlfn.XLOOKUP(B313,Animals!B:B,Animals!AO:AO)*2),5)</f>
        <v>700</v>
      </c>
      <c r="AX313" s="8">
        <f>IFERROR(ROUND(SQRT(V313-1)*IF(_xlfn.XLOOKUP(E313,Groups!A:A,Groups!BF:BF)=0,2,1)*IF(_xlfn.XLOOKUP('Base stats'!E313,Groups!A:A,Groups!O:O)=0,1,0.1),1),0)</f>
        <v>4.7</v>
      </c>
      <c r="AY313" s="8">
        <f t="shared" si="672"/>
        <v>2</v>
      </c>
      <c r="AZ313" s="8">
        <f t="shared" si="673"/>
        <v>0</v>
      </c>
      <c r="BA313" s="8">
        <f t="shared" si="674"/>
        <v>6.5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6.2075063431434927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675"/>
        <v>5.0980795968990691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6.8490671365591904</v>
      </c>
      <c r="BF313" s="8">
        <f>(0.048*C313^1.01)/IF(_xlfn.XLOOKUP(E313,Groups!A:A,Groups!M:M)=1,0.25,0.8)*C313^-0.25</f>
        <v>5.1480524630900852</v>
      </c>
      <c r="BG313" s="8">
        <f>EXP(1.076*LN(AR313)-4.5397)*IF(_xlfn.XLOOKUP(E313,Groups!A:A,Groups!BC:BC)=1,1.25,IF(_xlfn.XLOOKUP(E313,Groups!A:A,Groups!BD:BD)=1,3.5,2.5))</f>
        <v>403.64903444222597</v>
      </c>
      <c r="BH313" s="8">
        <f>EXP(1.076*LN(AS313)-4.5397)*IF(_xlfn.XLOOKUP(E313,Groups!A:A,Groups!M:M)=1,0.8,IF(_xlfn.XLOOKUP(E313,Groups!A:A,Groups!BC:BC)=1,1.3,3))</f>
        <v>473.75402609099581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420.7575197430225</v>
      </c>
      <c r="BK313" s="8">
        <f t="shared" si="676"/>
        <v>12</v>
      </c>
      <c r="BL313" s="8">
        <f t="shared" si="677"/>
        <v>11</v>
      </c>
      <c r="BM313" s="8" t="str">
        <f t="shared" si="678"/>
        <v>No</v>
      </c>
      <c r="BN313" s="8">
        <f t="shared" si="679"/>
        <v>11</v>
      </c>
      <c r="BO313" s="8">
        <f t="shared" si="680"/>
        <v>13</v>
      </c>
      <c r="BP313" s="8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0.16033360949166103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0.16033360949166103</v>
      </c>
      <c r="BS313" s="8">
        <f t="shared" si="681"/>
        <v>0.16146065353004271</v>
      </c>
      <c r="BT313" s="8">
        <f t="shared" si="682"/>
        <v>2954.8017261822811</v>
      </c>
      <c r="BU313" s="8" t="str">
        <f t="shared" si="683"/>
        <v>No</v>
      </c>
      <c r="BV313" s="8">
        <f t="shared" si="684"/>
        <v>2624.2627548711557</v>
      </c>
      <c r="BW313" s="4">
        <v>0</v>
      </c>
      <c r="BX313" s="4">
        <v>1</v>
      </c>
    </row>
    <row r="314" spans="1:76" s="16" customFormat="1" x14ac:dyDescent="0.25">
      <c r="A314" s="26" t="s">
        <v>1527</v>
      </c>
      <c r="B314" s="6" t="s">
        <v>1881</v>
      </c>
      <c r="C314" s="7">
        <v>400</v>
      </c>
      <c r="D314" s="7" t="s">
        <v>528</v>
      </c>
      <c r="E314" s="7" t="str">
        <f>Groups!$A$110</f>
        <v>Ruminant (HORNS, TAIL, FOUR EYES)</v>
      </c>
      <c r="F314" s="7">
        <f>ROUND(7.545*(C314*1000)^0.2689,0)</f>
        <v>242</v>
      </c>
      <c r="G314" s="7">
        <v>2</v>
      </c>
      <c r="H314" s="7">
        <v>25</v>
      </c>
      <c r="I314" s="4">
        <v>0</v>
      </c>
      <c r="J314" s="7">
        <v>1</v>
      </c>
      <c r="K314" s="7" t="s">
        <v>528</v>
      </c>
      <c r="L314" s="7">
        <f>MIN(114.4*C314^-0.13,97.8*C314^-0.094)</f>
        <v>52.499869706925978</v>
      </c>
      <c r="M314" s="7" t="s">
        <v>627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">
        <v>45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>
        <v>30</v>
      </c>
      <c r="X314" s="7" t="s">
        <v>933</v>
      </c>
      <c r="Y314" s="4" t="s">
        <v>42</v>
      </c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 t="s">
        <v>398</v>
      </c>
      <c r="AG314" s="28" t="s">
        <v>1788</v>
      </c>
      <c r="AH314" s="4" t="str">
        <f>Animals!$C$43</f>
        <v>&lt;li&gt;Cow&lt;/li&gt;</v>
      </c>
      <c r="AI314" s="4">
        <v>1</v>
      </c>
      <c r="AJ314" s="4">
        <v>0</v>
      </c>
      <c r="AK314" s="4">
        <v>0</v>
      </c>
      <c r="AL314" s="4">
        <v>0</v>
      </c>
      <c r="AM314" s="4">
        <v>1</v>
      </c>
      <c r="AN314" s="44" t="s">
        <v>40</v>
      </c>
      <c r="AO314" s="8">
        <f t="shared" si="670"/>
        <v>54533.324359541104</v>
      </c>
      <c r="AP314" s="8">
        <f>IFERROR(C314*_xlfn.XLOOKUP(E314,Groups!A:A,Groups!K:K),0.106*C314^0.94)</f>
        <v>29.596629583111532</v>
      </c>
      <c r="AQ314" s="8">
        <f>AP314*10000/(_xlfn.XLOOKUP(E314,Groups!A:A,Groups!J:J)*AO314)</f>
        <v>4.9791336757954134</v>
      </c>
      <c r="AR314" s="8">
        <f t="shared" si="671"/>
        <v>8578.2919817776201</v>
      </c>
      <c r="AS314" s="8">
        <f>IF(_xlfn.XLOOKUP(E314,Groups!A:A,Groups!M:M)=1,EXP(0.7444*LN('Base stats'!C314)+6.5696),EXP(0.7927*LN('Base stats'!C314)+4.28))</f>
        <v>8345.1344423422543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IF(_xlfn.XLOOKUP(E314,Groups!A:A,Groups!N:N)="Theropod",EXP(0.6966*LN(C314)+4.158)*S314,
"No"))))))))))))))))</f>
        <v>No</v>
      </c>
      <c r="AU314" s="8">
        <f>IF(_xlfn.XLOOKUP(E314,Groups!A:A,Groups!U:U)=3,AS314,IF(_xlfn.XLOOKUP(E314,Groups!A:A,Groups!U:U)=2,AR314,AT314))</f>
        <v>8345.1344423422543</v>
      </c>
      <c r="AV314" s="46">
        <f>IFERROR(AVERAGE(_xlfn.XLOOKUP(B314,Animals!B:B,Animals!N:N),_xlfn.XLOOKUP(B314,Animals!B:B,Animals!O:O)),0)</f>
        <v>0</v>
      </c>
      <c r="AW314" s="8">
        <f>MROUND(40*Animals!AO288*_xlfn.XLOOKUP(Animals!BB288,Leathers!$A$2:$A$99,Leathers!$B$2:$B$99,0)+(140*_xlfn.XLOOKUP(B314,Animals!B:B,Animals!AO:AO)*2),5)</f>
        <v>770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672"/>
        <v>0</v>
      </c>
      <c r="AZ314" s="8">
        <f t="shared" si="673"/>
        <v>5.5</v>
      </c>
      <c r="BA314" s="8">
        <f t="shared" si="674"/>
        <v>6.8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3.5911975861689553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5.6979265131759371</v>
      </c>
      <c r="BD314" s="8">
        <f t="shared" si="675"/>
        <v>3.5911975861689553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7.6009021546251976</v>
      </c>
      <c r="BF314" s="8">
        <f>(0.048*C314^1.01)/IF(_xlfn.XLOOKUP(E314,Groups!A:A,Groups!M:M)=1,0.25,0.8)*C314^-0.25</f>
        <v>5.6979265131759371</v>
      </c>
      <c r="BG314" s="8">
        <f>EXP(1.076*LN(AR314)-4.5397)*IF(_xlfn.XLOOKUP(E314,Groups!A:A,Groups!BC:BC)=1,1.25,IF(_xlfn.XLOOKUP(E314,Groups!A:A,Groups!BD:BD)=1,3.5,2.5))</f>
        <v>455.73526542190234</v>
      </c>
      <c r="BH314" s="8">
        <f>EXP(1.076*LN(AS314)-4.5397)*IF(_xlfn.XLOOKUP(E314,Groups!A:A,Groups!M:M)=1,0.8,IF(_xlfn.XLOOKUP(E314,Groups!A:A,Groups!BC:BC)=1,1.3,3))</f>
        <v>530.90506242342735</v>
      </c>
      <c r="BI314" s="8">
        <f>IF(W314="No","No",IF(_xlfn.XLOOKUP(E314,Groups!A:A,Groups!U:U)=1,'Base stats'!BJ314,IF(OR(_xlfn.XLOOKUP(E314,Groups!A:A,Groups!BD:BD)=1,_xlfn.XLOOKUP(E314,Groups!A:A,Groups!U:U)=2),BG314,BH314))*1.2)</f>
        <v>637.08607490811278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676"/>
        <v>15</v>
      </c>
      <c r="BL314" s="8">
        <f t="shared" si="677"/>
        <v>11</v>
      </c>
      <c r="BM314" s="8">
        <f t="shared" si="678"/>
        <v>14</v>
      </c>
      <c r="BN314" s="8" t="str">
        <f t="shared" si="679"/>
        <v>No</v>
      </c>
      <c r="BO314" s="8">
        <f t="shared" si="680"/>
        <v>13</v>
      </c>
      <c r="BP314" s="8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72.331256150292859</v>
      </c>
      <c r="BQ314" s="8">
        <f>IF(W314="No","No",IF(_xlfn.XLOOKUP(E314,Groups!A:A,Groups!BD:BD)=1,(AO314*5%),EXP(0.7354*LN(C314)^0.4078)*2/IF(_xlfn.XLOOKUP(E314,Groups!A:A,Groups!BL:BL)=1,1000,100)))</f>
        <v>9.2010030010980084E-2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681"/>
        <v>0.16714010039703997</v>
      </c>
      <c r="BT314" s="8">
        <f t="shared" si="682"/>
        <v>7.3399121027331669</v>
      </c>
      <c r="BU314" s="8">
        <f t="shared" si="683"/>
        <v>6924.093762735276</v>
      </c>
      <c r="BV314" s="8" t="str">
        <f t="shared" si="684"/>
        <v>No</v>
      </c>
      <c r="BW314" s="4">
        <v>0</v>
      </c>
      <c r="BX314" s="4">
        <v>1</v>
      </c>
    </row>
    <row r="315" spans="1:76" s="16" customFormat="1" x14ac:dyDescent="0.25">
      <c r="A315" s="26" t="s">
        <v>1529</v>
      </c>
      <c r="B315" s="6" t="s">
        <v>1869</v>
      </c>
      <c r="C315" s="7">
        <v>150</v>
      </c>
      <c r="D315" s="7" t="s">
        <v>528</v>
      </c>
      <c r="E315" s="7" t="str">
        <f>Groups!$A$111</f>
        <v>Ruminant  (BLUNT HORNS, FOUR EYES)</v>
      </c>
      <c r="F315" s="7">
        <v>170</v>
      </c>
      <c r="G315" s="7">
        <v>2.5</v>
      </c>
      <c r="H315" s="7">
        <v>25</v>
      </c>
      <c r="I315" s="4">
        <v>0</v>
      </c>
      <c r="J315" s="7">
        <v>1</v>
      </c>
      <c r="K315" s="7" t="s">
        <v>528</v>
      </c>
      <c r="L315" s="7">
        <v>45</v>
      </c>
      <c r="M315" s="7" t="s">
        <v>627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">
        <v>45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>
        <v>70</v>
      </c>
      <c r="X315" s="7" t="s">
        <v>933</v>
      </c>
      <c r="Y315" s="4" t="s">
        <v>42</v>
      </c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 t="s">
        <v>398</v>
      </c>
      <c r="AG315" s="28" t="s">
        <v>1788</v>
      </c>
      <c r="AH315" s="4" t="str">
        <f>Animals!$C$52</f>
        <v>&lt;li&gt;Sheep&lt;/li&gt;</v>
      </c>
      <c r="AI315" s="4">
        <v>0</v>
      </c>
      <c r="AJ315" s="4">
        <v>0</v>
      </c>
      <c r="AK315" s="4">
        <v>0</v>
      </c>
      <c r="AL315" s="4">
        <v>0</v>
      </c>
      <c r="AM315" s="4">
        <v>1</v>
      </c>
      <c r="AN315" s="44" t="s">
        <v>40</v>
      </c>
      <c r="AO315" s="8">
        <f t="shared" si="670"/>
        <v>28825.861601687579</v>
      </c>
      <c r="AP315" s="8">
        <f>IFERROR(C315*_xlfn.XLOOKUP(E315,Groups!A:A,Groups!K:K),0.106*C315^0.94)</f>
        <v>11.771495712556113</v>
      </c>
      <c r="AQ315" s="8">
        <f>AP315*10000/(_xlfn.XLOOKUP(E315,Groups!A:A,Groups!J:J)*AO315)</f>
        <v>3.7464751271603496</v>
      </c>
      <c r="AR315" s="8">
        <f t="shared" si="671"/>
        <v>3746.1489061563307</v>
      </c>
      <c r="AS315" s="8">
        <f>IF(_xlfn.XLOOKUP(E315,Groups!A:A,Groups!M:M)=1,EXP(0.7444*LN('Base stats'!C315)+6.5696),EXP(0.7927*LN('Base stats'!C315)+4.28))</f>
        <v>3835.0225645496203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IF(_xlfn.XLOOKUP(E315,Groups!A:A,Groups!N:N)="Theropod",EXP(0.6966*LN(C315)+4.158)*S315,
"No"))))))))))))))))</f>
        <v>No</v>
      </c>
      <c r="AU315" s="8">
        <f>IF(_xlfn.XLOOKUP(E315,Groups!A:A,Groups!U:U)=3,AS315,IF(_xlfn.XLOOKUP(E315,Groups!A:A,Groups!U:U)=2,AR315,AT315))</f>
        <v>3835.0225645496203</v>
      </c>
      <c r="AV315" s="46">
        <f>IFERROR(AVERAGE(_xlfn.XLOOKUP(B315,Animals!B:B,Animals!N:N),_xlfn.XLOOKUP(B315,Animals!B:B,Animals!O:O)),0)</f>
        <v>0</v>
      </c>
      <c r="AW315" s="8">
        <f>MROUND(40*Animals!AO289*_xlfn.XLOOKUP(Animals!BB289,Leathers!$A$2:$A$99,Leathers!$B$2:$B$99,0)+(140*_xlfn.XLOOKUP(B315,Animals!B:B,Animals!AO:AO)*2),5)</f>
        <v>420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672"/>
        <v>0</v>
      </c>
      <c r="AZ315" s="8">
        <f t="shared" si="673"/>
        <v>8.4</v>
      </c>
      <c r="BA315" s="8">
        <f t="shared" si="674"/>
        <v>4.8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1.7141896806845596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1.7141896806845596</v>
      </c>
      <c r="BD315" s="8">
        <f t="shared" si="675"/>
        <v>1.7141896806845596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3.5367920914565221</v>
      </c>
      <c r="BF315" s="8">
        <f>(0.048*C315^1.01)/IF(_xlfn.XLOOKUP(E315,Groups!A:A,Groups!M:M)=1,0.25,0.8)*C315^-0.25</f>
        <v>2.7038376258152188</v>
      </c>
      <c r="BG315" s="8">
        <f>EXP(1.076*LN(AR315)-4.5397)*IF(_xlfn.XLOOKUP(E315,Groups!A:A,Groups!BC:BC)=1,1.25,IF(_xlfn.XLOOKUP(E315,Groups!A:A,Groups!BD:BD)=1,3.5,2.5))</f>
        <v>261.62478461847616</v>
      </c>
      <c r="BH315" s="8">
        <f>EXP(1.076*LN(AS315)-4.5397)*IF(_xlfn.XLOOKUP(E315,Groups!A:A,Groups!M:M)=1,0.8,IF(_xlfn.XLOOKUP(E315,Groups!A:A,Groups!BC:BC)=1,1.3,3))</f>
        <v>229.97937056804284</v>
      </c>
      <c r="BI315" s="8">
        <f>IF(W315="No","No",IF(_xlfn.XLOOKUP(E315,Groups!A:A,Groups!U:U)=1,'Base stats'!BJ315,IF(OR(_xlfn.XLOOKUP(E315,Groups!A:A,Groups!BD:BD)=1,_xlfn.XLOOKUP(E315,Groups!A:A,Groups!U:U)=2),BG315,BH315))*1.2)</f>
        <v>313.94974154217135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676"/>
        <v>17</v>
      </c>
      <c r="BL315" s="8">
        <f t="shared" si="677"/>
        <v>11</v>
      </c>
      <c r="BM315" s="8">
        <f t="shared" si="678"/>
        <v>19</v>
      </c>
      <c r="BN315" s="8" t="str">
        <f t="shared" si="679"/>
        <v>No</v>
      </c>
      <c r="BO315" s="8">
        <f t="shared" si="680"/>
        <v>13</v>
      </c>
      <c r="BP315" s="8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30.053921065685302</v>
      </c>
      <c r="BQ315" s="8">
        <f>IF(W315="No","No",IF(_xlfn.XLOOKUP(E315,Groups!A:A,Groups!BD:BD)=1,(AO315*5%),EXP(0.7354*LN(C315)^0.4078)*2/IF(_xlfn.XLOOKUP(E315,Groups!A:A,Groups!BL:BL)=1,1000,100)))</f>
        <v>1441.293080084379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681"/>
        <v>0.1815208774908984</v>
      </c>
      <c r="BT315" s="8">
        <f t="shared" si="682"/>
        <v>7.6522251477737004</v>
      </c>
      <c r="BU315" s="8">
        <f t="shared" si="683"/>
        <v>0.21782505298907803</v>
      </c>
      <c r="BV315" s="8" t="str">
        <f t="shared" si="684"/>
        <v>No</v>
      </c>
      <c r="BW315" s="4">
        <v>0</v>
      </c>
      <c r="BX315" s="4">
        <v>1</v>
      </c>
    </row>
    <row r="316" spans="1:76" s="16" customFormat="1" x14ac:dyDescent="0.25">
      <c r="A316" s="26" t="s">
        <v>1433</v>
      </c>
      <c r="B316" s="6" t="s">
        <v>1640</v>
      </c>
      <c r="C316" s="7">
        <v>0.3</v>
      </c>
      <c r="D316" s="7" t="s">
        <v>523</v>
      </c>
      <c r="E316" s="7" t="str">
        <f>Groups!$A$104</f>
        <v>Rodent (FOUR EYES, SCAVENGER)</v>
      </c>
      <c r="F316" s="7">
        <v>21</v>
      </c>
      <c r="G316" s="7">
        <f>90/365</f>
        <v>0.24657534246575341</v>
      </c>
      <c r="H316" s="7">
        <v>3.8</v>
      </c>
      <c r="I316" s="4">
        <v>0</v>
      </c>
      <c r="J316" s="7">
        <v>9.9</v>
      </c>
      <c r="K316" s="7" t="s">
        <v>528</v>
      </c>
      <c r="L316" s="7">
        <f>AVERAGE(1.22,1.85)*3.6*(23.3/11)</f>
        <v>11.705072727272729</v>
      </c>
      <c r="M316" s="7" t="s">
        <v>528</v>
      </c>
      <c r="N316" s="4">
        <v>0</v>
      </c>
      <c r="O316" s="4">
        <v>0</v>
      </c>
      <c r="P316" s="4">
        <v>-10</v>
      </c>
      <c r="Q316" s="4">
        <v>0</v>
      </c>
      <c r="R316" s="4">
        <v>0.8</v>
      </c>
      <c r="S316" s="7">
        <f>_xlfn.XLOOKUP(B316,[1]TeethAdjusters!$A:$A,[1]BiteAdjusters!$C:$C,1)</f>
        <v>0.89112849882177569</v>
      </c>
      <c r="T316" s="7">
        <f>_xlfn.XLOOKUP(B316,[1]TeethAdjusters!$A:$A,[1]TeethAdjusters!$B:$B,1)</f>
        <v>1</v>
      </c>
      <c r="U316" s="7" t="s">
        <v>45</v>
      </c>
      <c r="V316" s="7">
        <f>MROUND(AVERAGE(4/10,7/10),0.05)</f>
        <v>0.55000000000000004</v>
      </c>
      <c r="W316" s="7" t="s">
        <v>45</v>
      </c>
      <c r="X316" s="7" t="s">
        <v>933</v>
      </c>
      <c r="Y316" s="4" t="s">
        <v>1008</v>
      </c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 t="s">
        <v>400</v>
      </c>
      <c r="AG316" s="28" t="s">
        <v>385</v>
      </c>
      <c r="AH316" s="4" t="str">
        <f>Animals!$C$35</f>
        <v>&lt;li&gt;Rat&lt;/li&gt;</v>
      </c>
      <c r="AI316" s="4">
        <v>0</v>
      </c>
      <c r="AJ316" s="4">
        <v>0</v>
      </c>
      <c r="AK316" s="4">
        <v>0</v>
      </c>
      <c r="AL316" s="4">
        <v>0</v>
      </c>
      <c r="AM316" s="4">
        <v>1</v>
      </c>
      <c r="AN316" s="44" t="s">
        <v>40</v>
      </c>
      <c r="AO316" s="8">
        <f t="shared" si="670"/>
        <v>507.51840257727082</v>
      </c>
      <c r="AP316" s="8">
        <f>IFERROR(C316*_xlfn.XLOOKUP(E316,Groups!A:A,Groups!K:K),0.106*C316^0.94)</f>
        <v>3.4182186918603891E-2</v>
      </c>
      <c r="AQ316" s="8">
        <f>AP316*10000/(_xlfn.XLOOKUP(E316,Groups!A:A,Groups!J:J)*AO316)</f>
        <v>0.61790477652100573</v>
      </c>
      <c r="AR316" s="8">
        <f t="shared" si="671"/>
        <v>19.668220728047135</v>
      </c>
      <c r="AS316" s="8">
        <f>IF(_xlfn.XLOOKUP(E316,Groups!A:A,Groups!M:M)=1,EXP(0.7444*LN('Base stats'!C316)+6.5696),EXP(0.7927*LN('Base stats'!C316)+4.28))</f>
        <v>27.81598228970504</v>
      </c>
      <c r="AT316" s="8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IF(_xlfn.XLOOKUP(E316,Groups!A:A,Groups!N:N)="Theropod",EXP(0.6966*LN(C316)+4.158)*S316,
"No"))))))))))))))))</f>
        <v>33.38473148559769</v>
      </c>
      <c r="AU316" s="8">
        <f>IF(_xlfn.XLOOKUP(E316,Groups!A:A,Groups!U:U)=3,AS316,IF(_xlfn.XLOOKUP(E316,Groups!A:A,Groups!U:U)=2,AR316,AT316))</f>
        <v>33.38473148559769</v>
      </c>
      <c r="AV316" s="46">
        <f>IFERROR(AVERAGE(_xlfn.XLOOKUP(B316,Animals!B:B,Animals!N:N),_xlfn.XLOOKUP(B316,Animals!B:B,Animals!O:O)),0)</f>
        <v>0</v>
      </c>
      <c r="AW316" s="8">
        <f>MROUND(40*Animals!AO244*_xlfn.XLOOKUP(Animals!BB244,Leathers!$A$2:$A$99,Leathers!$B$2:$B$99,0)+(140*_xlfn.XLOOKUP(B316,Animals!B:B,Animals!AO:AO)*2),5)</f>
        <v>30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672"/>
        <v>0</v>
      </c>
      <c r="AZ316" s="8">
        <f t="shared" si="673"/>
        <v>0</v>
      </c>
      <c r="BA316" s="8">
        <f t="shared" si="674"/>
        <v>0.4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8.9377484193445017E-2</v>
      </c>
      <c r="BC316" s="8" t="str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No</v>
      </c>
      <c r="BD316" s="8">
        <f t="shared" si="675"/>
        <v>1.581377273367229E-2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2.7759582326972801E-2</v>
      </c>
      <c r="BF316" s="8">
        <f>(0.048*C316^1.01)/IF(_xlfn.XLOOKUP(E316,Groups!A:A,Groups!M:M)=1,0.25,0.8)*C316^-0.25</f>
        <v>2.4030533019811343E-2</v>
      </c>
      <c r="BG316" s="8">
        <f>EXP(1.076*LN(AR316)-4.5397)*IF(_xlfn.XLOOKUP(E316,Groups!A:A,Groups!BC:BC)=1,1.25,IF(_xlfn.XLOOKUP(E316,Groups!A:A,Groups!BD:BD)=1,3.5,2.5))</f>
        <v>0.6583617156570799</v>
      </c>
      <c r="BH316" s="8">
        <f>EXP(1.076*LN(AS316)-4.5397)*IF(_xlfn.XLOOKUP(E316,Groups!A:A,Groups!M:M)=1,0.8,IF(_xlfn.XLOOKUP(E316,Groups!A:A,Groups!BC:BC)=1,1.3,3))</f>
        <v>1.1471372193905376</v>
      </c>
      <c r="BI316" s="8" t="str">
        <f>IF(W316="No","No",IF(_xlfn.XLOOKUP(E316,Groups!A:A,Groups!U:U)=1,'Base stats'!BJ316,IF(OR(_xlfn.XLOOKUP(E316,Groups!A:A,Groups!BD:BD)=1,_xlfn.XLOOKUP(E316,Groups!A:A,Groups!U:U)=2),BG316,BH316))*1.2)</f>
        <v>No</v>
      </c>
      <c r="BJ316" s="8">
        <f>IFERROR(EXP(1.076*LN(AT316)-4.5397)*IF(_xlfn.XLOOKUP(E316,Groups!A:A,Groups!N:N)="Insect",1,IF(OR(_xlfn.XLOOKUP(E316,Groups!A:A,Groups!N:N)="Pig",_xlfn.XLOOKUP(E316,Groups!A:A,Groups!N:N)="StrongBitingHerbivore"),3.5,3.75)),"No")</f>
        <v>1.7450269366694631</v>
      </c>
      <c r="BK316" s="8">
        <f t="shared" si="676"/>
        <v>9</v>
      </c>
      <c r="BL316" s="8">
        <f t="shared" si="677"/>
        <v>9</v>
      </c>
      <c r="BM316" s="8" t="str">
        <f t="shared" si="678"/>
        <v>No</v>
      </c>
      <c r="BN316" s="8">
        <f t="shared" si="679"/>
        <v>6</v>
      </c>
      <c r="BO316" s="8">
        <f t="shared" si="680"/>
        <v>9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 t="str">
        <f>IF(W316="No","No",IF(_xlfn.XLOOKUP(E316,Groups!A:A,Groups!BD:BD)=1,(AO316*5%),EXP(0.7354*LN(C316)^0.4078)*2/IF(_xlfn.XLOOKUP(E316,Groups!A:A,Groups!BL:BL)=1,1000,100)))</f>
        <v>No</v>
      </c>
      <c r="BR316" s="8">
        <f>IF(BJ316="No","No",IF(_xlfn.XLOOKUP(E316,Groups!A:A,Groups!BF:BF)=1,(0.0315*C316+2.1825)*2,(0.7354*C316^0.4078)*2)/IF(_xlfn.XLOOKUP(E316,Groups!A:A,Groups!BM:BM)=1,1000,100))</f>
        <v>9.0016820456507111E-3</v>
      </c>
      <c r="BS316" s="8">
        <f t="shared" si="681"/>
        <v>2.5944348512834187E-2</v>
      </c>
      <c r="BT316" s="8" t="str">
        <f t="shared" si="682"/>
        <v>No</v>
      </c>
      <c r="BU316" s="8" t="str">
        <f t="shared" si="683"/>
        <v>No</v>
      </c>
      <c r="BV316" s="8">
        <f t="shared" si="684"/>
        <v>193.85565140157303</v>
      </c>
      <c r="BW316" s="4">
        <v>0</v>
      </c>
      <c r="BX316" s="4">
        <v>1</v>
      </c>
    </row>
    <row r="317" spans="1:76" s="16" customFormat="1" x14ac:dyDescent="0.25">
      <c r="A317" s="26" t="s">
        <v>1573</v>
      </c>
      <c r="B317" s="6" t="s">
        <v>1870</v>
      </c>
      <c r="C317" s="7">
        <v>350</v>
      </c>
      <c r="D317" s="7" t="s">
        <v>528</v>
      </c>
      <c r="E317" s="7" t="str">
        <f>Groups!$A$111</f>
        <v>Ruminant  (BLUNT HORNS, FOUR EYES)</v>
      </c>
      <c r="F317" s="7">
        <v>220</v>
      </c>
      <c r="G317" s="7">
        <v>2.25</v>
      </c>
      <c r="H317" s="7">
        <v>25</v>
      </c>
      <c r="I317" s="4">
        <v>0</v>
      </c>
      <c r="J317" s="7">
        <v>1</v>
      </c>
      <c r="K317" s="7" t="s">
        <v>528</v>
      </c>
      <c r="L317" s="7">
        <v>45</v>
      </c>
      <c r="M317" s="7" t="s">
        <v>627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 t="s">
        <v>45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>
        <v>70</v>
      </c>
      <c r="X317" s="7" t="s">
        <v>933</v>
      </c>
      <c r="Y317" s="4" t="s">
        <v>42</v>
      </c>
      <c r="Z317" s="4">
        <v>1</v>
      </c>
      <c r="AA317" s="4">
        <v>0</v>
      </c>
      <c r="AB317" s="4">
        <v>0</v>
      </c>
      <c r="AC317" s="4">
        <v>0</v>
      </c>
      <c r="AD317" s="4">
        <v>0</v>
      </c>
      <c r="AE317" s="4" t="s">
        <v>45</v>
      </c>
      <c r="AF317" s="4" t="s">
        <v>398</v>
      </c>
      <c r="AG317" s="28" t="s">
        <v>1788</v>
      </c>
      <c r="AH317" s="4" t="str">
        <f>Animals!$C$52</f>
        <v>&lt;li&gt;Sheep&lt;/li&gt;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1</v>
      </c>
      <c r="AN317" s="44" t="s">
        <v>40</v>
      </c>
      <c r="AO317" s="8">
        <f t="shared" si="670"/>
        <v>49999.678016554004</v>
      </c>
      <c r="AP317" s="8">
        <f>IFERROR(C317*_xlfn.XLOOKUP(E317,Groups!A:A,Groups!K:K),0.106*C317^0.94)</f>
        <v>26.105368435044046</v>
      </c>
      <c r="AQ317" s="8">
        <f>AP317*10000/(_xlfn.XLOOKUP(E317,Groups!A:A,Groups!J:J)*AO317)</f>
        <v>4.7900067056984179</v>
      </c>
      <c r="AR317" s="8">
        <f t="shared" si="671"/>
        <v>7663.2858706487614</v>
      </c>
      <c r="AS317" s="8">
        <f>IF(_xlfn.XLOOKUP(E317,Groups!A:A,Groups!M:M)=1,EXP(0.7444*LN('Base stats'!C317)+6.5696),EXP(0.7927*LN('Base stats'!C317)+4.28))</f>
        <v>7506.9430520091801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IF(_xlfn.XLOOKUP(E317,Groups!A:A,Groups!N:N)="Theropod",EXP(0.6966*LN(C317)+4.158)*S317,
"No"))))))))))))))))</f>
        <v>No</v>
      </c>
      <c r="AU317" s="8">
        <f>IF(_xlfn.XLOOKUP(E317,Groups!A:A,Groups!U:U)=3,AS317,IF(_xlfn.XLOOKUP(E317,Groups!A:A,Groups!U:U)=2,AR317,AT317))</f>
        <v>7506.9430520091801</v>
      </c>
      <c r="AV317" s="46">
        <f>IFERROR(AVERAGE(_xlfn.XLOOKUP(B317,Animals!B:B,Animals!N:N),_xlfn.XLOOKUP(B317,Animals!B:B,Animals!O:O)),0)</f>
        <v>0</v>
      </c>
      <c r="AW317" s="8">
        <f>MROUND(40*Animals!AO290*_xlfn.XLOOKUP(Animals!BB290,Leathers!$A$2:$A$99,Leathers!$B$2:$B$99,0)+(140*_xlfn.XLOOKUP(B317,Animals!B:B,Animals!AO:AO)*2),5)</f>
        <v>1360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672"/>
        <v>0</v>
      </c>
      <c r="AZ317" s="8">
        <f t="shared" si="673"/>
        <v>8.4</v>
      </c>
      <c r="BA317" s="8">
        <f t="shared" si="674"/>
        <v>6.5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3.2472324064132327</v>
      </c>
      <c r="BC317" s="8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3.2472324064132327</v>
      </c>
      <c r="BD317" s="8">
        <f t="shared" si="675"/>
        <v>3.2472324064132327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6.8490671365591904</v>
      </c>
      <c r="BF317" s="8">
        <f>(0.048*C317^1.01)/IF(_xlfn.XLOOKUP(E317,Groups!A:A,Groups!M:M)=1,0.25,0.8)*C317^-0.25</f>
        <v>5.1480524630900852</v>
      </c>
      <c r="BG317" s="8">
        <f>EXP(1.076*LN(AR317)-4.5397)*IF(_xlfn.XLOOKUP(E317,Groups!A:A,Groups!BC:BC)=1,1.25,IF(_xlfn.XLOOKUP(E317,Groups!A:A,Groups!BD:BD)=1,3.5,2.5))</f>
        <v>565.10864821911639</v>
      </c>
      <c r="BH317" s="8">
        <f>EXP(1.076*LN(AS317)-4.5397)*IF(_xlfn.XLOOKUP(E317,Groups!A:A,Groups!M:M)=1,0.8,IF(_xlfn.XLOOKUP(E317,Groups!A:A,Groups!BC:BC)=1,1.3,3))</f>
        <v>473.75402609099581</v>
      </c>
      <c r="BI317" s="8">
        <f>IF(W317="No","No",IF(_xlfn.XLOOKUP(E317,Groups!A:A,Groups!U:U)=1,'Base stats'!BJ317,IF(OR(_xlfn.XLOOKUP(E317,Groups!A:A,Groups!BD:BD)=1,_xlfn.XLOOKUP(E317,Groups!A:A,Groups!U:U)=2),BG317,BH317))*1.2)</f>
        <v>678.13037786293967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676"/>
        <v>18</v>
      </c>
      <c r="BL317" s="8">
        <f t="shared" si="677"/>
        <v>11</v>
      </c>
      <c r="BM317" s="8">
        <f t="shared" si="678"/>
        <v>20</v>
      </c>
      <c r="BN317" s="8" t="str">
        <f t="shared" si="679"/>
        <v>No</v>
      </c>
      <c r="BO317" s="8">
        <f t="shared" si="680"/>
        <v>13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64.103753174089817</v>
      </c>
      <c r="BQ317" s="8">
        <f>IF(W317="No","No",IF(_xlfn.XLOOKUP(E317,Groups!A:A,Groups!BD:BD)=1,(AO317*5%),EXP(0.7354*LN(C317)^0.4078)*2/IF(_xlfn.XLOOKUP(E317,Groups!A:A,Groups!BL:BL)=1,1000,100)))</f>
        <v>2499.9839008277004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681"/>
        <v>0.2260449149420598</v>
      </c>
      <c r="BT317" s="8">
        <f t="shared" si="682"/>
        <v>7.3904257182008974</v>
      </c>
      <c r="BU317" s="8">
        <f t="shared" si="683"/>
        <v>0.27125389793047178</v>
      </c>
      <c r="BV317" s="8" t="str">
        <f t="shared" si="684"/>
        <v>No</v>
      </c>
      <c r="BW317" s="4">
        <v>0</v>
      </c>
      <c r="BX317" s="4">
        <v>1</v>
      </c>
    </row>
    <row r="318" spans="1:76" s="16" customFormat="1" x14ac:dyDescent="0.25">
      <c r="A318" s="26" t="s">
        <v>1601</v>
      </c>
      <c r="B318" s="6" t="s">
        <v>1882</v>
      </c>
      <c r="C318" s="7">
        <v>670</v>
      </c>
      <c r="D318" s="7" t="s">
        <v>528</v>
      </c>
      <c r="E318" s="7" t="str">
        <f>Groups!$A$111</f>
        <v>Ruminant  (BLUNT HORNS, FOUR EYES)</v>
      </c>
      <c r="F318" s="7">
        <v>280</v>
      </c>
      <c r="G318" s="7">
        <v>3</v>
      </c>
      <c r="H318" s="7">
        <v>33.5</v>
      </c>
      <c r="I318" s="4">
        <v>0</v>
      </c>
      <c r="J318" s="7">
        <v>1</v>
      </c>
      <c r="K318" s="7" t="s">
        <v>528</v>
      </c>
      <c r="L318" s="7">
        <v>56</v>
      </c>
      <c r="M318" s="7" t="s">
        <v>627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">
        <v>45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>
        <v>70</v>
      </c>
      <c r="X318" s="7" t="s">
        <v>933</v>
      </c>
      <c r="Y318" s="4" t="s">
        <v>42</v>
      </c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 t="s">
        <v>398</v>
      </c>
      <c r="AG318" s="28" t="s">
        <v>1788</v>
      </c>
      <c r="AH318" s="4" t="str">
        <f>Animals!$C$52</f>
        <v>&lt;li&gt;Sheep&lt;/li&gt;</v>
      </c>
      <c r="AI318" s="4">
        <v>0</v>
      </c>
      <c r="AJ318" s="4">
        <v>0</v>
      </c>
      <c r="AK318" s="4">
        <v>0</v>
      </c>
      <c r="AL318" s="4">
        <v>0</v>
      </c>
      <c r="AM318" s="4">
        <v>1</v>
      </c>
      <c r="AN318" s="44" t="s">
        <v>40</v>
      </c>
      <c r="AO318" s="8">
        <f t="shared" si="670"/>
        <v>76255.575061434094</v>
      </c>
      <c r="AP318" s="8">
        <f>IFERROR(C318*_xlfn.XLOOKUP(E318,Groups!A:A,Groups!K:K),0.106*C318^0.94)</f>
        <v>48.063587066174399</v>
      </c>
      <c r="AQ318" s="8">
        <f>AP318*10000/(_xlfn.XLOOKUP(E318,Groups!A:A,Groups!J:J)*AO318)</f>
        <v>5.7825324863316707</v>
      </c>
      <c r="AR318" s="8">
        <f t="shared" si="671"/>
        <v>13262.5225559426</v>
      </c>
      <c r="AS318" s="8">
        <f>IF(_xlfn.XLOOKUP(E318,Groups!A:A,Groups!M:M)=1,EXP(0.7444*LN('Base stats'!C318)+6.5696),EXP(0.7927*LN('Base stats'!C318)+4.28))</f>
        <v>12560.585342111865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IF(_xlfn.XLOOKUP(E318,Groups!A:A,Groups!N:N)="Theropod",EXP(0.6966*LN(C318)+4.158)*S318,
"No"))))))))))))))))</f>
        <v>No</v>
      </c>
      <c r="AU318" s="8">
        <f>IF(_xlfn.XLOOKUP(E318,Groups!A:A,Groups!U:U)=3,AS318,IF(_xlfn.XLOOKUP(E318,Groups!A:A,Groups!U:U)=2,AR318,AT318))</f>
        <v>12560.585342111865</v>
      </c>
      <c r="AV318" s="46">
        <f>IFERROR(AVERAGE(_xlfn.XLOOKUP(B318,Animals!B:B,Animals!N:N),_xlfn.XLOOKUP(B318,Animals!B:B,Animals!O:O)),0)</f>
        <v>0</v>
      </c>
      <c r="AW318" s="8">
        <f>MROUND(40*Animals!AO290*_xlfn.XLOOKUP(Animals!BB290,Leathers!$A$2:$A$99,Leathers!$B$2:$B$99,0)+(140*_xlfn.XLOOKUP(B318,Animals!B:B,Animals!AO:AO)*2),5)</f>
        <v>1500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672"/>
        <v>0</v>
      </c>
      <c r="AZ318" s="8">
        <f t="shared" si="673"/>
        <v>8.4</v>
      </c>
      <c r="BA318" s="8">
        <f t="shared" si="674"/>
        <v>8.1999999999999993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5.2984210599311439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5.2984210599311439</v>
      </c>
      <c r="BD318" s="8">
        <f t="shared" si="675"/>
        <v>5.2984210599311439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11.365713249036499</v>
      </c>
      <c r="BF318" s="8">
        <f>(0.048*C318^1.01)/IF(_xlfn.XLOOKUP(E318,Groups!A:A,Groups!M:M)=1,0.25,0.8)*C318^-0.25</f>
        <v>8.4327281587001082</v>
      </c>
      <c r="BG318" s="8">
        <f>EXP(1.076*LN(AR318)-4.5397)*IF(_xlfn.XLOOKUP(E318,Groups!A:A,Groups!BC:BC)=1,1.25,IF(_xlfn.XLOOKUP(E318,Groups!A:A,Groups!BD:BD)=1,3.5,2.5))</f>
        <v>1019.640569062325</v>
      </c>
      <c r="BH318" s="8">
        <f>EXP(1.076*LN(AS318)-4.5397)*IF(_xlfn.XLOOKUP(E318,Groups!A:A,Groups!M:M)=1,0.8,IF(_xlfn.XLOOKUP(E318,Groups!A:A,Groups!BC:BC)=1,1.3,3))</f>
        <v>824.30744939325632</v>
      </c>
      <c r="BI318" s="8">
        <f>IF(W318="No","No",IF(_xlfn.XLOOKUP(E318,Groups!A:A,Groups!U:U)=1,'Base stats'!BJ318,IF(OR(_xlfn.XLOOKUP(E318,Groups!A:A,Groups!BD:BD)=1,_xlfn.XLOOKUP(E318,Groups!A:A,Groups!U:U)=2),BG318,BH318))*1.2)</f>
        <v>1223.5686828747898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676"/>
        <v>19</v>
      </c>
      <c r="BL318" s="8">
        <f t="shared" si="677"/>
        <v>12</v>
      </c>
      <c r="BM318" s="8">
        <f t="shared" si="678"/>
        <v>21</v>
      </c>
      <c r="BN318" s="8" t="str">
        <f t="shared" si="679"/>
        <v>No</v>
      </c>
      <c r="BO318" s="8">
        <f t="shared" si="680"/>
        <v>13</v>
      </c>
      <c r="BP318" s="8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115.69691381617326</v>
      </c>
      <c r="BQ318" s="8">
        <f>IF(W318="No","No",IF(_xlfn.XLOOKUP(E318,Groups!A:A,Groups!BD:BD)=1,(AO318*5%),EXP(0.7354*LN(C318)^0.4078)*2/IF(_xlfn.XLOOKUP(E318,Groups!A:A,Groups!BL:BL)=1,1000,100)))</f>
        <v>3812.7787530717051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681"/>
        <v>0.26742715355326285</v>
      </c>
      <c r="BT318" s="8">
        <f t="shared" si="682"/>
        <v>7.1247142400269148</v>
      </c>
      <c r="BU318" s="8">
        <f t="shared" si="683"/>
        <v>0.32091258426391539</v>
      </c>
      <c r="BV318" s="8" t="str">
        <f t="shared" si="684"/>
        <v>No</v>
      </c>
      <c r="BW318" s="4">
        <v>0</v>
      </c>
      <c r="BX318" s="4">
        <v>1</v>
      </c>
    </row>
    <row r="319" spans="1:76" s="16" customFormat="1" x14ac:dyDescent="0.25">
      <c r="A319" s="26" t="s">
        <v>1431</v>
      </c>
      <c r="B319" s="6" t="s">
        <v>1871</v>
      </c>
      <c r="C319" s="7">
        <v>100</v>
      </c>
      <c r="D319" s="7" t="s">
        <v>528</v>
      </c>
      <c r="E319" s="7" t="str">
        <f>Groups!$A$103</f>
        <v>Catlike (FOUR EYES, NINE TAILS)</v>
      </c>
      <c r="F319" s="7">
        <v>99</v>
      </c>
      <c r="G319" s="7">
        <f>AVERAGE(30/12,3)</f>
        <v>2.75</v>
      </c>
      <c r="H319" s="7">
        <v>28</v>
      </c>
      <c r="I319" s="4">
        <v>0</v>
      </c>
      <c r="J319" s="7">
        <v>2</v>
      </c>
      <c r="K319" s="7" t="s">
        <v>528</v>
      </c>
      <c r="L319" s="7">
        <f>MIN(37.5*C319^0.089,79.3*C319^-0.072)</f>
        <v>56.497764982002828</v>
      </c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>
        <v>4</v>
      </c>
      <c r="V319" s="7">
        <f>IF(AT319="No","No",IF(_xlfn.XLOOKUP(E319,Groups!A:A,Groups!AM:AM)=1,MROUND(EXP(0.3582*LN(C319)-0.2221)*T319,0.05),IF(_xlfn.XLOOKUP(E319,Groups!A:A,Groups!AM:AM)=2,MROUND(EXP(0.3582*LN(C319)-0.2221)*T319,0.05),"Need a formula")))</f>
        <v>4.1500000000000004</v>
      </c>
      <c r="W319" s="7">
        <v>10</v>
      </c>
      <c r="X319" s="7" t="s">
        <v>933</v>
      </c>
      <c r="Y319" s="4" t="s">
        <v>53</v>
      </c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 t="s">
        <v>45</v>
      </c>
      <c r="AG319" s="28" t="s">
        <v>1788</v>
      </c>
      <c r="AH319" s="4" t="str">
        <f>Animals!$C$306</f>
        <v>&lt;li&gt;AA_Nightling&lt;/li&gt;</v>
      </c>
      <c r="AI319" s="4">
        <v>0</v>
      </c>
      <c r="AJ319" s="4">
        <v>0</v>
      </c>
      <c r="AK319" s="4">
        <v>0</v>
      </c>
      <c r="AL319" s="4">
        <v>0</v>
      </c>
      <c r="AM319" s="4">
        <v>1</v>
      </c>
      <c r="AN319" s="44" t="s">
        <v>40</v>
      </c>
      <c r="AO319" s="8">
        <f t="shared" si="670"/>
        <v>22147.411696154573</v>
      </c>
      <c r="AP319" s="8">
        <f>IFERROR(C319*_xlfn.XLOOKUP(E319,Groups!A:A,Groups!K:K),0.106*C319^0.94)</f>
        <v>12.475</v>
      </c>
      <c r="AQ319" s="8">
        <f>AP319*10000/(_xlfn.XLOOKUP(E319,Groups!A:A,Groups!J:J)*AO319)</f>
        <v>5.1676260347964442</v>
      </c>
      <c r="AR319" s="8">
        <f t="shared" si="671"/>
        <v>2659.7495843014949</v>
      </c>
      <c r="AS319" s="8">
        <f>IF(_xlfn.XLOOKUP(E319,Groups!A:A,Groups!M:M)=1,EXP(0.7444*LN('Base stats'!C319)+6.5696),EXP(0.7927*LN('Base stats'!C319)+4.28))</f>
        <v>2780.8680507952254</v>
      </c>
      <c r="AT319" s="8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IF(_xlfn.XLOOKUP(E319,Groups!A:A,Groups!N:N)="Theropod",EXP(0.6966*LN(C319)+4.158)*S319,
"No"))))))))))))))))</f>
        <v>4101.6104853476181</v>
      </c>
      <c r="AU319" s="8">
        <f>IF(_xlfn.XLOOKUP(E319,Groups!A:A,Groups!U:U)=3,AS319,IF(_xlfn.XLOOKUP(E319,Groups!A:A,Groups!U:U)=2,AR319,AT319))</f>
        <v>2780.8680507952254</v>
      </c>
      <c r="AV319" s="46">
        <f>IFERROR(AVERAGE(_xlfn.XLOOKUP(B319,Animals!B:B,Animals!N:N),_xlfn.XLOOKUP(B319,Animals!B:B,Animals!O:O)),0)</f>
        <v>0</v>
      </c>
      <c r="AW319" s="8">
        <f>MROUND(40*Animals!AO243*_xlfn.XLOOKUP(Animals!BB243,Leathers!$A$2:$A$99,Leathers!$B$2:$B$99,0)+(140*_xlfn.XLOOKUP(B319,Animals!B:B,Animals!AO:AO)*2),5)</f>
        <v>625</v>
      </c>
      <c r="AX319" s="8">
        <f>IFERROR(ROUND(SQRT(V319-1)*IF(_xlfn.XLOOKUP(E319,Groups!A:A,Groups!BF:BF)=0,2,1)*IF(_xlfn.XLOOKUP('Base stats'!E319,Groups!A:A,Groups!O:O)=0,1,0.1),1),0)</f>
        <v>3.5</v>
      </c>
      <c r="AY319" s="8">
        <f t="shared" si="672"/>
        <v>1.7</v>
      </c>
      <c r="AZ319" s="8">
        <f t="shared" si="673"/>
        <v>3.2</v>
      </c>
      <c r="BA319" s="8">
        <f t="shared" si="674"/>
        <v>4.2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4.9740577711729461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1.986786728895547</v>
      </c>
      <c r="BD319" s="8">
        <f t="shared" si="675"/>
        <v>1.8000562103205242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2.5778541888677213</v>
      </c>
      <c r="BF319" s="8">
        <f>(0.048*C319^1.01)/IF(_xlfn.XLOOKUP(E319,Groups!A:A,Groups!M:M)=1,0.25,0.8)*C319^-0.25</f>
        <v>1.986786728895547</v>
      </c>
      <c r="BG319" s="8">
        <f>EXP(1.076*LN(AR319)-4.5397)*IF(_xlfn.XLOOKUP(E319,Groups!A:A,Groups!BC:BC)=1,1.25,IF(_xlfn.XLOOKUP(E319,Groups!A:A,Groups!BD:BD)=1,3.5,2.5))</f>
        <v>129.27126415643053</v>
      </c>
      <c r="BH319" s="8">
        <f>EXP(1.076*LN(AS319)-4.5397)*IF(_xlfn.XLOOKUP(E319,Groups!A:A,Groups!M:M)=1,0.8,IF(_xlfn.XLOOKUP(E319,Groups!A:A,Groups!BC:BC)=1,1.3,3))</f>
        <v>162.73939114543509</v>
      </c>
      <c r="BI319" s="8">
        <f>IF(W319="No","No",IF(_xlfn.XLOOKUP(E319,Groups!A:A,Groups!U:U)=1,'Base stats'!BJ319,IF(OR(_xlfn.XLOOKUP(E319,Groups!A:A,Groups!BD:BD)=1,_xlfn.XLOOKUP(E319,Groups!A:A,Groups!U:U)=2),BG319,BH319))*1.2)</f>
        <v>195.28726937452211</v>
      </c>
      <c r="BJ319" s="8">
        <f>IFERROR(EXP(1.076*LN(AT319)-4.5397)*IF(_xlfn.XLOOKUP(E319,Groups!A:A,Groups!N:N)="Insect",1,IF(OR(_xlfn.XLOOKUP(E319,Groups!A:A,Groups!N:N)="Pig",_xlfn.XLOOKUP(E319,Groups!A:A,Groups!N:N)="StrongBitingHerbivore"),3.5,3.75)),"No")</f>
        <v>309.0320753075826</v>
      </c>
      <c r="BK319" s="8">
        <f t="shared" si="676"/>
        <v>11</v>
      </c>
      <c r="BL319" s="8">
        <f t="shared" si="677"/>
        <v>11</v>
      </c>
      <c r="BM319" s="8">
        <f t="shared" si="678"/>
        <v>14</v>
      </c>
      <c r="BN319" s="8">
        <f t="shared" si="679"/>
        <v>11</v>
      </c>
      <c r="BO319" s="8">
        <f t="shared" si="680"/>
        <v>12</v>
      </c>
      <c r="BP319" s="8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9.6195248569743513E-2</v>
      </c>
      <c r="BQ319" s="8">
        <f>IF(W319="No","No",IF(_xlfn.XLOOKUP(E319,Groups!A:A,Groups!BD:BD)=1,(AO319*5%),EXP(0.7354*LN(C319)^0.4078)*2/IF(_xlfn.XLOOKUP(E319,Groups!A:A,Groups!BL:BL)=1,1000,100)))</f>
        <v>7.8775256011864914E-2</v>
      </c>
      <c r="BR319" s="8">
        <f>IF(BJ319="No","No",IF(_xlfn.XLOOKUP(E319,Groups!A:A,Groups!BF:BF)=1,(0.0315*C319+2.1825)*2,(0.7354*C319^0.4078)*2)/IF(_xlfn.XLOOKUP(E319,Groups!A:A,Groups!BM:BM)=1,1000,100))</f>
        <v>9.6195248569743513E-2</v>
      </c>
      <c r="BS319" s="8">
        <f t="shared" si="681"/>
        <v>0.11673713021632748</v>
      </c>
      <c r="BT319" s="8">
        <f t="shared" si="682"/>
        <v>1691.7612206952792</v>
      </c>
      <c r="BU319" s="8">
        <f t="shared" si="683"/>
        <v>2479.0432841641095</v>
      </c>
      <c r="BV319" s="8">
        <f t="shared" si="684"/>
        <v>3212.5503068223588</v>
      </c>
      <c r="BW319" s="4">
        <v>0</v>
      </c>
      <c r="BX319" s="4">
        <v>1</v>
      </c>
    </row>
    <row r="320" spans="1:76" s="16" customFormat="1" x14ac:dyDescent="0.25">
      <c r="A320" s="26" t="s">
        <v>1531</v>
      </c>
      <c r="B320" s="6" t="s">
        <v>1872</v>
      </c>
      <c r="C320" s="7">
        <v>75</v>
      </c>
      <c r="D320" s="7" t="s">
        <v>528</v>
      </c>
      <c r="E320" s="7" t="str">
        <f>Groups!$A$105</f>
        <v>Doglike (FOUR EYES)</v>
      </c>
      <c r="F320" s="7">
        <v>80</v>
      </c>
      <c r="G320" s="7">
        <v>2</v>
      </c>
      <c r="H320" s="7">
        <v>25</v>
      </c>
      <c r="I320" s="4">
        <v>0</v>
      </c>
      <c r="J320" s="7">
        <v>4</v>
      </c>
      <c r="K320" s="7" t="s">
        <v>528</v>
      </c>
      <c r="L320" s="7">
        <v>65</v>
      </c>
      <c r="M320" s="7" t="s">
        <v>627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 t="s">
        <v>45</v>
      </c>
      <c r="V320" s="7">
        <f>IF(AT320="No","No",IF(_xlfn.XLOOKUP(E320,Groups!A:A,Groups!AM:AM)=1,MROUND(EXP(0.3582*LN(C320)-0.2221)*T320,0.05),IF(_xlfn.XLOOKUP(E320,Groups!A:A,Groups!AM:AM)=2,MROUND(EXP(0.3582*LN(C320)-0.2221)*T320,0.05),"Need a formula")))</f>
        <v>3.75</v>
      </c>
      <c r="W320" s="7" t="s">
        <v>45</v>
      </c>
      <c r="X320" s="7" t="s">
        <v>933</v>
      </c>
      <c r="Y320" s="4" t="s">
        <v>56</v>
      </c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 t="s">
        <v>452</v>
      </c>
      <c r="AG320" s="28" t="s">
        <v>1788</v>
      </c>
      <c r="AH320" s="4" t="s">
        <v>45</v>
      </c>
      <c r="AI320" s="4">
        <v>0</v>
      </c>
      <c r="AJ320" s="4">
        <v>0</v>
      </c>
      <c r="AK320" s="4">
        <v>0</v>
      </c>
      <c r="AL320" s="4">
        <v>0</v>
      </c>
      <c r="AM320" s="4">
        <v>1</v>
      </c>
      <c r="AN320" s="44" t="s">
        <v>40</v>
      </c>
      <c r="AO320" s="8">
        <f t="shared" si="670"/>
        <v>18370.154123032575</v>
      </c>
      <c r="AP320" s="8">
        <f>IFERROR(C320*_xlfn.XLOOKUP(E320,Groups!A:A,Groups!K:K),0.106*C320^0.94)</f>
        <v>9.3562499999999993</v>
      </c>
      <c r="AQ320" s="8">
        <f>AP320*10000/(_xlfn.XLOOKUP(E320,Groups!A:A,Groups!J:J)*AO320)</f>
        <v>4.6726421231098856</v>
      </c>
      <c r="AR320" s="8">
        <f t="shared" si="671"/>
        <v>2085.9553057247513</v>
      </c>
      <c r="AS320" s="8">
        <f>IF(_xlfn.XLOOKUP(E320,Groups!A:A,Groups!M:M)=1,EXP(0.7444*LN('Base stats'!C320)+6.5696),EXP(0.7927*LN('Base stats'!C320)+4.28))</f>
        <v>2213.8156132087702</v>
      </c>
      <c r="AT320" s="8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IF(_xlfn.XLOOKUP(E320,Groups!A:A,Groups!N:N)="Theropod",EXP(0.6966*LN(C320)+4.158)*S320,
"No"))))))))))))))))</f>
        <v>4859.7501426511963</v>
      </c>
      <c r="AU320" s="8">
        <f>IF(_xlfn.XLOOKUP(E320,Groups!A:A,Groups!U:U)=3,AS320,IF(_xlfn.XLOOKUP(E320,Groups!A:A,Groups!U:U)=2,AR320,AT320))</f>
        <v>4859.7501426511963</v>
      </c>
      <c r="AV320" s="46">
        <f>IFERROR(AVERAGE(_xlfn.XLOOKUP(B320,Animals!B:B,Animals!N:N),_xlfn.XLOOKUP(B320,Animals!B:B,Animals!O:O)),0)</f>
        <v>0</v>
      </c>
      <c r="AW320" s="8">
        <f>MROUND(40*Animals!AO290*_xlfn.XLOOKUP(Animals!BB290,Leathers!$A$2:$A$99,Leathers!$B$2:$B$99,0)+(140*_xlfn.XLOOKUP(B320,Animals!B:B,Animals!AO:AO)*2),5)</f>
        <v>955</v>
      </c>
      <c r="AX320" s="8">
        <f>IFERROR(ROUND(SQRT(V320-1)*IF(_xlfn.XLOOKUP(E320,Groups!A:A,Groups!BF:BF)=0,2,1)*IF(_xlfn.XLOOKUP('Base stats'!E320,Groups!A:A,Groups!O:O)=0,1,0.1),1),0)</f>
        <v>3.3</v>
      </c>
      <c r="AY320" s="8">
        <f t="shared" si="672"/>
        <v>0</v>
      </c>
      <c r="AZ320" s="8">
        <f t="shared" si="673"/>
        <v>0</v>
      </c>
      <c r="BA320" s="8">
        <f t="shared" si="674"/>
        <v>3.8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5.9271226289680614</v>
      </c>
      <c r="BC320" s="8" t="str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No</v>
      </c>
      <c r="BD320" s="8">
        <f t="shared" si="675"/>
        <v>1.4173006193208777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2.0597102686377133</v>
      </c>
      <c r="BF320" s="8">
        <f>(0.048*C320^1.01)/IF(_xlfn.XLOOKUP(E320,Groups!A:A,Groups!M:M)=1,0.25,0.8)*C320^-0.25</f>
        <v>1.5966061968924099</v>
      </c>
      <c r="BG320" s="8">
        <f>EXP(1.076*LN(AR320)-4.5397)*IF(_xlfn.XLOOKUP(E320,Groups!A:A,Groups!BC:BC)=1,1.25,IF(_xlfn.XLOOKUP(E320,Groups!A:A,Groups!BD:BD)=1,3.5,2.5))</f>
        <v>99.528057496187628</v>
      </c>
      <c r="BH320" s="8">
        <f>EXP(1.076*LN(AS320)-4.5397)*IF(_xlfn.XLOOKUP(E320,Groups!A:A,Groups!M:M)=1,0.8,IF(_xlfn.XLOOKUP(E320,Groups!A:A,Groups!BC:BC)=1,1.3,3))</f>
        <v>127.32884252216101</v>
      </c>
      <c r="BI320" s="8" t="str">
        <f>IF(W320="No","No",IF(_xlfn.XLOOKUP(E320,Groups!A:A,Groups!U:U)=1,'Base stats'!BJ320,IF(OR(_xlfn.XLOOKUP(E320,Groups!A:A,Groups!BD:BD)=1,_xlfn.XLOOKUP(E320,Groups!A:A,Groups!U:U)=2),BG320,BH320))*1.2)</f>
        <v>No</v>
      </c>
      <c r="BJ320" s="8">
        <f>IFERROR(EXP(1.076*LN(AT320)-4.5397)*IF(_xlfn.XLOOKUP(E320,Groups!A:A,Groups!N:N)="Insect",1,IF(OR(_xlfn.XLOOKUP(E320,Groups!A:A,Groups!N:N)="Pig",_xlfn.XLOOKUP(E320,Groups!A:A,Groups!N:N)="StrongBitingHerbivore"),3.5,3.75)),"No")</f>
        <v>370.90373692233248</v>
      </c>
      <c r="BK320" s="8">
        <f t="shared" si="676"/>
        <v>11</v>
      </c>
      <c r="BL320" s="8">
        <f t="shared" si="677"/>
        <v>11</v>
      </c>
      <c r="BM320" s="8" t="str">
        <f t="shared" si="678"/>
        <v>No</v>
      </c>
      <c r="BN320" s="8">
        <f t="shared" si="679"/>
        <v>11</v>
      </c>
      <c r="BO320" s="8">
        <f t="shared" si="680"/>
        <v>12</v>
      </c>
      <c r="BP320" s="8" t="str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No</v>
      </c>
      <c r="BQ320" s="8" t="str">
        <f>IF(W320="No","No",IF(_xlfn.XLOOKUP(E320,Groups!A:A,Groups!BD:BD)=1,(AO320*5%),EXP(0.7354*LN(C320)^0.4078)*2/IF(_xlfn.XLOOKUP(E320,Groups!A:A,Groups!BL:BL)=1,1000,100)))</f>
        <v>No</v>
      </c>
      <c r="BR320" s="8">
        <f>IF(BJ320="No","No",IF(_xlfn.XLOOKUP(E320,Groups!A:A,Groups!BF:BF)=1,(0.0315*C320+2.1825)*2,(0.7354*C320^0.4078)*2)/IF(_xlfn.XLOOKUP(E320,Groups!A:A,Groups!BM:BM)=1,1000,100))</f>
        <v>8.5546767622836375E-2</v>
      </c>
      <c r="BS320" s="8">
        <f t="shared" si="681"/>
        <v>0.10835843491525086</v>
      </c>
      <c r="BT320" s="8" t="str">
        <f t="shared" si="682"/>
        <v>No</v>
      </c>
      <c r="BU320" s="8" t="str">
        <f t="shared" si="683"/>
        <v>No</v>
      </c>
      <c r="BV320" s="8">
        <f t="shared" si="684"/>
        <v>4335.6838280271995</v>
      </c>
      <c r="BW320" s="4">
        <v>0</v>
      </c>
      <c r="BX320" s="4">
        <v>1</v>
      </c>
    </row>
    <row r="321" spans="1:76" s="16" customFormat="1" x14ac:dyDescent="0.25">
      <c r="A321" s="26" t="s">
        <v>1535</v>
      </c>
      <c r="B321" s="6" t="s">
        <v>1678</v>
      </c>
      <c r="C321" s="7">
        <v>75</v>
      </c>
      <c r="D321" s="7" t="s">
        <v>528</v>
      </c>
      <c r="E321" s="7" t="str">
        <f>Groups!$A$105</f>
        <v>Doglike (FOUR EYES)</v>
      </c>
      <c r="F321" s="7">
        <v>80</v>
      </c>
      <c r="G321" s="7">
        <v>2</v>
      </c>
      <c r="H321" s="7">
        <v>25</v>
      </c>
      <c r="I321" s="4">
        <v>0</v>
      </c>
      <c r="J321" s="7">
        <v>4</v>
      </c>
      <c r="K321" s="7" t="s">
        <v>528</v>
      </c>
      <c r="L321" s="7">
        <v>65</v>
      </c>
      <c r="M321" s="7" t="s">
        <v>627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 t="s">
        <v>45</v>
      </c>
      <c r="V321" s="7">
        <f>IF(AT321="No","No",IF(_xlfn.XLOOKUP(E321,Groups!A:A,Groups!AM:AM)=1,MROUND(EXP(0.3582*LN(C321)-0.2221)*T321,0.05),IF(_xlfn.XLOOKUP(E321,Groups!A:A,Groups!AM:AM)=2,MROUND(EXP(0.3582*LN(C321)-0.2221)*T321,0.05),"Need a formula")))</f>
        <v>3.75</v>
      </c>
      <c r="W321" s="7" t="s">
        <v>45</v>
      </c>
      <c r="X321" s="7" t="s">
        <v>933</v>
      </c>
      <c r="Y321" s="4" t="s">
        <v>56</v>
      </c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 t="s">
        <v>452</v>
      </c>
      <c r="AG321" s="28" t="s">
        <v>1788</v>
      </c>
      <c r="AH321" s="4" t="str">
        <f>Animals!$C$306</f>
        <v>&lt;li&gt;AA_Nightling&lt;/li&gt;</v>
      </c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ref="AO321" si="685">(0.111*C321^0.65)*10000</f>
        <v>18370.154123032575</v>
      </c>
      <c r="AP321" s="8">
        <f>IFERROR(C321*_xlfn.XLOOKUP(E321,Groups!A:A,Groups!K:K),0.106*C321^0.94)</f>
        <v>9.3562499999999993</v>
      </c>
      <c r="AQ321" s="8">
        <f>AP321*10000/(_xlfn.XLOOKUP(E321,Groups!A:A,Groups!J:J)*AO321)</f>
        <v>4.6726421231098856</v>
      </c>
      <c r="AR321" s="8">
        <f t="shared" ref="AR321" si="686">EXP(0.8447*LN(C321)+3.996)</f>
        <v>2085.9553057247513</v>
      </c>
      <c r="AS321" s="8">
        <f>IF(_xlfn.XLOOKUP(E321,Groups!A:A,Groups!M:M)=1,EXP(0.7444*LN('Base stats'!C321)+6.5696),EXP(0.7927*LN('Base stats'!C321)+4.28))</f>
        <v>2213.8156132087702</v>
      </c>
      <c r="AT321" s="8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IF(_xlfn.XLOOKUP(E321,Groups!A:A,Groups!N:N)="Theropod",EXP(0.6966*LN(C321)+4.158)*S321,
"No"))))))))))))))))</f>
        <v>4859.7501426511963</v>
      </c>
      <c r="AU321" s="8">
        <f>IF(_xlfn.XLOOKUP(E321,Groups!A:A,Groups!U:U)=3,AS321,IF(_xlfn.XLOOKUP(E321,Groups!A:A,Groups!U:U)=2,AR321,AT321))</f>
        <v>4859.7501426511963</v>
      </c>
      <c r="AV321" s="46">
        <f>IFERROR(AVERAGE(_xlfn.XLOOKUP(B321,Animals!B:B,Animals!N:N),_xlfn.XLOOKUP(B321,Animals!B:B,Animals!O:O)),0)</f>
        <v>0</v>
      </c>
      <c r="AW321" s="8">
        <f>MROUND(40*Animals!AO292*_xlfn.XLOOKUP(Animals!BB292,Leathers!$A$2:$A$99,Leathers!$B$2:$B$99,0)+(140*_xlfn.XLOOKUP(B321,Animals!B:B,Animals!AO:AO)*2),5)</f>
        <v>295</v>
      </c>
      <c r="AX321" s="8">
        <f>IFERROR(ROUND(SQRT(V321-1)*IF(_xlfn.XLOOKUP(E321,Groups!A:A,Groups!BF:BF)=0,2,1)*IF(_xlfn.XLOOKUP('Base stats'!E321,Groups!A:A,Groups!O:O)=0,1,0.1),1),0)</f>
        <v>3.3</v>
      </c>
      <c r="AY321" s="8">
        <f t="shared" ref="AY321" si="687">IFERROR(ROUND(SQRT(U321-1),1),0)</f>
        <v>0</v>
      </c>
      <c r="AZ321" s="8">
        <f t="shared" ref="AZ321" si="688">IFERROR(ROUND(SQRT(W321),1),0)</f>
        <v>0</v>
      </c>
      <c r="BA321" s="8">
        <f t="shared" ref="BA321" si="689">ROUND(
  EXP(0.3582*LN(C321)-0.2221) *
  (0.75 + 0.25*(C321^4/(C321^4+10^4))),
1)</f>
        <v>3.8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5.9271226289680614</v>
      </c>
      <c r="BC321" s="8" t="str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No</v>
      </c>
      <c r="BD321" s="8">
        <f t="shared" ref="BD321" si="690">(0.0392*C321^IF(OR(Y321="Herbivore",Y321="Dendrovore",Y321="OmnivoreRough"),0.889,0.966))*C321^-0.135</f>
        <v>1.4173006193208777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2.0597102686377133</v>
      </c>
      <c r="BF321" s="8">
        <f>(0.048*C321^1.01)/IF(_xlfn.XLOOKUP(E321,Groups!A:A,Groups!M:M)=1,0.25,0.8)*C321^-0.25</f>
        <v>1.5966061968924099</v>
      </c>
      <c r="BG321" s="8">
        <f>EXP(1.076*LN(AR321)-4.5397)*IF(_xlfn.XLOOKUP(E321,Groups!A:A,Groups!BC:BC)=1,1.25,IF(_xlfn.XLOOKUP(E321,Groups!A:A,Groups!BD:BD)=1,3.5,2.5))</f>
        <v>99.528057496187628</v>
      </c>
      <c r="BH321" s="8">
        <f>EXP(1.076*LN(AS321)-4.5397)*IF(_xlfn.XLOOKUP(E321,Groups!A:A,Groups!M:M)=1,0.8,IF(_xlfn.XLOOKUP(E321,Groups!A:A,Groups!BC:BC)=1,1.3,3))</f>
        <v>127.32884252216101</v>
      </c>
      <c r="BI321" s="8" t="str">
        <f>IF(W321="No","No",IF(_xlfn.XLOOKUP(E321,Groups!A:A,Groups!U:U)=1,'Base stats'!BJ321,IF(OR(_xlfn.XLOOKUP(E321,Groups!A:A,Groups!BD:BD)=1,_xlfn.XLOOKUP(E321,Groups!A:A,Groups!U:U)=2),BG321,BH321))*1.2)</f>
        <v>No</v>
      </c>
      <c r="BJ321" s="8">
        <f>IFERROR(EXP(1.076*LN(AT321)-4.5397)*IF(_xlfn.XLOOKUP(E321,Groups!A:A,Groups!N:N)="Insect",1,IF(OR(_xlfn.XLOOKUP(E321,Groups!A:A,Groups!N:N)="Pig",_xlfn.XLOOKUP(E321,Groups!A:A,Groups!N:N)="StrongBitingHerbivore"),3.5,3.75)),"No")</f>
        <v>370.90373692233248</v>
      </c>
      <c r="BK321" s="8">
        <f t="shared" ref="BK321" si="691">ROUNDDOWN(SQRT((2*BG321)/BD321),0)</f>
        <v>11</v>
      </c>
      <c r="BL321" s="8">
        <f t="shared" ref="BL321" si="692">ROUNDDOWN(SQRT((2*BH321)/BE321),0)</f>
        <v>11</v>
      </c>
      <c r="BM321" s="8" t="str">
        <f t="shared" ref="BM321" si="693">IF(W321="No","No",ROUNDDOWN(SQRT((2*BI321)/BC321),0))</f>
        <v>No</v>
      </c>
      <c r="BN321" s="8">
        <f t="shared" ref="BN321" si="694">IF(V321="No","No",ROUNDDOWN(SQRT((2*BJ321)/BB321),0))</f>
        <v>11</v>
      </c>
      <c r="BO321" s="8">
        <f t="shared" ref="BO321" si="695">ROUNDDOWN(SQRT((2*BH321)/BF321),0)</f>
        <v>12</v>
      </c>
      <c r="BP321" s="8" t="str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No</v>
      </c>
      <c r="BQ321" s="8" t="str">
        <f>IF(W321="No","No",IF(_xlfn.XLOOKUP(E321,Groups!A:A,Groups!BD:BD)=1,(AO321*5%),EXP(0.7354*LN(C321)^0.4078)*2/IF(_xlfn.XLOOKUP(E321,Groups!A:A,Groups!BL:BL)=1,1000,100)))</f>
        <v>No</v>
      </c>
      <c r="BR321" s="8">
        <f>IF(BJ321="No","No",IF(_xlfn.XLOOKUP(E321,Groups!A:A,Groups!BF:BF)=1,(0.0315*C321+2.1825)*2,(0.7354*C321^0.4078)*2)/IF(_xlfn.XLOOKUP(E321,Groups!A:A,Groups!BM:BM)=1,1000,100))</f>
        <v>8.5546767622836375E-2</v>
      </c>
      <c r="BS321" s="8">
        <f t="shared" ref="BS321" si="696">BG321/(AO321*5%)</f>
        <v>0.10835843491525086</v>
      </c>
      <c r="BT321" s="8" t="str">
        <f t="shared" ref="BT321" si="697">IF(BP321="No","No",BH321/BP321)</f>
        <v>No</v>
      </c>
      <c r="BU321" s="8" t="str">
        <f t="shared" ref="BU321" si="698">IF(W321="No","No",BI321/BQ321)</f>
        <v>No</v>
      </c>
      <c r="BV321" s="8">
        <f t="shared" ref="BV321" si="699">IF(BJ321="No","No",BJ321/BR321)</f>
        <v>4335.6838280271995</v>
      </c>
      <c r="BW321" s="4">
        <v>0</v>
      </c>
      <c r="BX321" s="4">
        <v>1</v>
      </c>
    </row>
    <row r="322" spans="1:76" s="16" customFormat="1" x14ac:dyDescent="0.25">
      <c r="A322" s="26" t="s">
        <v>1509</v>
      </c>
      <c r="B322" s="6" t="s">
        <v>1668</v>
      </c>
      <c r="C322" s="7">
        <v>200</v>
      </c>
      <c r="D322" s="7" t="s">
        <v>528</v>
      </c>
      <c r="E322" s="7" t="str">
        <f>Groups!$A$6</f>
        <v>Bird (STRONG BEAK, SMART)</v>
      </c>
      <c r="F322" s="7" t="str">
        <f t="shared" ref="F322" si="700">"Lay eggs"</f>
        <v>Lay eggs</v>
      </c>
      <c r="G322" s="7">
        <v>2.8</v>
      </c>
      <c r="H322" s="7">
        <v>50</v>
      </c>
      <c r="I322" s="4">
        <v>0</v>
      </c>
      <c r="J322" s="7" t="str">
        <f t="shared" ref="J322" si="701">"Lay eggs"</f>
        <v>Lay eggs</v>
      </c>
      <c r="K322" s="7" t="s">
        <v>528</v>
      </c>
      <c r="L322" s="7">
        <f>($L$5*(C322/$C$5)^0.165)*1.3</f>
        <v>68.739944791456935</v>
      </c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>
        <v>14</v>
      </c>
      <c r="V322" s="7">
        <v>16</v>
      </c>
      <c r="W322" s="7" t="str">
        <f>IF(_xlfn.XLOOKUP(E322,Groups!A:A,Groups!V:V)&lt;&gt;"No","Need a formula","No")</f>
        <v>No</v>
      </c>
      <c r="X322" s="7" t="s">
        <v>933</v>
      </c>
      <c r="Y322" s="4" t="s">
        <v>1008</v>
      </c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 t="s">
        <v>311</v>
      </c>
      <c r="AG322" s="28" t="s">
        <v>375</v>
      </c>
      <c r="AH322" s="4" t="s">
        <v>45</v>
      </c>
      <c r="AI322" s="4">
        <v>1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ref="AO322:AO328" si="702">(0.111*C322^0.65)*10000</f>
        <v>34753.014052750754</v>
      </c>
      <c r="AP322" s="8">
        <f>IFERROR(C322*_xlfn.XLOOKUP(E322,Groups!A:A,Groups!K:K),0.106*C322^0.94)</f>
        <v>15.426736488345595</v>
      </c>
      <c r="AQ322" s="8">
        <f>AP322*10000/(_xlfn.XLOOKUP(E322,Groups!A:A,Groups!J:J)*AO322)</f>
        <v>4.0724436832674371</v>
      </c>
      <c r="AR322" s="8">
        <f t="shared" ref="AR322:AR328" si="703">EXP(0.8447*LN(C322)+3.996)</f>
        <v>4776.6210371506204</v>
      </c>
      <c r="AS322" s="8">
        <f>IF(_xlfn.XLOOKUP(E322,Groups!A:A,Groups!M:M)=1,EXP(0.7444*LN('Base stats'!C322)+6.5696),EXP(0.7927*LN('Base stats'!C322)+4.28))</f>
        <v>4817.3351295400244</v>
      </c>
      <c r="AT322" s="8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IF(_xlfn.XLOOKUP(E322,Groups!A:A,Groups!N:N)="Theropod",EXP(0.6966*LN(C322)+4.158)*S322,
"No"))))))))))))))))</f>
        <v>797443.82742218068</v>
      </c>
      <c r="AU322" s="8">
        <f>IF(_xlfn.XLOOKUP(E322,Groups!A:A,Groups!U:U)=3,AS322,IF(_xlfn.XLOOKUP(E322,Groups!A:A,Groups!U:U)=2,AR322,AT322))</f>
        <v>797443.82742218068</v>
      </c>
      <c r="AV322" s="46">
        <f>IFERROR(AVERAGE(_xlfn.XLOOKUP(B322,Animals!B:B,Animals!N:N),_xlfn.XLOOKUP(B322,Animals!B:B,Animals!O:O)),0)</f>
        <v>0</v>
      </c>
      <c r="AW322" s="8">
        <f>MROUND(40*Animals!AO280*_xlfn.XLOOKUP(Animals!BB280,Leathers!$A$2:$A$99,Leathers!$B$2:$B$99,0)+(140*_xlfn.XLOOKUP(B322,Animals!B:B,Animals!AO:AO)*2),5)</f>
        <v>840</v>
      </c>
      <c r="AX322" s="8">
        <f>IFERROR(ROUND(SQRT(V322-1)*IF(_xlfn.XLOOKUP(E322,Groups!A:A,Groups!BF:BF)=0,2,1)*IF(_xlfn.XLOOKUP('Base stats'!E322,Groups!A:A,Groups!O:O)=0,1,0.1),1),0)</f>
        <v>0.4</v>
      </c>
      <c r="AY322" s="8">
        <f t="shared" ref="AY322:AY328" si="704">IFERROR(ROUND(SQRT(U322-1),1),0)</f>
        <v>3.6</v>
      </c>
      <c r="AZ322" s="8">
        <f t="shared" ref="AZ322:AZ328" si="705">IFERROR(ROUND(SQRT(W322),1),0)</f>
        <v>0</v>
      </c>
      <c r="BA322" s="8">
        <f t="shared" ref="BA322:BA328" si="706">ROUND(
  EXP(0.3582*LN(C322)-0.2221) *
  (0.75 + 0.25*(C322^4/(C322^4+10^4))),
1)</f>
        <v>5.3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795.62123118179443</v>
      </c>
      <c r="BC322" s="8" t="str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No</v>
      </c>
      <c r="BD322" s="8">
        <f t="shared" ref="BD322:BD328" si="707">(0.0392*C322^IF(OR(Y322="Herbivore",Y322="Dendrovore",Y322="OmnivoreRough"),0.889,0.966))*C322^-0.135</f>
        <v>2.1294266438436793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7.1181967724464226</v>
      </c>
      <c r="BF322" s="8">
        <f>(0.048*C322^1.01)/IF(_xlfn.XLOOKUP(E322,Groups!A:A,Groups!M:M)=1,0.25,0.8)*C322^-0.25</f>
        <v>3.3646046987127658</v>
      </c>
      <c r="BG322" s="8">
        <f>EXP(1.076*LN(AR322)-4.5397)*IF(_xlfn.XLOOKUP(E322,Groups!A:A,Groups!BC:BC)=1,1.25,IF(_xlfn.XLOOKUP(E322,Groups!A:A,Groups!BD:BD)=1,3.5,2.5))</f>
        <v>242.72097948417178</v>
      </c>
      <c r="BH322" s="8">
        <f>EXP(1.076*LN(AS322)-4.5397)*IF(_xlfn.XLOOKUP(E322,Groups!A:A,Groups!M:M)=1,0.8,IF(_xlfn.XLOOKUP(E322,Groups!A:A,Groups!BC:BC)=1,1.3,3))</f>
        <v>293.93735151357987</v>
      </c>
      <c r="BI322" s="8" t="str">
        <f>IF(W322="No","No",IF(_xlfn.XLOOKUP(E322,Groups!A:A,Groups!U:U)=1,'Base stats'!BJ322,IF(OR(_xlfn.XLOOKUP(E322,Groups!A:A,Groups!BD:BD)=1,_xlfn.XLOOKUP(E322,Groups!A:A,Groups!U:U)=2),BG322,BH322))*1.2)</f>
        <v>No</v>
      </c>
      <c r="BJ322" s="8">
        <f>IFERROR(EXP(1.076*LN(AT322)-4.5397)*IF(_xlfn.XLOOKUP(E322,Groups!A:A,Groups!N:N)="Insect",1,IF(OR(_xlfn.XLOOKUP(E322,Groups!A:A,Groups!N:N)="Pig",_xlfn.XLOOKUP(E322,Groups!A:A,Groups!N:N)="StrongBitingHerbivore"),3.5,3.75)),"No")</f>
        <v>89679.652480559889</v>
      </c>
      <c r="BK322" s="8">
        <f t="shared" ref="BK322:BL328" si="708">ROUNDDOWN(SQRT((2*BG322)/BD322),0)</f>
        <v>15</v>
      </c>
      <c r="BL322" s="8">
        <f t="shared" si="708"/>
        <v>9</v>
      </c>
      <c r="BM322" s="8" t="str">
        <f t="shared" ref="BM322:BM328" si="709">IF(W322="No","No",ROUNDDOWN(SQRT((2*BI322)/BC322),0))</f>
        <v>No</v>
      </c>
      <c r="BN322" s="8">
        <f t="shared" ref="BN322:BN328" si="710">IF(V322="No","No",ROUNDDOWN(SQRT((2*BJ322)/BB322),0))</f>
        <v>15</v>
      </c>
      <c r="BO322" s="8">
        <f t="shared" ref="BO322:BO328" si="711">ROUNDDOWN(SQRT((2*BH322)/BF322),0)</f>
        <v>13</v>
      </c>
      <c r="BP322" s="8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0.12761850520553555</v>
      </c>
      <c r="BQ322" s="8" t="str">
        <f>IF(W322="No","No",IF(_xlfn.XLOOKUP(E322,Groups!A:A,Groups!BD:BD)=1,(AO322*5%),EXP(0.7354*LN(C322)^0.4078)*2/IF(_xlfn.XLOOKUP(E322,Groups!A:A,Groups!BL:BL)=1,1000,100)))</f>
        <v>No</v>
      </c>
      <c r="BR322" s="8">
        <f>IF(BJ322="No","No",IF(_xlfn.XLOOKUP(E322,Groups!A:A,Groups!BF:BF)=1,(0.0315*C322+2.1825)*2,(0.7354*C322^0.4078)*2)/IF(_xlfn.XLOOKUP(E322,Groups!A:A,Groups!BM:BM)=1,1000,100))</f>
        <v>0.16965</v>
      </c>
      <c r="BS322" s="8">
        <f t="shared" ref="BS322:BS328" si="712">BG322/(AO322*5%)</f>
        <v>0.13968341227368164</v>
      </c>
      <c r="BT322" s="8">
        <f t="shared" ref="BT322:BT328" si="713">IF(BP322="No","No",BH322/BP322)</f>
        <v>2303.2502303657297</v>
      </c>
      <c r="BU322" s="8" t="str">
        <f t="shared" ref="BU322:BU328" si="714">IF(W322="No","No",BI322/BQ322)</f>
        <v>No</v>
      </c>
      <c r="BV322" s="8">
        <f t="shared" ref="BV322:BV328" si="715">IF(BJ322="No","No",BJ322/BR322)</f>
        <v>528615.69396144943</v>
      </c>
      <c r="BW322" s="4">
        <v>0</v>
      </c>
      <c r="BX322" s="4">
        <v>1</v>
      </c>
    </row>
    <row r="323" spans="1:76" s="16" customFormat="1" x14ac:dyDescent="0.25">
      <c r="A323" s="26" t="s">
        <v>1525</v>
      </c>
      <c r="B323" s="6" t="s">
        <v>1676</v>
      </c>
      <c r="C323" s="7">
        <v>200</v>
      </c>
      <c r="D323" s="7" t="s">
        <v>528</v>
      </c>
      <c r="E323" s="7" t="str">
        <f>Groups!$A$117</f>
        <v>Bird (STRONG BEAK, SMART, FOUR EYES)</v>
      </c>
      <c r="F323" s="7" t="str">
        <f t="shared" ref="F323" si="716">"Lay eggs"</f>
        <v>Lay eggs</v>
      </c>
      <c r="G323" s="7">
        <v>2.8</v>
      </c>
      <c r="H323" s="7">
        <v>50</v>
      </c>
      <c r="I323" s="4">
        <v>0</v>
      </c>
      <c r="J323" s="7" t="str">
        <f t="shared" ref="J323" si="717">"Lay eggs"</f>
        <v>Lay eggs</v>
      </c>
      <c r="K323" s="7" t="s">
        <v>528</v>
      </c>
      <c r="L323" s="7">
        <f>($L$5*(C323/$C$5)^0.165)*1.3</f>
        <v>68.739944791456935</v>
      </c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>
        <v>14</v>
      </c>
      <c r="V323" s="7">
        <v>16</v>
      </c>
      <c r="W323" s="7" t="str">
        <f>IF(_xlfn.XLOOKUP(E323,Groups!A:A,Groups!V:V)&lt;&gt;"No","Need a formula","No")</f>
        <v>No</v>
      </c>
      <c r="X323" s="7" t="s">
        <v>933</v>
      </c>
      <c r="Y323" s="4" t="s">
        <v>1008</v>
      </c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 t="s">
        <v>311</v>
      </c>
      <c r="AG323" s="28" t="s">
        <v>375</v>
      </c>
      <c r="AH323" s="4" t="str">
        <f>Animals!$C$295</f>
        <v>&lt;li&gt;AA_MeadowAve&lt;/li&gt;</v>
      </c>
      <c r="AI323" s="4">
        <v>1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702"/>
        <v>34753.014052750754</v>
      </c>
      <c r="AP323" s="8">
        <f>IFERROR(C323*_xlfn.XLOOKUP(E323,Groups!A:A,Groups!K:K),0.106*C323^0.94)</f>
        <v>15.426736488345595</v>
      </c>
      <c r="AQ323" s="8">
        <f>AP323*10000/(_xlfn.XLOOKUP(E323,Groups!A:A,Groups!J:J)*AO323)</f>
        <v>4.0724436832674371</v>
      </c>
      <c r="AR323" s="8">
        <f t="shared" si="703"/>
        <v>4776.6210371506204</v>
      </c>
      <c r="AS323" s="8">
        <f>IF(_xlfn.XLOOKUP(E323,Groups!A:A,Groups!M:M)=1,EXP(0.7444*LN('Base stats'!C323)+6.5696),EXP(0.7927*LN('Base stats'!C323)+4.28))</f>
        <v>4817.3351295400244</v>
      </c>
      <c r="AT323" s="8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IF(_xlfn.XLOOKUP(E323,Groups!A:A,Groups!N:N)="Theropod",EXP(0.6966*LN(C323)+4.158)*S323,
"No"))))))))))))))))</f>
        <v>549.787376989412</v>
      </c>
      <c r="AU323" s="8">
        <f>IF(_xlfn.XLOOKUP(E323,Groups!A:A,Groups!U:U)=3,AS323,IF(_xlfn.XLOOKUP(E323,Groups!A:A,Groups!U:U)=2,AR323,AT323))</f>
        <v>549.787376989412</v>
      </c>
      <c r="AV323" s="46">
        <f>IFERROR(AVERAGE(_xlfn.XLOOKUP(B323,Animals!B:B,Animals!N:N),_xlfn.XLOOKUP(B323,Animals!B:B,Animals!O:O)),0)</f>
        <v>0</v>
      </c>
      <c r="AW323" s="8">
        <f>MROUND(40*Animals!AO288*_xlfn.XLOOKUP(Animals!BB288,Leathers!$A$2:$A$99,Leathers!$B$2:$B$99,0)+(140*_xlfn.XLOOKUP(B323,Animals!B:B,Animals!AO:AO)*2),5)</f>
        <v>505</v>
      </c>
      <c r="AX323" s="8">
        <f>IFERROR(ROUND(SQRT(V323-1)*IF(_xlfn.XLOOKUP(E323,Groups!A:A,Groups!BF:BF)=0,2,1)*IF(_xlfn.XLOOKUP('Base stats'!E323,Groups!A:A,Groups!O:O)=0,1,0.1),1),0)</f>
        <v>0.4</v>
      </c>
      <c r="AY323" s="8">
        <f t="shared" si="704"/>
        <v>3.6</v>
      </c>
      <c r="AZ323" s="8">
        <f t="shared" si="705"/>
        <v>0</v>
      </c>
      <c r="BA323" s="8">
        <f t="shared" si="706"/>
        <v>5.3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1.0688790834839013</v>
      </c>
      <c r="BC323" s="8" t="str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No</v>
      </c>
      <c r="BD323" s="8">
        <f t="shared" si="707"/>
        <v>2.1294266438436793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7.1181967724464226</v>
      </c>
      <c r="BF323" s="8">
        <f>(0.048*C323^1.01)/IF(_xlfn.XLOOKUP(E323,Groups!A:A,Groups!M:M)=1,0.25,0.8)*C323^-0.25</f>
        <v>3.3646046987127658</v>
      </c>
      <c r="BG323" s="8">
        <f>EXP(1.076*LN(AR323)-4.5397)*IF(_xlfn.XLOOKUP(E323,Groups!A:A,Groups!BC:BC)=1,1.25,IF(_xlfn.XLOOKUP(E323,Groups!A:A,Groups!BD:BD)=1,3.5,2.5))</f>
        <v>242.72097948417178</v>
      </c>
      <c r="BH323" s="8">
        <f>EXP(1.076*LN(AS323)-4.5397)*IF(_xlfn.XLOOKUP(E323,Groups!A:A,Groups!M:M)=1,0.8,IF(_xlfn.XLOOKUP(E323,Groups!A:A,Groups!BC:BC)=1,1.3,3))</f>
        <v>293.93735151357987</v>
      </c>
      <c r="BI323" s="8" t="str">
        <f>IF(W323="No","No",IF(_xlfn.XLOOKUP(E323,Groups!A:A,Groups!U:U)=1,'Base stats'!BJ323,IF(OR(_xlfn.XLOOKUP(E323,Groups!A:A,Groups!BD:BD)=1,_xlfn.XLOOKUP(E323,Groups!A:A,Groups!U:U)=2),BG323,BH323))*1.2)</f>
        <v>No</v>
      </c>
      <c r="BJ323" s="8">
        <f>IFERROR(EXP(1.076*LN(AT323)-4.5397)*IF(_xlfn.XLOOKUP(E323,Groups!A:A,Groups!N:N)="Insect",1,IF(OR(_xlfn.XLOOKUP(E323,Groups!A:A,Groups!N:N)="Pig",_xlfn.XLOOKUP(E323,Groups!A:A,Groups!N:N)="StrongBitingHerbivore"),3.5,3.75)),"No")</f>
        <v>35.556104556972485</v>
      </c>
      <c r="BK323" s="8">
        <f t="shared" si="708"/>
        <v>15</v>
      </c>
      <c r="BL323" s="8">
        <f t="shared" si="708"/>
        <v>9</v>
      </c>
      <c r="BM323" s="8" t="str">
        <f t="shared" si="709"/>
        <v>No</v>
      </c>
      <c r="BN323" s="8">
        <f t="shared" si="710"/>
        <v>8</v>
      </c>
      <c r="BO323" s="8">
        <f t="shared" si="711"/>
        <v>13</v>
      </c>
      <c r="BP323" s="8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0.12761850520553555</v>
      </c>
      <c r="BQ323" s="8" t="str">
        <f>IF(W323="No","No",IF(_xlfn.XLOOKUP(E323,Groups!A:A,Groups!BD:BD)=1,(AO323*5%),EXP(0.7354*LN(C323)^0.4078)*2/IF(_xlfn.XLOOKUP(E323,Groups!A:A,Groups!BL:BL)=1,1000,100)))</f>
        <v>No</v>
      </c>
      <c r="BR323" s="8">
        <f>IF(BJ323="No","No",IF(_xlfn.XLOOKUP(E323,Groups!A:A,Groups!BF:BF)=1,(0.0315*C323+2.1825)*2,(0.7354*C323^0.4078)*2)/IF(_xlfn.XLOOKUP(E323,Groups!A:A,Groups!BM:BM)=1,1000,100))</f>
        <v>0.16965</v>
      </c>
      <c r="BS323" s="8">
        <f t="shared" si="712"/>
        <v>0.13968341227368164</v>
      </c>
      <c r="BT323" s="8">
        <f t="shared" si="713"/>
        <v>2303.2502303657297</v>
      </c>
      <c r="BU323" s="8" t="str">
        <f t="shared" si="714"/>
        <v>No</v>
      </c>
      <c r="BV323" s="8">
        <f t="shared" si="715"/>
        <v>209.58505485984372</v>
      </c>
      <c r="BW323" s="4">
        <v>0</v>
      </c>
      <c r="BX323" s="4">
        <v>1</v>
      </c>
    </row>
    <row r="324" spans="1:76" s="16" customFormat="1" x14ac:dyDescent="0.25">
      <c r="A324" s="26" t="s">
        <v>1565</v>
      </c>
      <c r="B324" s="6" t="s">
        <v>1689</v>
      </c>
      <c r="C324" s="7">
        <v>200</v>
      </c>
      <c r="D324" s="7" t="s">
        <v>528</v>
      </c>
      <c r="E324" s="7" t="str">
        <f>Groups!$A$6</f>
        <v>Bird (STRONG BEAK, SMART)</v>
      </c>
      <c r="F324" s="7" t="str">
        <f t="shared" ref="F324" si="718">"Lay eggs"</f>
        <v>Lay eggs</v>
      </c>
      <c r="G324" s="7">
        <v>2.8</v>
      </c>
      <c r="H324" s="7">
        <v>50</v>
      </c>
      <c r="I324" s="4">
        <v>0</v>
      </c>
      <c r="J324" s="7" t="str">
        <f t="shared" ref="J324" si="719">"Lay eggs"</f>
        <v>Lay eggs</v>
      </c>
      <c r="K324" s="7" t="s">
        <v>528</v>
      </c>
      <c r="L324" s="7">
        <f>($L$5*(C324/$C$5)^0.165)*1.3</f>
        <v>68.739944791456935</v>
      </c>
      <c r="M324" s="7" t="s">
        <v>528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>
        <v>14</v>
      </c>
      <c r="V324" s="7">
        <v>16</v>
      </c>
      <c r="W324" s="7" t="str">
        <f>IF(_xlfn.XLOOKUP(E324,Groups!A:A,Groups!V:V)&lt;&gt;"No","Need a formula","No")</f>
        <v>No</v>
      </c>
      <c r="X324" s="7" t="s">
        <v>933</v>
      </c>
      <c r="Y324" s="4" t="s">
        <v>1008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311</v>
      </c>
      <c r="AG324" s="28" t="s">
        <v>375</v>
      </c>
      <c r="AH324" s="4" t="str">
        <f>Animals!$C$295</f>
        <v>&lt;li&gt;AA_MeadowAve&lt;/li&gt;</v>
      </c>
      <c r="AI324" s="4">
        <v>1</v>
      </c>
      <c r="AJ324" s="4">
        <v>0</v>
      </c>
      <c r="AK324" s="4">
        <v>0</v>
      </c>
      <c r="AL324" s="4">
        <v>0</v>
      </c>
      <c r="AM324" s="4">
        <v>1</v>
      </c>
      <c r="AN324" s="44" t="s">
        <v>40</v>
      </c>
      <c r="AO324" s="8">
        <f t="shared" si="702"/>
        <v>34753.014052750754</v>
      </c>
      <c r="AP324" s="8">
        <f>IFERROR(C324*_xlfn.XLOOKUP(E324,Groups!A:A,Groups!K:K),0.106*C324^0.94)</f>
        <v>15.426736488345595</v>
      </c>
      <c r="AQ324" s="8">
        <f>AP324*10000/(_xlfn.XLOOKUP(E324,Groups!A:A,Groups!J:J)*AO324)</f>
        <v>4.0724436832674371</v>
      </c>
      <c r="AR324" s="8">
        <f t="shared" si="703"/>
        <v>4776.6210371506204</v>
      </c>
      <c r="AS324" s="8">
        <f>IF(_xlfn.XLOOKUP(E324,Groups!A:A,Groups!M:M)=1,EXP(0.7444*LN('Base stats'!C324)+6.5696),EXP(0.7927*LN('Base stats'!C324)+4.28))</f>
        <v>4817.3351295400244</v>
      </c>
      <c r="AT324" s="8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IF(_xlfn.XLOOKUP(E324,Groups!A:A,Groups!N:N)="Theropod",EXP(0.6966*LN(C324)+4.158)*S324,
"No"))))))))))))))))</f>
        <v>797443.82742218068</v>
      </c>
      <c r="AU324" s="8">
        <f>IF(_xlfn.XLOOKUP(E324,Groups!A:A,Groups!U:U)=3,AS324,IF(_xlfn.XLOOKUP(E324,Groups!A:A,Groups!U:U)=2,AR324,AT324))</f>
        <v>797443.82742218068</v>
      </c>
      <c r="AV324" s="46">
        <f>IFERROR(AVERAGE(_xlfn.XLOOKUP(B324,Animals!B:B,Animals!N:N),_xlfn.XLOOKUP(B324,Animals!B:B,Animals!O:O)),0)</f>
        <v>0</v>
      </c>
      <c r="AW324" s="8">
        <f>MROUND(40*Animals!AO307*_xlfn.XLOOKUP(Animals!BB307,Leathers!$A$2:$A$99,Leathers!$B$2:$B$99,0)+(140*_xlfn.XLOOKUP(B324,Animals!B:B,Animals!AO:AO)*2),5)</f>
        <v>505</v>
      </c>
      <c r="AX324" s="8">
        <f>IFERROR(ROUND(SQRT(V324-1)*IF(_xlfn.XLOOKUP(E324,Groups!A:A,Groups!BF:BF)=0,2,1)*IF(_xlfn.XLOOKUP('Base stats'!E324,Groups!A:A,Groups!O:O)=0,1,0.1),1),0)</f>
        <v>0.4</v>
      </c>
      <c r="AY324" s="8">
        <f t="shared" si="704"/>
        <v>3.6</v>
      </c>
      <c r="AZ324" s="8">
        <f t="shared" si="705"/>
        <v>0</v>
      </c>
      <c r="BA324" s="8">
        <f t="shared" si="706"/>
        <v>5.3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795.62123118179443</v>
      </c>
      <c r="BC324" s="8" t="str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No</v>
      </c>
      <c r="BD324" s="8">
        <f t="shared" si="707"/>
        <v>2.1294266438436793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7.1181967724464226</v>
      </c>
      <c r="BF324" s="8">
        <f>(0.048*C324^1.01)/IF(_xlfn.XLOOKUP(E324,Groups!A:A,Groups!M:M)=1,0.25,0.8)*C324^-0.25</f>
        <v>3.3646046987127658</v>
      </c>
      <c r="BG324" s="8">
        <f>EXP(1.076*LN(AR324)-4.5397)*IF(_xlfn.XLOOKUP(E324,Groups!A:A,Groups!BC:BC)=1,1.25,IF(_xlfn.XLOOKUP(E324,Groups!A:A,Groups!BD:BD)=1,3.5,2.5))</f>
        <v>242.72097948417178</v>
      </c>
      <c r="BH324" s="8">
        <f>EXP(1.076*LN(AS324)-4.5397)*IF(_xlfn.XLOOKUP(E324,Groups!A:A,Groups!M:M)=1,0.8,IF(_xlfn.XLOOKUP(E324,Groups!A:A,Groups!BC:BC)=1,1.3,3))</f>
        <v>293.93735151357987</v>
      </c>
      <c r="BI324" s="8" t="str">
        <f>IF(W324="No","No",IF(_xlfn.XLOOKUP(E324,Groups!A:A,Groups!U:U)=1,'Base stats'!BJ324,IF(OR(_xlfn.XLOOKUP(E324,Groups!A:A,Groups!BD:BD)=1,_xlfn.XLOOKUP(E324,Groups!A:A,Groups!U:U)=2),BG324,BH324))*1.2)</f>
        <v>No</v>
      </c>
      <c r="BJ324" s="8">
        <f>IFERROR(EXP(1.076*LN(AT324)-4.5397)*IF(_xlfn.XLOOKUP(E324,Groups!A:A,Groups!N:N)="Insect",1,IF(OR(_xlfn.XLOOKUP(E324,Groups!A:A,Groups!N:N)="Pig",_xlfn.XLOOKUP(E324,Groups!A:A,Groups!N:N)="StrongBitingHerbivore"),3.5,3.75)),"No")</f>
        <v>89679.652480559889</v>
      </c>
      <c r="BK324" s="8">
        <f t="shared" si="708"/>
        <v>15</v>
      </c>
      <c r="BL324" s="8">
        <f t="shared" si="708"/>
        <v>9</v>
      </c>
      <c r="BM324" s="8" t="str">
        <f t="shared" si="709"/>
        <v>No</v>
      </c>
      <c r="BN324" s="8">
        <f t="shared" si="710"/>
        <v>15</v>
      </c>
      <c r="BO324" s="8">
        <f t="shared" si="711"/>
        <v>13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0.12761850520553555</v>
      </c>
      <c r="BQ324" s="8" t="str">
        <f>IF(W324="No","No",IF(_xlfn.XLOOKUP(E324,Groups!A:A,Groups!BD:BD)=1,(AO324*5%),EXP(0.7354*LN(C324)^0.4078)*2/IF(_xlfn.XLOOKUP(E324,Groups!A:A,Groups!BL:BL)=1,1000,100)))</f>
        <v>No</v>
      </c>
      <c r="BR324" s="8">
        <f>IF(BJ324="No","No",IF(_xlfn.XLOOKUP(E324,Groups!A:A,Groups!BF:BF)=1,(0.0315*C324+2.1825)*2,(0.7354*C324^0.4078)*2)/IF(_xlfn.XLOOKUP(E324,Groups!A:A,Groups!BM:BM)=1,1000,100))</f>
        <v>0.16965</v>
      </c>
      <c r="BS324" s="8">
        <f t="shared" si="712"/>
        <v>0.13968341227368164</v>
      </c>
      <c r="BT324" s="8">
        <f t="shared" si="713"/>
        <v>2303.2502303657297</v>
      </c>
      <c r="BU324" s="8" t="str">
        <f t="shared" si="714"/>
        <v>No</v>
      </c>
      <c r="BV324" s="8">
        <f t="shared" si="715"/>
        <v>528615.69396144943</v>
      </c>
      <c r="BW324" s="4">
        <v>0</v>
      </c>
      <c r="BX324" s="4">
        <v>1</v>
      </c>
    </row>
    <row r="325" spans="1:76" s="16" customFormat="1" x14ac:dyDescent="0.25">
      <c r="A325" s="26" t="s">
        <v>1459</v>
      </c>
      <c r="B325" s="6" t="s">
        <v>1651</v>
      </c>
      <c r="C325" s="7">
        <v>200</v>
      </c>
      <c r="D325" s="7" t="s">
        <v>528</v>
      </c>
      <c r="E325" s="7" t="str">
        <f>Groups!$A$6</f>
        <v>Bird (STRONG BEAK, SMART)</v>
      </c>
      <c r="F325" s="7" t="str">
        <f t="shared" ref="F325" si="720">"Lay eggs"</f>
        <v>Lay eggs</v>
      </c>
      <c r="G325" s="7">
        <v>2.8</v>
      </c>
      <c r="H325" s="7">
        <v>50</v>
      </c>
      <c r="I325" s="4">
        <v>0</v>
      </c>
      <c r="J325" s="7" t="str">
        <f t="shared" ref="J325" si="721">"Lay eggs"</f>
        <v>Lay eggs</v>
      </c>
      <c r="K325" s="7" t="s">
        <v>528</v>
      </c>
      <c r="L325" s="7">
        <f>($L$5*(C325/$C$5)^0.165)*1.3</f>
        <v>68.739944791456935</v>
      </c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>
        <v>14</v>
      </c>
      <c r="V325" s="7">
        <v>16</v>
      </c>
      <c r="W325" s="7" t="str">
        <f>IF(_xlfn.XLOOKUP(E325,Groups!A:A,Groups!V:V)&lt;&gt;"No","Need a formula","No")</f>
        <v>No</v>
      </c>
      <c r="X325" s="7" t="s">
        <v>933</v>
      </c>
      <c r="Y325" s="4" t="s">
        <v>1008</v>
      </c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 t="s">
        <v>311</v>
      </c>
      <c r="AG325" s="28" t="s">
        <v>375</v>
      </c>
      <c r="AH325" s="4" t="str">
        <f>Animals!$C$295</f>
        <v>&lt;li&gt;AA_MeadowAve&lt;/li&gt;</v>
      </c>
      <c r="AI325" s="4">
        <v>1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702"/>
        <v>34753.014052750754</v>
      </c>
      <c r="AP325" s="8">
        <f>IFERROR(C325*_xlfn.XLOOKUP(E325,Groups!A:A,Groups!K:K),0.106*C325^0.94)</f>
        <v>15.426736488345595</v>
      </c>
      <c r="AQ325" s="8">
        <f>AP325*10000/(_xlfn.XLOOKUP(E325,Groups!A:A,Groups!J:J)*AO325)</f>
        <v>4.0724436832674371</v>
      </c>
      <c r="AR325" s="8">
        <f t="shared" si="703"/>
        <v>4776.6210371506204</v>
      </c>
      <c r="AS325" s="8">
        <f>IF(_xlfn.XLOOKUP(E325,Groups!A:A,Groups!M:M)=1,EXP(0.7444*LN('Base stats'!C325)+6.5696),EXP(0.7927*LN('Base stats'!C325)+4.28))</f>
        <v>4817.3351295400244</v>
      </c>
      <c r="AT325" s="8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IF(_xlfn.XLOOKUP(E325,Groups!A:A,Groups!N:N)="Theropod",EXP(0.6966*LN(C325)+4.158)*S325,
"No"))))))))))))))))</f>
        <v>797443.82742218068</v>
      </c>
      <c r="AU325" s="8">
        <f>IF(_xlfn.XLOOKUP(E325,Groups!A:A,Groups!U:U)=3,AS325,IF(_xlfn.XLOOKUP(E325,Groups!A:A,Groups!U:U)=2,AR325,AT325))</f>
        <v>797443.82742218068</v>
      </c>
      <c r="AV325" s="46">
        <f>IFERROR(AVERAGE(_xlfn.XLOOKUP(B325,Animals!B:B,Animals!N:N),_xlfn.XLOOKUP(B325,Animals!B:B,Animals!O:O)),0)</f>
        <v>0</v>
      </c>
      <c r="AW325" s="8">
        <f>MROUND(40*Animals!AO257*_xlfn.XLOOKUP(Animals!BB257,Leathers!$A$2:$A$99,Leathers!$B$2:$B$99,0)+(140*_xlfn.XLOOKUP(B325,Animals!B:B,Animals!AO:AO)*2),5)</f>
        <v>505</v>
      </c>
      <c r="AX325" s="8">
        <f>IFERROR(ROUND(SQRT(V325-1)*IF(_xlfn.XLOOKUP(E325,Groups!A:A,Groups!BF:BF)=0,2,1)*IF(_xlfn.XLOOKUP('Base stats'!E325,Groups!A:A,Groups!O:O)=0,1,0.1),1),0)</f>
        <v>0.4</v>
      </c>
      <c r="AY325" s="8">
        <f t="shared" si="704"/>
        <v>3.6</v>
      </c>
      <c r="AZ325" s="8">
        <f t="shared" si="705"/>
        <v>0</v>
      </c>
      <c r="BA325" s="8">
        <f t="shared" si="706"/>
        <v>5.3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795.62123118179443</v>
      </c>
      <c r="BC325" s="8" t="str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No</v>
      </c>
      <c r="BD325" s="8">
        <f t="shared" si="707"/>
        <v>2.1294266438436793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7.1181967724464226</v>
      </c>
      <c r="BF325" s="8">
        <f>(0.048*C325^1.01)/IF(_xlfn.XLOOKUP(E325,Groups!A:A,Groups!M:M)=1,0.25,0.8)*C325^-0.25</f>
        <v>3.3646046987127658</v>
      </c>
      <c r="BG325" s="8">
        <f>EXP(1.076*LN(AR325)-4.5397)*IF(_xlfn.XLOOKUP(E325,Groups!A:A,Groups!BC:BC)=1,1.25,IF(_xlfn.XLOOKUP(E325,Groups!A:A,Groups!BD:BD)=1,3.5,2.5))</f>
        <v>242.72097948417178</v>
      </c>
      <c r="BH325" s="8">
        <f>EXP(1.076*LN(AS325)-4.5397)*IF(_xlfn.XLOOKUP(E325,Groups!A:A,Groups!M:M)=1,0.8,IF(_xlfn.XLOOKUP(E325,Groups!A:A,Groups!BC:BC)=1,1.3,3))</f>
        <v>293.93735151357987</v>
      </c>
      <c r="BI325" s="8" t="str">
        <f>IF(W325="No","No",IF(_xlfn.XLOOKUP(E325,Groups!A:A,Groups!U:U)=1,'Base stats'!BJ325,IF(OR(_xlfn.XLOOKUP(E325,Groups!A:A,Groups!BD:BD)=1,_xlfn.XLOOKUP(E325,Groups!A:A,Groups!U:U)=2),BG325,BH325))*1.2)</f>
        <v>No</v>
      </c>
      <c r="BJ325" s="8">
        <f>IFERROR(EXP(1.076*LN(AT325)-4.5397)*IF(_xlfn.XLOOKUP(E325,Groups!A:A,Groups!N:N)="Insect",1,IF(OR(_xlfn.XLOOKUP(E325,Groups!A:A,Groups!N:N)="Pig",_xlfn.XLOOKUP(E325,Groups!A:A,Groups!N:N)="StrongBitingHerbivore"),3.5,3.75)),"No")</f>
        <v>89679.652480559889</v>
      </c>
      <c r="BK325" s="8">
        <f t="shared" si="708"/>
        <v>15</v>
      </c>
      <c r="BL325" s="8">
        <f t="shared" si="708"/>
        <v>9</v>
      </c>
      <c r="BM325" s="8" t="str">
        <f t="shared" si="709"/>
        <v>No</v>
      </c>
      <c r="BN325" s="8">
        <f t="shared" si="710"/>
        <v>15</v>
      </c>
      <c r="BO325" s="8">
        <f t="shared" si="711"/>
        <v>13</v>
      </c>
      <c r="BP325" s="8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0.12761850520553555</v>
      </c>
      <c r="BQ325" s="8" t="str">
        <f>IF(W325="No","No",IF(_xlfn.XLOOKUP(E325,Groups!A:A,Groups!BD:BD)=1,(AO325*5%),EXP(0.7354*LN(C325)^0.4078)*2/IF(_xlfn.XLOOKUP(E325,Groups!A:A,Groups!BL:BL)=1,1000,100)))</f>
        <v>No</v>
      </c>
      <c r="BR325" s="8">
        <f>IF(BJ325="No","No",IF(_xlfn.XLOOKUP(E325,Groups!A:A,Groups!BF:BF)=1,(0.0315*C325+2.1825)*2,(0.7354*C325^0.4078)*2)/IF(_xlfn.XLOOKUP(E325,Groups!A:A,Groups!BM:BM)=1,1000,100))</f>
        <v>0.16965</v>
      </c>
      <c r="BS325" s="8">
        <f t="shared" si="712"/>
        <v>0.13968341227368164</v>
      </c>
      <c r="BT325" s="8">
        <f t="shared" si="713"/>
        <v>2303.2502303657297</v>
      </c>
      <c r="BU325" s="8" t="str">
        <f t="shared" si="714"/>
        <v>No</v>
      </c>
      <c r="BV325" s="8">
        <f t="shared" si="715"/>
        <v>528615.69396144943</v>
      </c>
      <c r="BW325" s="4">
        <v>0</v>
      </c>
      <c r="BX325" s="4">
        <v>1</v>
      </c>
    </row>
    <row r="326" spans="1:76" s="16" customFormat="1" x14ac:dyDescent="0.25">
      <c r="A326" s="26" t="s">
        <v>1419</v>
      </c>
      <c r="B326" s="6" t="s">
        <v>1636</v>
      </c>
      <c r="C326" s="7">
        <v>170</v>
      </c>
      <c r="D326" s="7" t="s">
        <v>528</v>
      </c>
      <c r="E326" s="7" t="str">
        <f>Groups!$A$6</f>
        <v>Bird (STRONG BEAK, SMART)</v>
      </c>
      <c r="F326" s="7" t="str">
        <f t="shared" ref="F326:F329" si="722">"Lay eggs"</f>
        <v>Lay eggs</v>
      </c>
      <c r="G326" s="7">
        <v>2.8</v>
      </c>
      <c r="H326" s="7">
        <v>50</v>
      </c>
      <c r="I326" s="4">
        <v>0</v>
      </c>
      <c r="J326" s="7" t="str">
        <f t="shared" ref="J326:J329" si="723">"Lay eggs"</f>
        <v>Lay eggs</v>
      </c>
      <c r="K326" s="7" t="s">
        <v>528</v>
      </c>
      <c r="L326" s="7">
        <f>($L$5*(C326/$C$5)^0.165)*1.3</f>
        <v>66.921135560755744</v>
      </c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>
        <v>13</v>
      </c>
      <c r="V326" s="7">
        <v>14.5</v>
      </c>
      <c r="W326" s="7" t="str">
        <f>IF(_xlfn.XLOOKUP(E326,Groups!A:A,Groups!V:V)&lt;&gt;"No","Need a formula","No")</f>
        <v>No</v>
      </c>
      <c r="X326" s="7" t="s">
        <v>933</v>
      </c>
      <c r="Y326" s="4" t="s">
        <v>1008</v>
      </c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 t="s">
        <v>311</v>
      </c>
      <c r="AG326" s="28" t="s">
        <v>375</v>
      </c>
      <c r="AH326" s="4" t="str">
        <f>Animals!$C$295</f>
        <v>&lt;li&gt;AA_MeadowAve&lt;/li&gt;</v>
      </c>
      <c r="AI326" s="4">
        <v>1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702"/>
        <v>31269.05653382832</v>
      </c>
      <c r="AP326" s="8">
        <f>IFERROR(C326*_xlfn.XLOOKUP(E326,Groups!A:A,Groups!K:K),0.106*C326^0.94)</f>
        <v>13.241215427520185</v>
      </c>
      <c r="AQ326" s="8">
        <f>AP326*10000/(_xlfn.XLOOKUP(E326,Groups!A:A,Groups!J:J)*AO326)</f>
        <v>3.8849602157976708</v>
      </c>
      <c r="AR326" s="8">
        <f t="shared" si="703"/>
        <v>4163.906352865858</v>
      </c>
      <c r="AS326" s="8">
        <f>IF(_xlfn.XLOOKUP(E326,Groups!A:A,Groups!M:M)=1,EXP(0.7444*LN('Base stats'!C326)+6.5696),EXP(0.7927*LN('Base stats'!C326)+4.28))</f>
        <v>4235.0373273002915</v>
      </c>
      <c r="AT326" s="8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IF(_xlfn.XLOOKUP(E326,Groups!A:A,Groups!N:N)="Theropod",EXP(0.6966*LN(C326)+4.158)*S326,
"No"))))))))))))))))</f>
        <v>637750.96380849113</v>
      </c>
      <c r="AU326" s="8">
        <f>IF(_xlfn.XLOOKUP(E326,Groups!A:A,Groups!U:U)=3,AS326,IF(_xlfn.XLOOKUP(E326,Groups!A:A,Groups!U:U)=2,AR326,AT326))</f>
        <v>637750.96380849113</v>
      </c>
      <c r="AV326" s="46">
        <f>IFERROR(AVERAGE(_xlfn.XLOOKUP(B326,Animals!B:B,Animals!N:N),_xlfn.XLOOKUP(B326,Animals!B:B,Animals!O:O)),0)</f>
        <v>0</v>
      </c>
      <c r="AW326" s="8">
        <f>MROUND(40*Animals!AO237*_xlfn.XLOOKUP(Animals!BB237,Leathers!$A$2:$A$99,Leathers!$B$2:$B$99,0)+(140*_xlfn.XLOOKUP(B326,Animals!B:B,Animals!AO:AO)*2),5)</f>
        <v>475</v>
      </c>
      <c r="AX326" s="8">
        <f>IFERROR(ROUND(SQRT(V326-1)*IF(_xlfn.XLOOKUP(E326,Groups!A:A,Groups!BF:BF)=0,2,1)*IF(_xlfn.XLOOKUP('Base stats'!E326,Groups!A:A,Groups!O:O)=0,1,0.1),1),0)</f>
        <v>0.4</v>
      </c>
      <c r="AY326" s="8">
        <f t="shared" si="704"/>
        <v>3.5</v>
      </c>
      <c r="AZ326" s="8">
        <f t="shared" si="705"/>
        <v>0</v>
      </c>
      <c r="BA326" s="8">
        <f t="shared" si="706"/>
        <v>5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650.45313906133481</v>
      </c>
      <c r="BC326" s="8" t="str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No</v>
      </c>
      <c r="BD326" s="8">
        <f t="shared" si="707"/>
        <v>1.8838423406583698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6.2784303862204238</v>
      </c>
      <c r="BF326" s="8">
        <f>(0.048*C326^1.01)/IF(_xlfn.XLOOKUP(E326,Groups!A:A,Groups!M:M)=1,0.25,0.8)*C326^-0.25</f>
        <v>2.9736676662191686</v>
      </c>
      <c r="BG326" s="8">
        <f>EXP(1.076*LN(AR326)-4.5397)*IF(_xlfn.XLOOKUP(E326,Groups!A:A,Groups!BC:BC)=1,1.25,IF(_xlfn.XLOOKUP(E326,Groups!A:A,Groups!BD:BD)=1,3.5,2.5))</f>
        <v>209.39021133100351</v>
      </c>
      <c r="BH326" s="8">
        <f>EXP(1.076*LN(AS326)-4.5397)*IF(_xlfn.XLOOKUP(E326,Groups!A:A,Groups!M:M)=1,0.8,IF(_xlfn.XLOOKUP(E326,Groups!A:A,Groups!BC:BC)=1,1.3,3))</f>
        <v>255.8898078472036</v>
      </c>
      <c r="BI326" s="8" t="str">
        <f>IF(W326="No","No",IF(_xlfn.XLOOKUP(E326,Groups!A:A,Groups!U:U)=1,'Base stats'!BJ326,IF(OR(_xlfn.XLOOKUP(E326,Groups!A:A,Groups!BD:BD)=1,_xlfn.XLOOKUP(E326,Groups!A:A,Groups!U:U)=2),BG326,BH326))*1.2)</f>
        <v>No</v>
      </c>
      <c r="BJ326" s="8">
        <f>IFERROR(EXP(1.076*LN(AT326)-4.5397)*IF(_xlfn.XLOOKUP(E326,Groups!A:A,Groups!N:N)="Insect",1,IF(OR(_xlfn.XLOOKUP(E326,Groups!A:A,Groups!N:N)="Pig",_xlfn.XLOOKUP(E326,Groups!A:A,Groups!N:N)="StrongBitingHerbivore"),3.5,3.75)),"No")</f>
        <v>70513.004052868622</v>
      </c>
      <c r="BK326" s="8">
        <f t="shared" si="708"/>
        <v>14</v>
      </c>
      <c r="BL326" s="8">
        <f t="shared" si="708"/>
        <v>9</v>
      </c>
      <c r="BM326" s="8" t="str">
        <f t="shared" si="709"/>
        <v>No</v>
      </c>
      <c r="BN326" s="8">
        <f t="shared" si="710"/>
        <v>14</v>
      </c>
      <c r="BO326" s="8">
        <f t="shared" si="711"/>
        <v>13</v>
      </c>
      <c r="BP326" s="8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0.11943474628882245</v>
      </c>
      <c r="BQ326" s="8" t="str">
        <f>IF(W326="No","No",IF(_xlfn.XLOOKUP(E326,Groups!A:A,Groups!BD:BD)=1,(AO326*5%),EXP(0.7354*LN(C326)^0.4078)*2/IF(_xlfn.XLOOKUP(E326,Groups!A:A,Groups!BL:BL)=1,1000,100)))</f>
        <v>No</v>
      </c>
      <c r="BR326" s="8">
        <f>IF(BJ326="No","No",IF(_xlfn.XLOOKUP(E326,Groups!A:A,Groups!BF:BF)=1,(0.0315*C326+2.1825)*2,(0.7354*C326^0.4078)*2)/IF(_xlfn.XLOOKUP(E326,Groups!A:A,Groups!BM:BM)=1,1000,100))</f>
        <v>0.15075000000000002</v>
      </c>
      <c r="BS326" s="8">
        <f t="shared" si="712"/>
        <v>0.13392806470158475</v>
      </c>
      <c r="BT326" s="8">
        <f t="shared" si="713"/>
        <v>2142.5072334343927</v>
      </c>
      <c r="BU326" s="8" t="str">
        <f t="shared" si="714"/>
        <v>No</v>
      </c>
      <c r="BV326" s="8">
        <f t="shared" si="715"/>
        <v>467747.95391620969</v>
      </c>
      <c r="BW326" s="4">
        <v>0</v>
      </c>
      <c r="BX326" s="4">
        <v>1</v>
      </c>
    </row>
    <row r="327" spans="1:76" s="16" customFormat="1" x14ac:dyDescent="0.25">
      <c r="A327" s="26" t="s">
        <v>1477</v>
      </c>
      <c r="B327" s="6" t="s">
        <v>1868</v>
      </c>
      <c r="C327" s="7">
        <v>250</v>
      </c>
      <c r="D327" s="7" t="s">
        <v>528</v>
      </c>
      <c r="E327" s="7" t="str">
        <f>Groups!$A$12</f>
        <v>Bird</v>
      </c>
      <c r="F327" s="7" t="str">
        <f t="shared" ref="F327" si="724">"Lay eggs"</f>
        <v>Lay eggs</v>
      </c>
      <c r="G327" s="7">
        <v>2.8</v>
      </c>
      <c r="H327" s="7">
        <v>50</v>
      </c>
      <c r="I327" s="4">
        <v>0</v>
      </c>
      <c r="J327" s="7" t="str">
        <f t="shared" ref="J327" si="725">"Lay eggs"</f>
        <v>Lay eggs</v>
      </c>
      <c r="K327" s="7" t="s">
        <v>528</v>
      </c>
      <c r="L327" s="7">
        <f>($L$5*(C327/$C$5)^0.165)</f>
        <v>54.860022177767668</v>
      </c>
      <c r="M327" s="7" t="s">
        <v>528</v>
      </c>
      <c r="N327" s="4">
        <v>0</v>
      </c>
      <c r="O327" s="4">
        <v>1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6</v>
      </c>
      <c r="V327" s="7">
        <v>7</v>
      </c>
      <c r="W327" s="7" t="str">
        <f>IF(_xlfn.XLOOKUP(E327,Groups!A:A,Groups!V:V)&lt;&gt;"No","Need a formula","No")</f>
        <v>No</v>
      </c>
      <c r="X327" s="7" t="s">
        <v>933</v>
      </c>
      <c r="Y327" s="4" t="s">
        <v>1008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375</v>
      </c>
      <c r="AH327" s="4" t="str">
        <f>Animals!$C$6</f>
        <v>&lt;li&gt;Cassowary&lt;/li&gt;</v>
      </c>
      <c r="AI327" s="4">
        <v>1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702"/>
        <v>40177.59941909022</v>
      </c>
      <c r="AP327" s="8">
        <f>IFERROR(C327*_xlfn.XLOOKUP(E327,Groups!A:A,Groups!K:K),0.106*C327^0.94)</f>
        <v>19.026962989898642</v>
      </c>
      <c r="AQ327" s="8">
        <f>AP327*10000/(_xlfn.XLOOKUP(E327,Groups!A:A,Groups!J:J)*AO327)</f>
        <v>4.3446919678921265</v>
      </c>
      <c r="AR327" s="8">
        <f t="shared" si="703"/>
        <v>5767.4079933655148</v>
      </c>
      <c r="AS327" s="8">
        <f>IF(_xlfn.XLOOKUP(E327,Groups!A:A,Groups!M:M)=1,EXP(0.7444*LN('Base stats'!C327)+6.5696),EXP(0.7927*LN('Base stats'!C327)+4.28))</f>
        <v>5749.4649057379756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IF(_xlfn.XLOOKUP(E327,Groups!A:A,Groups!N:N)="Theropod",EXP(0.6966*LN(C327)+4.158)*S327,
"No"))))))))))))))))</f>
        <v>641.58838531498793</v>
      </c>
      <c r="AU327" s="8">
        <f>IF(_xlfn.XLOOKUP(E327,Groups!A:A,Groups!U:U)=3,AS327,IF(_xlfn.XLOOKUP(E327,Groups!A:A,Groups!U:U)=2,AR327,AT327))</f>
        <v>641.58838531498793</v>
      </c>
      <c r="AV327" s="46">
        <f>IFERROR(AVERAGE(_xlfn.XLOOKUP(B327,Animals!B:B,Animals!N:N),_xlfn.XLOOKUP(B327,Animals!B:B,Animals!O:O)),0)</f>
        <v>0</v>
      </c>
      <c r="AW327" s="8">
        <f>MROUND(40*Animals!AO265*_xlfn.XLOOKUP(Animals!BB265,Leathers!$A$2:$A$99,Leathers!$B$2:$B$99,0)+(140*_xlfn.XLOOKUP(B327,Animals!B:B,Animals!AO:AO)*2),5)</f>
        <v>590</v>
      </c>
      <c r="AX327" s="8">
        <f>IFERROR(ROUND(SQRT(V327-1)*IF(_xlfn.XLOOKUP(E327,Groups!A:A,Groups!BF:BF)=0,2,1)*IF(_xlfn.XLOOKUP('Base stats'!E327,Groups!A:A,Groups!O:O)=0,1,0.1),1),0)</f>
        <v>0.2</v>
      </c>
      <c r="AY327" s="8">
        <f t="shared" si="704"/>
        <v>2.2000000000000002</v>
      </c>
      <c r="AZ327" s="8">
        <f t="shared" si="705"/>
        <v>0</v>
      </c>
      <c r="BA327" s="8">
        <f t="shared" si="706"/>
        <v>5.8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1.2185542224932027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707"/>
        <v>2.5196071584879993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8.4572253449216674</v>
      </c>
      <c r="BF327" s="8">
        <f>(0.048*C327^1.01)/IF(_xlfn.XLOOKUP(E327,Groups!A:A,Groups!M:M)=1,0.25,0.8)*C327^-0.25</f>
        <v>3.986443901788101</v>
      </c>
      <c r="BG327" s="8">
        <f>EXP(1.076*LN(AR327)-4.5397)*IF(_xlfn.XLOOKUP(E327,Groups!A:A,Groups!BC:BC)=1,1.25,IF(_xlfn.XLOOKUP(E327,Groups!A:A,Groups!BD:BD)=1,3.5,2.5))</f>
        <v>297.29565054010914</v>
      </c>
      <c r="BH327" s="8">
        <f>EXP(1.076*LN(AS327)-4.5397)*IF(_xlfn.XLOOKUP(E327,Groups!A:A,Groups!M:M)=1,0.8,IF(_xlfn.XLOOKUP(E327,Groups!A:A,Groups!BC:BC)=1,1.3,3))</f>
        <v>355.56066282590984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41.982915518657656</v>
      </c>
      <c r="BK327" s="8">
        <f t="shared" si="708"/>
        <v>15</v>
      </c>
      <c r="BL327" s="8">
        <f t="shared" si="708"/>
        <v>9</v>
      </c>
      <c r="BM327" s="8" t="str">
        <f t="shared" si="709"/>
        <v>No</v>
      </c>
      <c r="BN327" s="8">
        <f t="shared" si="710"/>
        <v>8</v>
      </c>
      <c r="BO327" s="8">
        <f t="shared" si="711"/>
        <v>13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0.13977630534113397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0.13977630534113397</v>
      </c>
      <c r="BS327" s="8">
        <f t="shared" si="712"/>
        <v>0.1479907484959643</v>
      </c>
      <c r="BT327" s="8">
        <f t="shared" si="713"/>
        <v>2543.7835258138984</v>
      </c>
      <c r="BU327" s="8" t="str">
        <f t="shared" si="714"/>
        <v>No</v>
      </c>
      <c r="BV327" s="8">
        <f t="shared" si="715"/>
        <v>300.35788552426948</v>
      </c>
      <c r="BW327" s="4">
        <v>0</v>
      </c>
      <c r="BX327" s="4">
        <v>1</v>
      </c>
    </row>
    <row r="328" spans="1:76" s="16" customFormat="1" x14ac:dyDescent="0.25">
      <c r="A328" s="26" t="s">
        <v>1457</v>
      </c>
      <c r="B328" s="6" t="s">
        <v>1650</v>
      </c>
      <c r="C328" s="7">
        <f>(2+4.5)/2</f>
        <v>3.25</v>
      </c>
      <c r="D328" s="7" t="s">
        <v>1252</v>
      </c>
      <c r="E328" s="7" t="str">
        <f>Groups!$A$9</f>
        <v>Bird (WATER)</v>
      </c>
      <c r="F328" s="7" t="str">
        <f t="shared" ref="F328" si="726">"Lay eggs"</f>
        <v>Lay eggs</v>
      </c>
      <c r="G328" s="7">
        <f>1825 /365</f>
        <v>5</v>
      </c>
      <c r="H328" s="7">
        <v>58.8</v>
      </c>
      <c r="I328" s="4">
        <v>0</v>
      </c>
      <c r="J328" s="7" t="str">
        <f t="shared" ref="J328" si="727">"Lay eggs"</f>
        <v>Lay eggs</v>
      </c>
      <c r="K328" s="7" t="s">
        <v>558</v>
      </c>
      <c r="L328" s="7">
        <f>8.2*1.60934</f>
        <v>13.196587999999998</v>
      </c>
      <c r="M328" s="7" t="s">
        <v>629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 t="s">
        <v>45</v>
      </c>
      <c r="V328" s="7">
        <v>10</v>
      </c>
      <c r="W328" s="7" t="s">
        <v>45</v>
      </c>
      <c r="X328" s="7" t="s">
        <v>933</v>
      </c>
      <c r="Y328" s="4" t="s">
        <v>53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401</v>
      </c>
      <c r="AG328" s="28" t="s">
        <v>45</v>
      </c>
      <c r="AH328" s="4" t="str">
        <f>Animals!$C$6</f>
        <v>&lt;li&gt;Cassowary&lt;/li&gt;</v>
      </c>
      <c r="AI328" s="4">
        <v>0</v>
      </c>
      <c r="AJ328" s="4">
        <v>0</v>
      </c>
      <c r="AK328" s="4">
        <v>1</v>
      </c>
      <c r="AL328" s="4">
        <v>0</v>
      </c>
      <c r="AM328" s="4">
        <v>1</v>
      </c>
      <c r="AN328" s="44" t="s">
        <v>40</v>
      </c>
      <c r="AO328" s="8">
        <f t="shared" si="702"/>
        <v>2388.0706080331493</v>
      </c>
      <c r="AP328" s="8">
        <f>IFERROR(C328*_xlfn.XLOOKUP(E328,Groups!A:A,Groups!K:K),0.106*C328^0.94)</f>
        <v>0.32097870798755029</v>
      </c>
      <c r="AQ328" s="8">
        <f>AP328*10000/(_xlfn.XLOOKUP(E328,Groups!A:A,Groups!J:J)*AO328)</f>
        <v>1.23311211107864</v>
      </c>
      <c r="AR328" s="8">
        <f t="shared" si="703"/>
        <v>147.17316334038017</v>
      </c>
      <c r="AS328" s="8">
        <f>IF(_xlfn.XLOOKUP(E328,Groups!A:A,Groups!M:M)=1,EXP(0.7444*LN('Base stats'!C328)+6.5696),EXP(0.7927*LN('Base stats'!C328)+4.28))</f>
        <v>183.88670156656516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IF(_xlfn.XLOOKUP(E328,Groups!A:A,Groups!N:N)="Theropod",EXP(0.6966*LN(C328)+4.158)*S328,
"No"))))))))))))))))</f>
        <v>31.776443854869786</v>
      </c>
      <c r="AU328" s="8">
        <f>IF(_xlfn.XLOOKUP(E328,Groups!A:A,Groups!U:U)=3,AS328,IF(_xlfn.XLOOKUP(E328,Groups!A:A,Groups!U:U)=2,AR328,AT328))</f>
        <v>31.776443854869786</v>
      </c>
      <c r="AV328" s="46">
        <f>IFERROR(AVERAGE(_xlfn.XLOOKUP(B328,Animals!B:B,Animals!N:N),_xlfn.XLOOKUP(B328,Animals!B:B,Animals!O:O)),0)</f>
        <v>0</v>
      </c>
      <c r="AW328" s="8">
        <f>MROUND(40*Animals!AO256*_xlfn.XLOOKUP(Animals!BB256,Leathers!$A$2:$A$99,Leathers!$B$2:$B$99,0)+(140*_xlfn.XLOOKUP(B328,Animals!B:B,Animals!AO:AO)*2),5)</f>
        <v>70</v>
      </c>
      <c r="AX328" s="8">
        <f>IFERROR(ROUND(SQRT(V328-1)*IF(_xlfn.XLOOKUP(E328,Groups!A:A,Groups!BF:BF)=0,2,1)*IF(_xlfn.XLOOKUP('Base stats'!E328,Groups!A:A,Groups!O:O)=0,1,0.1),1),0)</f>
        <v>0.3</v>
      </c>
      <c r="AY328" s="8">
        <f t="shared" si="704"/>
        <v>0</v>
      </c>
      <c r="AZ328" s="8">
        <f t="shared" si="705"/>
        <v>0</v>
      </c>
      <c r="BA328" s="8">
        <f t="shared" si="706"/>
        <v>0.9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9.9770886873501538E-2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707"/>
        <v>0.10439053900204885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0.29560753421709091</v>
      </c>
      <c r="BF328" s="8">
        <f>(0.048*C328^1.01)/IF(_xlfn.XLOOKUP(E328,Groups!A:A,Groups!M:M)=1,0.25,0.8)*C328^-0.25</f>
        <v>0.14695440365444534</v>
      </c>
      <c r="BG328" s="8">
        <f>EXP(1.076*LN(AR328)-4.5397)*IF(_xlfn.XLOOKUP(E328,Groups!A:A,Groups!BC:BC)=1,1.25,IF(_xlfn.XLOOKUP(E328,Groups!A:A,Groups!BD:BD)=1,3.5,2.5))</f>
        <v>5.7405955414483669</v>
      </c>
      <c r="BH328" s="8">
        <f>EXP(1.076*LN(AS328)-4.5397)*IF(_xlfn.XLOOKUP(E328,Groups!A:A,Groups!M:M)=1,0.8,IF(_xlfn.XLOOKUP(E328,Groups!A:A,Groups!BC:BC)=1,1.3,3))</f>
        <v>8.7540846645893815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1.6547405272942206</v>
      </c>
      <c r="BK328" s="8">
        <f t="shared" si="708"/>
        <v>10</v>
      </c>
      <c r="BL328" s="8">
        <f t="shared" si="708"/>
        <v>7</v>
      </c>
      <c r="BM328" s="8" t="str">
        <f t="shared" si="709"/>
        <v>No</v>
      </c>
      <c r="BN328" s="8">
        <f t="shared" si="710"/>
        <v>5</v>
      </c>
      <c r="BO328" s="8">
        <f t="shared" si="711"/>
        <v>10</v>
      </c>
      <c r="BP328" s="8" t="str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No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2.3784808318953549E-2</v>
      </c>
      <c r="BS328" s="8">
        <f t="shared" si="712"/>
        <v>4.8077268085271629E-2</v>
      </c>
      <c r="BT328" s="8" t="str">
        <f t="shared" si="713"/>
        <v>No</v>
      </c>
      <c r="BU328" s="8" t="str">
        <f t="shared" si="714"/>
        <v>No</v>
      </c>
      <c r="BV328" s="8">
        <f t="shared" si="715"/>
        <v>69.571320697825314</v>
      </c>
      <c r="BW328" s="4">
        <v>0</v>
      </c>
      <c r="BX328" s="4">
        <v>1</v>
      </c>
    </row>
    <row r="329" spans="1:76" s="16" customFormat="1" x14ac:dyDescent="0.25">
      <c r="A329" s="26" t="s">
        <v>1541</v>
      </c>
      <c r="B329" s="6" t="s">
        <v>1680</v>
      </c>
      <c r="C329" s="7">
        <v>20</v>
      </c>
      <c r="D329" s="7" t="s">
        <v>528</v>
      </c>
      <c r="E329" s="7" t="str">
        <f>Groups!$A$120</f>
        <v>Theropod (RAPTOR)</v>
      </c>
      <c r="F329" s="7" t="str">
        <f t="shared" si="722"/>
        <v>Lay eggs</v>
      </c>
      <c r="G329" s="7">
        <v>1</v>
      </c>
      <c r="H329" s="7">
        <v>15</v>
      </c>
      <c r="I329" s="4">
        <v>1</v>
      </c>
      <c r="J329" s="7" t="str">
        <f t="shared" si="723"/>
        <v>Lay eggs</v>
      </c>
      <c r="K329" s="7" t="s">
        <v>528</v>
      </c>
      <c r="L329" s="7">
        <f>10*1.60934</f>
        <v>16.093399999999999</v>
      </c>
      <c r="M329" s="7" t="s">
        <v>629</v>
      </c>
      <c r="N329" s="4">
        <v>0</v>
      </c>
      <c r="O329" s="4">
        <v>2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0.47844493899746898</v>
      </c>
      <c r="T329" s="7">
        <f>_xlfn.XLOOKUP(B329,[1]TeethAdjusters!$A:$A,[1]TeethAdjusters!$B:$B,1)</f>
        <v>1</v>
      </c>
      <c r="U329" s="7">
        <v>4</v>
      </c>
      <c r="V329" s="7">
        <v>1.5</v>
      </c>
      <c r="W329" s="7" t="s">
        <v>45</v>
      </c>
      <c r="X329" s="7" t="s">
        <v>933</v>
      </c>
      <c r="Y329" s="4" t="s">
        <v>56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375</v>
      </c>
      <c r="AH329" s="4" t="s">
        <v>45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4" t="s">
        <v>40</v>
      </c>
      <c r="AO329" s="8">
        <f t="shared" ref="AO329" si="728">(0.111*C329^0.65)*10000</f>
        <v>7780.2307188855666</v>
      </c>
      <c r="AP329" s="8">
        <f>IFERROR(C329*_xlfn.XLOOKUP(E329,Groups!A:A,Groups!K:K),0.106*C329^0.94)</f>
        <v>1.7712263366972112</v>
      </c>
      <c r="AQ329" s="8">
        <f>AP329*10000/(_xlfn.XLOOKUP(E329,Groups!A:A,Groups!J:J)*AO329)</f>
        <v>2.0885991036274314</v>
      </c>
      <c r="AR329" s="8">
        <f t="shared" ref="AR329" si="729">EXP(0.8447*LN(C329)+3.996)</f>
        <v>683.0001310678939</v>
      </c>
      <c r="AS329" s="8">
        <f>IF(_xlfn.XLOOKUP(E329,Groups!A:A,Groups!M:M)=1,EXP(0.7444*LN('Base stats'!C329)+6.5696),EXP(0.7927*LN('Base stats'!C329)+4.28))</f>
        <v>776.43813921979063</v>
      </c>
      <c r="AT329" s="8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IF(_xlfn.XLOOKUP(E329,Groups!A:A,Groups!N:N)="Theropod",EXP(0.6966*LN(C329)+4.158)*S329,
"No"))))))))))))))))</f>
        <v>246.56187027810512</v>
      </c>
      <c r="AU329" s="8">
        <f>IF(_xlfn.XLOOKUP(E329,Groups!A:A,Groups!U:U)=3,AS329,IF(_xlfn.XLOOKUP(E329,Groups!A:A,Groups!U:U)=2,AR329,AT329))</f>
        <v>246.56187027810512</v>
      </c>
      <c r="AV329" s="46">
        <f>IFERROR(AVERAGE(_xlfn.XLOOKUP(B329,Animals!B:B,Animals!N:N),_xlfn.XLOOKUP(B329,Animals!B:B,Animals!O:O)),0)</f>
        <v>0</v>
      </c>
      <c r="AW329" s="8">
        <f>MROUND(40*Animals!AO371*_xlfn.XLOOKUP(Animals!BB371,Leathers!$A$2:$A$99,Leathers!$B$2:$B$99,0)+(140*_xlfn.XLOOKUP(B329,Animals!B:B,Animals!AO:AO)*2),5)</f>
        <v>155</v>
      </c>
      <c r="AX329" s="8">
        <f>IFERROR(ROUND(SQRT(V329-1)*IF(_xlfn.XLOOKUP(E329,Groups!A:A,Groups!BF:BF)=0,2,1)*IF(_xlfn.XLOOKUP('Base stats'!E329,Groups!A:A,Groups!O:O)=0,1,0.1),1),0)</f>
        <v>1.4</v>
      </c>
      <c r="AY329" s="8">
        <f t="shared" ref="AY329" si="730">IFERROR(ROUND(SQRT(U329-1),1),0)</f>
        <v>1.7</v>
      </c>
      <c r="AZ329" s="8">
        <f t="shared" ref="AZ329" si="731">IFERROR(ROUND(SQRT(W329),1),0)</f>
        <v>0</v>
      </c>
      <c r="BA329" s="8">
        <f t="shared" ref="BA329" si="732">ROUND(
  EXP(0.3582*LN(C329)-0.2221) *
  (0.75 + 0.25*(C329^4/(C329^4+10^4))),
1)</f>
        <v>2.2999999999999998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0.49314416357358742</v>
      </c>
      <c r="BC329" s="8" t="str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No</v>
      </c>
      <c r="BD329" s="8">
        <f t="shared" ref="BD329" si="733">(0.0392*C329^IF(OR(Y329="Herbivore",Y329="Dendrovore",Y329="OmnivoreRough"),0.889,0.966))*C329^-0.135</f>
        <v>0.4725437173376934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0.73461830427671004</v>
      </c>
      <c r="BF329" s="8">
        <f>(0.048*C329^1.01)/IF(_xlfn.XLOOKUP(E329,Groups!A:A,Groups!M:M)=1,0.25,0.8)*C329^-0.25</f>
        <v>0.58470128338370886</v>
      </c>
      <c r="BG329" s="8">
        <f>EXP(1.076*LN(AR329)-4.5397)*IF(_xlfn.XLOOKUP(E329,Groups!A:A,Groups!BC:BC)=1,1.25,IF(_xlfn.XLOOKUP(E329,Groups!A:A,Groups!BD:BD)=1,3.5,2.5))</f>
        <v>29.937126744147832</v>
      </c>
      <c r="BH329" s="8">
        <f>EXP(1.076*LN(AS329)-4.5397)*IF(_xlfn.XLOOKUP(E329,Groups!A:A,Groups!M:M)=1,0.8,IF(_xlfn.XLOOKUP(E329,Groups!A:A,Groups!BC:BC)=1,1.3,3))</f>
        <v>41.239137793293878</v>
      </c>
      <c r="BI329" s="8" t="str">
        <f>IF(W329="No","No",IF(_xlfn.XLOOKUP(E329,Groups!A:A,Groups!U:U)=1,'Base stats'!BJ329,IF(OR(_xlfn.XLOOKUP(E329,Groups!A:A,Groups!BD:BD)=1,_xlfn.XLOOKUP(E329,Groups!A:A,Groups!U:U)=2),BG329,BH329))*1.2)</f>
        <v>No</v>
      </c>
      <c r="BJ329" s="8">
        <f>IFERROR(EXP(1.076*LN(AT329)-4.5397)*IF(_xlfn.XLOOKUP(E329,Groups!A:A,Groups!N:N)="Insect",1,IF(OR(_xlfn.XLOOKUP(E329,Groups!A:A,Groups!N:N)="Pig",_xlfn.XLOOKUP(E329,Groups!A:A,Groups!N:N)="StrongBitingHerbivore"),3.5,3.75)),"No")</f>
        <v>15.002958001315326</v>
      </c>
      <c r="BK329" s="8">
        <f t="shared" ref="BK329" si="734">ROUNDDOWN(SQRT((2*BG329)/BD329),0)</f>
        <v>11</v>
      </c>
      <c r="BL329" s="8">
        <f t="shared" ref="BL329" si="735">ROUNDDOWN(SQRT((2*BH329)/BE329),0)</f>
        <v>10</v>
      </c>
      <c r="BM329" s="8" t="str">
        <f t="shared" ref="BM329" si="736">IF(W329="No","No",ROUNDDOWN(SQRT((2*BI329)/BC329),0))</f>
        <v>No</v>
      </c>
      <c r="BN329" s="8">
        <f t="shared" ref="BN329" si="737">IF(V329="No","No",ROUNDDOWN(SQRT((2*BJ329)/BB329),0))</f>
        <v>7</v>
      </c>
      <c r="BO329" s="8">
        <f t="shared" ref="BO329" si="738">ROUNDDOWN(SQRT((2*BH329)/BF329),0)</f>
        <v>11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4.9901506096388083E-2</v>
      </c>
      <c r="BQ329" s="8" t="str">
        <f>IF(W329="No","No",IF(_xlfn.XLOOKUP(E329,Groups!A:A,Groups!BD:BD)=1,(AO329*5%),EXP(0.7354*LN(C329)^0.4078)*2/IF(_xlfn.XLOOKUP(E329,Groups!A:A,Groups!BL:BL)=1,1000,100)))</f>
        <v>No</v>
      </c>
      <c r="BR329" s="8">
        <f>IF(BJ329="No","No",IF(_xlfn.XLOOKUP(E329,Groups!A:A,Groups!BF:BF)=1,(0.0315*C329+2.1825)*2,(0.7354*C329^0.4078)*2)/IF(_xlfn.XLOOKUP(E329,Groups!A:A,Groups!BM:BM)=1,1000,100))</f>
        <v>4.9901506096388083E-2</v>
      </c>
      <c r="BS329" s="8">
        <f t="shared" ref="BS329" si="739">BG329/(AO329*5%)</f>
        <v>7.6956912528259827E-2</v>
      </c>
      <c r="BT329" s="8">
        <f t="shared" ref="BT329" si="740">IF(BP329="No","No",BH329/BP329)</f>
        <v>826.41068415125062</v>
      </c>
      <c r="BU329" s="8" t="str">
        <f t="shared" ref="BU329" si="741">IF(W329="No","No",BI329/BQ329)</f>
        <v>No</v>
      </c>
      <c r="BV329" s="8">
        <f t="shared" ref="BV329" si="742">IF(BJ329="No","No",BJ329/BR329)</f>
        <v>300.65140663963354</v>
      </c>
      <c r="BW329" s="4">
        <v>0</v>
      </c>
      <c r="BX329" s="4">
        <v>1</v>
      </c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EC665B5D-0EED-46CE-8383-84757755D331}">
          <x14:formula1>
            <xm:f>Leathers!$A$2:$A$99</xm:f>
          </x14:formula1>
          <xm:sqref>AW189 AG191:AG193 AG185:AG189 AG128:AG183 AG109:AG126 AW320:AW326 AW275:AW276 AW246:AW247 AG258 AW279 AW281:AW282 AW309:AW310 AW306 AW292 AW288 AG312 AW302:AW303 AG320:AG321 AG314:AG318 AW317:AW318 AW314:AW315 AG2:AG102 AG328 AW328 AW385:AW387 AW389:AW1048576 AG246:AG249 AW231:AW238 AG292:AG307 AG253 AG262 AG273:AG288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E176 E217 E185:E193 E183 E179 E214:E215 E273:E274 E303:E306 E2:E166 E240:E244 E262 E278:E283 E294:E297 E224 E226 E322:E328 E253 E286:E287 E289:E292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B313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H301" sqref="H301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870</v>
      </c>
      <c r="E1" s="29" t="s">
        <v>417</v>
      </c>
      <c r="F1" s="29" t="s">
        <v>449</v>
      </c>
      <c r="G1" s="29" t="s">
        <v>1232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649</v>
      </c>
      <c r="V1" s="29" t="s">
        <v>650</v>
      </c>
      <c r="W1" s="29" t="s">
        <v>658</v>
      </c>
      <c r="X1" s="31" t="s">
        <v>264</v>
      </c>
      <c r="Y1" s="29" t="s">
        <v>265</v>
      </c>
      <c r="Z1" s="29" t="s">
        <v>651</v>
      </c>
      <c r="AA1" s="29" t="s">
        <v>652</v>
      </c>
      <c r="AB1" s="29" t="s">
        <v>659</v>
      </c>
      <c r="AC1" s="29" t="s">
        <v>653</v>
      </c>
      <c r="AD1" s="31" t="s">
        <v>10</v>
      </c>
      <c r="AE1" s="29" t="s">
        <v>11</v>
      </c>
      <c r="AF1" s="29" t="s">
        <v>654</v>
      </c>
      <c r="AG1" s="29" t="s">
        <v>655</v>
      </c>
      <c r="AH1" s="29" t="s">
        <v>660</v>
      </c>
      <c r="AI1" s="31" t="s">
        <v>12</v>
      </c>
      <c r="AJ1" s="29" t="s">
        <v>13</v>
      </c>
      <c r="AK1" s="29" t="s">
        <v>656</v>
      </c>
      <c r="AL1" s="29" t="s">
        <v>657</v>
      </c>
      <c r="AM1" s="29" t="s">
        <v>662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1329</v>
      </c>
      <c r="BB1" s="30" t="s">
        <v>663</v>
      </c>
      <c r="BC1" s="30" t="s">
        <v>665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843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664</v>
      </c>
      <c r="BP1" s="30" t="s">
        <v>668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874</v>
      </c>
      <c r="BW1" s="30" t="s">
        <v>402</v>
      </c>
      <c r="BX1" s="30" t="s">
        <v>868</v>
      </c>
      <c r="BY1" s="30" t="s">
        <v>670</v>
      </c>
      <c r="BZ1" s="30" t="s">
        <v>31</v>
      </c>
      <c r="CA1" s="30" t="s">
        <v>32</v>
      </c>
      <c r="CB1" s="30" t="s">
        <v>845</v>
      </c>
      <c r="CC1" s="30" t="s">
        <v>849</v>
      </c>
      <c r="CD1" s="30" t="s">
        <v>846</v>
      </c>
      <c r="CE1" s="30" t="s">
        <v>847</v>
      </c>
      <c r="CF1" s="30" t="s">
        <v>848</v>
      </c>
      <c r="CG1" s="30" t="s">
        <v>850</v>
      </c>
      <c r="CH1" s="30" t="s">
        <v>851</v>
      </c>
      <c r="CI1" s="30" t="s">
        <v>1102</v>
      </c>
      <c r="CJ1" s="30" t="s">
        <v>1103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674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stats'!AM:AM)=1,0.1,1)*IF(AND(_xlfn.XLOOKUP(B2,'Base stats'!B:B,'Base stats'!AM:AM)=1,D2="sarg.alphaanimals"),0.5,1)/100,IF(_xlfn.XLOOKUP(B2,'Base stats'!B:B,'Base stats'!AM:AM)=1,0.001,0.025)),0.5)))</f>
        <v>0.05</v>
      </c>
      <c r="CA2" s="25" t="str">
        <f>IF(P2="Standard","No",MAX(0.001,MIN(MROUND(IF(OR(D2="sarg.alphaanimals",AND(BJ2="True",CC2="False")),POWER(10,3.47*LOG10(_xlfn.XLOOKUP(B2,'Base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672</v>
      </c>
      <c r="D3" s="28" t="s">
        <v>45</v>
      </c>
      <c r="E3" s="28" t="s">
        <v>418</v>
      </c>
      <c r="F3" s="28" t="s">
        <v>450</v>
      </c>
      <c r="G3" s="28" t="s">
        <v>674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stats'!AM:AM)=1,0.1,1)*IF(AND(_xlfn.XLOOKUP(B3,'Base stats'!B:B,'Base stats'!AM:AM)=1,D3="sarg.alphaanimals"),0.5,1)/100,IF(_xlfn.XLOOKUP(B3,'Base stats'!B:B,'Base stats'!AM:AM)=1,0.001,0.025)),0.5)))</f>
        <v>0.05</v>
      </c>
      <c r="CA3" s="25" t="str">
        <f>IF(P3="Standard","No",MAX(0.001,MIN(MROUND(IF(OR(D3="sarg.alphaanimals",AND(BJ3="True",CC3="False")),POWER(10,3.47*LOG10(_xlfn.XLOOKUP(B3,'Base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673</v>
      </c>
      <c r="D4" s="28" t="s">
        <v>45</v>
      </c>
      <c r="E4" s="28" t="s">
        <v>674</v>
      </c>
      <c r="F4" s="28" t="s">
        <v>674</v>
      </c>
      <c r="G4" s="28" t="s">
        <v>674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stats'!AM:AM)=1,0.1,1)*IF(AND(_xlfn.XLOOKUP(B4,'Base stats'!B:B,'Base stats'!AM:AM)=1,D4="sarg.alphaanimals"),0.5,1)/100,IF(_xlfn.XLOOKUP(B4,'Base stats'!B:B,'Base stats'!AM:AM)=1,0.001,0.025)),0.5)))</f>
        <v>0.375</v>
      </c>
      <c r="CA4" s="25">
        <f>IF(P4="Standard","No",MAX(0.001,MIN(MROUND(IF(OR(D4="sarg.alphaanimals",AND(BJ4="True",CC4="False")),POWER(10,3.47*LOG10(_xlfn.XLOOKUP(B4,'Base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675</v>
      </c>
      <c r="D5" s="28" t="s">
        <v>45</v>
      </c>
      <c r="E5" s="28" t="s">
        <v>676</v>
      </c>
      <c r="F5" s="28" t="s">
        <v>677</v>
      </c>
      <c r="G5" s="28" t="s">
        <v>674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stats'!AM:AM)=1,0.1,1)*IF(AND(_xlfn.XLOOKUP(B5,'Base stats'!B:B,'Base stats'!AM:AM)=1,D5="sarg.alphaanimals"),0.5,1)/100,IF(_xlfn.XLOOKUP(B5,'Base stats'!B:B,'Base stats'!AM:AM)=1,0.001,0.025)),0.5)))</f>
        <v>0.2</v>
      </c>
      <c r="CA5" s="25" t="str">
        <f>IF(P5="Standard","No",MAX(0.001,MIN(MROUND(IF(OR(D5="sarg.alphaanimals",AND(BJ5="True",CC5="False")),POWER(10,3.47*LOG10(_xlfn.XLOOKUP(B5,'Base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678</v>
      </c>
      <c r="D6" s="28" t="s">
        <v>45</v>
      </c>
      <c r="E6" s="28" t="s">
        <v>676</v>
      </c>
      <c r="F6" s="28" t="s">
        <v>677</v>
      </c>
      <c r="G6" s="28" t="s">
        <v>674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stats'!AM:AM)=1,0.1,1)*IF(AND(_xlfn.XLOOKUP(B6,'Base stats'!B:B,'Base stats'!AM:AM)=1,D6="sarg.alphaanimals"),0.5,1)/100,IF(_xlfn.XLOOKUP(B6,'Base stats'!B:B,'Base stats'!AM:AM)=1,0.001,0.025)),0.5)))</f>
        <v>0.22500000000000001</v>
      </c>
      <c r="CA6" s="25" t="str">
        <f>IF(P6="Standard","No",MAX(0.001,MIN(MROUND(IF(OR(D6="sarg.alphaanimals",AND(BJ6="True",CC6="False")),POWER(10,3.47*LOG10(_xlfn.XLOOKUP(B6,'Base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679</v>
      </c>
      <c r="D7" s="28" t="s">
        <v>45</v>
      </c>
      <c r="E7" s="28" t="s">
        <v>676</v>
      </c>
      <c r="F7" s="28" t="s">
        <v>677</v>
      </c>
      <c r="G7" s="28" t="s">
        <v>674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stats'!AM:AM)=1,0.1,1)*IF(AND(_xlfn.XLOOKUP(B7,'Base stats'!B:B,'Base stats'!AM:AM)=1,D7="sarg.alphaanimals"),0.5,1)/100,IF(_xlfn.XLOOKUP(B7,'Base stats'!B:B,'Base stats'!AM:AM)=1,0.001,0.025)),0.5)))</f>
        <v>0.22500000000000001</v>
      </c>
      <c r="CA7" s="25" t="str">
        <f>IF(P7="Standard","No",MAX(0.001,MIN(MROUND(IF(OR(D7="sarg.alphaanimals",AND(BJ7="True",CC7="False")),POWER(10,3.47*LOG10(_xlfn.XLOOKUP(B7,'Base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916</v>
      </c>
      <c r="C8" s="28" t="s">
        <v>680</v>
      </c>
      <c r="D8" s="28" t="s">
        <v>45</v>
      </c>
      <c r="E8" s="28" t="s">
        <v>676</v>
      </c>
      <c r="F8" s="28" t="s">
        <v>677</v>
      </c>
      <c r="G8" s="28" t="s">
        <v>674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stats'!AM:AM)=1,0.1,1)*IF(AND(_xlfn.XLOOKUP(B8,'Base stats'!B:B,'Base stats'!AM:AM)=1,D8="sarg.alphaanimals"),0.5,1)/100,IF(_xlfn.XLOOKUP(B8,'Base stats'!B:B,'Base stats'!AM:AM)=1,0.001,0.025)),0.5)))</f>
        <v>0.375</v>
      </c>
      <c r="CA8" s="25" t="str">
        <f>IF(P8="Standard","No",MAX(0.001,MIN(MROUND(IF(OR(D8="sarg.alphaanimals",AND(BJ8="True",CC8="False")),POWER(10,3.47*LOG10(_xlfn.XLOOKUP(B8,'Base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918</v>
      </c>
      <c r="C9" s="28" t="s">
        <v>681</v>
      </c>
      <c r="D9" s="28" t="s">
        <v>45</v>
      </c>
      <c r="E9" s="28" t="s">
        <v>674</v>
      </c>
      <c r="F9" s="28" t="s">
        <v>674</v>
      </c>
      <c r="G9" s="28" t="s">
        <v>674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stats'!AM:AM)=1,0.1,1)*IF(AND(_xlfn.XLOOKUP(B9,'Base stats'!B:B,'Base stats'!AM:AM)=1,D9="sarg.alphaanimals"),0.5,1)/100,IF(_xlfn.XLOOKUP(B9,'Base stats'!B:B,'Base stats'!AM:AM)=1,0.001,0.025)),0.5)))</f>
        <v>0.35000000000000003</v>
      </c>
      <c r="CA9" s="25" t="str">
        <f>IF(P9="Standard","No",MAX(0.001,MIN(MROUND(IF(OR(D9="sarg.alphaanimals",AND(BJ9="True",CC9="False")),POWER(10,3.47*LOG10(_xlfn.XLOOKUP(B9,'Base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917</v>
      </c>
      <c r="C10" s="28" t="s">
        <v>682</v>
      </c>
      <c r="D10" s="28" t="s">
        <v>45</v>
      </c>
      <c r="E10" s="28" t="s">
        <v>674</v>
      </c>
      <c r="F10" s="28" t="s">
        <v>674</v>
      </c>
      <c r="G10" s="28" t="s">
        <v>674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stats'!AM:AM)=1,0.1,1)*IF(AND(_xlfn.XLOOKUP(B10,'Base stats'!B:B,'Base stats'!AM:AM)=1,D10="sarg.alphaanimals"),0.5,1)/100,IF(_xlfn.XLOOKUP(B10,'Base stats'!B:B,'Base stats'!AM:AM)=1,0.001,0.025)),0.5)))</f>
        <v>0.5</v>
      </c>
      <c r="CA10" s="25" t="str">
        <f>IF(P10="Standard","No",MAX(0.001,MIN(MROUND(IF(OR(D10="sarg.alphaanimals",AND(BJ10="True",CC10="False")),POWER(10,3.47*LOG10(_xlfn.XLOOKUP(B10,'Base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683</v>
      </c>
      <c r="D11" s="28" t="s">
        <v>45</v>
      </c>
      <c r="E11" s="28" t="s">
        <v>674</v>
      </c>
      <c r="F11" s="28" t="s">
        <v>674</v>
      </c>
      <c r="G11" s="28" t="s">
        <v>674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stats'!AM:AM)=1,0.1,1)*IF(AND(_xlfn.XLOOKUP(B11,'Base stats'!B:B,'Base stats'!AM:AM)=1,D11="sarg.alphaanimals"),0.5,1)/100,IF(_xlfn.XLOOKUP(B11,'Base stats'!B:B,'Base stats'!AM:AM)=1,0.001,0.025)),0.5)))</f>
        <v>0.5</v>
      </c>
      <c r="CA11" s="25" t="str">
        <f>IF(P11="Standard","No",MAX(0.001,MIN(MROUND(IF(OR(D11="sarg.alphaanimals",AND(BJ11="True",CC11="False")),POWER(10,3.47*LOG10(_xlfn.XLOOKUP(B11,'Base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684</v>
      </c>
      <c r="D12" s="28" t="s">
        <v>45</v>
      </c>
      <c r="E12" s="28" t="s">
        <v>674</v>
      </c>
      <c r="F12" s="28" t="s">
        <v>674</v>
      </c>
      <c r="G12" s="28" t="s">
        <v>674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stats'!AM:AM)=1,0.1,1)*IF(AND(_xlfn.XLOOKUP(B12,'Base stats'!B:B,'Base stats'!AM:AM)=1,D12="sarg.alphaanimals"),0.5,1)/100,IF(_xlfn.XLOOKUP(B12,'Base stats'!B:B,'Base stats'!AM:AM)=1,0.001,0.025)),0.5)))</f>
        <v>0.15000000000000002</v>
      </c>
      <c r="CA12" s="25" t="str">
        <f>IF(P12="Standard","No",MAX(0.001,MIN(MROUND(IF(OR(D12="sarg.alphaanimals",AND(BJ12="True",CC12="False")),POWER(10,3.47*LOG10(_xlfn.XLOOKUP(B12,'Base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685</v>
      </c>
      <c r="D13" s="28" t="s">
        <v>45</v>
      </c>
      <c r="E13" s="28" t="s">
        <v>674</v>
      </c>
      <c r="F13" s="28" t="s">
        <v>674</v>
      </c>
      <c r="G13" s="28" t="s">
        <v>674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stats'!AM:AM)=1,0.1,1)*IF(AND(_xlfn.XLOOKUP(B13,'Base stats'!B:B,'Base stats'!AM:AM)=1,D13="sarg.alphaanimals"),0.5,1)/100,IF(_xlfn.XLOOKUP(B13,'Base stats'!B:B,'Base stats'!AM:AM)=1,0.001,0.025)),0.5)))</f>
        <v>0.2</v>
      </c>
      <c r="CA13" s="25" t="str">
        <f>IF(P13="Standard","No",MAX(0.001,MIN(MROUND(IF(OR(D13="sarg.alphaanimals",AND(BJ13="True",CC13="False")),POWER(10,3.47*LOG10(_xlfn.XLOOKUP(B13,'Base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875</v>
      </c>
      <c r="C14" s="28" t="s">
        <v>686</v>
      </c>
      <c r="D14" s="28" t="s">
        <v>45</v>
      </c>
      <c r="E14" s="28" t="s">
        <v>674</v>
      </c>
      <c r="F14" s="28" t="s">
        <v>674</v>
      </c>
      <c r="G14" s="28" t="s">
        <v>674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stats'!AM:AM)=1,0.1,1)*IF(AND(_xlfn.XLOOKUP(B14,'Base stats'!B:B,'Base stats'!AM:AM)=1,D14="sarg.alphaanimals"),0.5,1)/100,IF(_xlfn.XLOOKUP(B14,'Base stats'!B:B,'Base stats'!AM:AM)=1,0.001,0.025)),0.5)))</f>
        <v>0.125</v>
      </c>
      <c r="CA14" s="25" t="str">
        <f>IF(P14="Standard","No",MAX(0.001,MIN(MROUND(IF(OR(D14="sarg.alphaanimals",AND(BJ14="True",CC14="False")),POWER(10,3.47*LOG10(_xlfn.XLOOKUP(B14,'Base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876</v>
      </c>
      <c r="C15" s="28" t="s">
        <v>687</v>
      </c>
      <c r="D15" s="28" t="s">
        <v>45</v>
      </c>
      <c r="E15" s="28" t="s">
        <v>674</v>
      </c>
      <c r="F15" s="28" t="s">
        <v>674</v>
      </c>
      <c r="G15" s="28" t="s">
        <v>674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stats'!AM:AM)=1,0.1,1)*IF(AND(_xlfn.XLOOKUP(B15,'Base stats'!B:B,'Base stats'!AM:AM)=1,D15="sarg.alphaanimals"),0.5,1)/100,IF(_xlfn.XLOOKUP(B15,'Base stats'!B:B,'Base stats'!AM:AM)=1,0.001,0.025)),0.5)))</f>
        <v>7.5000000000000011E-2</v>
      </c>
      <c r="CA15" s="25" t="str">
        <f>IF(P15="Standard","No",MAX(0.001,MIN(MROUND(IF(OR(D15="sarg.alphaanimals",AND(BJ15="True",CC15="False")),POWER(10,3.47*LOG10(_xlfn.XLOOKUP(B15,'Base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877</v>
      </c>
      <c r="C16" s="28" t="s">
        <v>688</v>
      </c>
      <c r="D16" s="28" t="s">
        <v>45</v>
      </c>
      <c r="E16" s="28" t="s">
        <v>674</v>
      </c>
      <c r="F16" s="28" t="s">
        <v>674</v>
      </c>
      <c r="G16" s="28" t="s">
        <v>674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stats'!AM:AM)=1,0.1,1)*IF(AND(_xlfn.XLOOKUP(B16,'Base stats'!B:B,'Base stats'!AM:AM)=1,D16="sarg.alphaanimals"),0.5,1)/100,IF(_xlfn.XLOOKUP(B16,'Base stats'!B:B,'Base stats'!AM:AM)=1,0.001,0.025)),0.5)))</f>
        <v>7.5000000000000011E-2</v>
      </c>
      <c r="CA16" s="25" t="str">
        <f>IF(P16="Standard","No",MAX(0.001,MIN(MROUND(IF(OR(D16="sarg.alphaanimals",AND(BJ16="True",CC16="False")),POWER(10,3.47*LOG10(_xlfn.XLOOKUP(B16,'Base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689</v>
      </c>
      <c r="D17" s="28" t="s">
        <v>45</v>
      </c>
      <c r="E17" s="28" t="s">
        <v>690</v>
      </c>
      <c r="F17" s="28" t="s">
        <v>691</v>
      </c>
      <c r="G17" s="28" t="s">
        <v>674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stats'!AM:AM)=1,0.1,1)*IF(AND(_xlfn.XLOOKUP(B17,'Base stats'!B:B,'Base stats'!AM:AM)=1,D17="sarg.alphaanimals"),0.5,1)/100,IF(_xlfn.XLOOKUP(B17,'Base stats'!B:B,'Base stats'!AM:AM)=1,0.001,0.025)),0.5)))</f>
        <v>0.05</v>
      </c>
      <c r="CA17" s="25" t="str">
        <f>IF(P17="Standard","No",MAX(0.001,MIN(MROUND(IF(OR(D17="sarg.alphaanimals",AND(BJ17="True",CC17="False")),POWER(10,3.47*LOG10(_xlfn.XLOOKUP(B17,'Base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692</v>
      </c>
      <c r="D18" s="28" t="s">
        <v>45</v>
      </c>
      <c r="E18" s="28" t="s">
        <v>690</v>
      </c>
      <c r="F18" s="28" t="s">
        <v>691</v>
      </c>
      <c r="G18" s="28" t="s">
        <v>674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stats'!AM:AM)=1,0.1,1)*IF(AND(_xlfn.XLOOKUP(B18,'Base stats'!B:B,'Base stats'!AM:AM)=1,D18="sarg.alphaanimals"),0.5,1)/100,IF(_xlfn.XLOOKUP(B18,'Base stats'!B:B,'Base stats'!AM:AM)=1,0.001,0.025)),0.5)))</f>
        <v>0.05</v>
      </c>
      <c r="CA18" s="25" t="str">
        <f>IF(P18="Standard","No",MAX(0.001,MIN(MROUND(IF(OR(D18="sarg.alphaanimals",AND(BJ18="True",CC18="False")),POWER(10,3.47*LOG10(_xlfn.XLOOKUP(B18,'Base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693</v>
      </c>
      <c r="D19" s="28" t="s">
        <v>45</v>
      </c>
      <c r="E19" s="28" t="s">
        <v>674</v>
      </c>
      <c r="F19" s="28" t="s">
        <v>674</v>
      </c>
      <c r="G19" s="28" t="s">
        <v>674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stats'!AM:AM)=1,0.1,1)*IF(AND(_xlfn.XLOOKUP(B19,'Base stats'!B:B,'Base stats'!AM:AM)=1,D19="sarg.alphaanimals"),0.5,1)/100,IF(_xlfn.XLOOKUP(B19,'Base stats'!B:B,'Base stats'!AM:AM)=1,0.001,0.025)),0.5)))</f>
        <v>7.5000000000000011E-2</v>
      </c>
      <c r="CA19" s="25" t="str">
        <f>IF(P19="Standard","No",MAX(0.001,MIN(MROUND(IF(OR(D19="sarg.alphaanimals",AND(BJ19="True",CC19="False")),POWER(10,3.47*LOG10(_xlfn.XLOOKUP(B19,'Base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694</v>
      </c>
      <c r="D20" s="28" t="s">
        <v>45</v>
      </c>
      <c r="E20" s="28" t="s">
        <v>674</v>
      </c>
      <c r="F20" s="28" t="s">
        <v>674</v>
      </c>
      <c r="G20" s="28" t="s">
        <v>674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stats'!AM:AM)=1,0.1,1)*IF(AND(_xlfn.XLOOKUP(B20,'Base stats'!B:B,'Base stats'!AM:AM)=1,D20="sarg.alphaanimals"),0.5,1)/100,IF(_xlfn.XLOOKUP(B20,'Base stats'!B:B,'Base stats'!AM:AM)=1,0.001,0.025)),0.5)))</f>
        <v>0.1</v>
      </c>
      <c r="CA20" s="25" t="str">
        <f>IF(P20="Standard","No",MAX(0.001,MIN(MROUND(IF(OR(D20="sarg.alphaanimals",AND(BJ20="True",CC20="False")),POWER(10,3.47*LOG10(_xlfn.XLOOKUP(B20,'Base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695</v>
      </c>
      <c r="D21" s="28" t="s">
        <v>45</v>
      </c>
      <c r="E21" s="28" t="s">
        <v>674</v>
      </c>
      <c r="F21" s="28" t="s">
        <v>674</v>
      </c>
      <c r="G21" s="28" t="s">
        <v>674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stats'!AM:AM)=1,0.1,1)*IF(AND(_xlfn.XLOOKUP(B21,'Base stats'!B:B,'Base stats'!AM:AM)=1,D21="sarg.alphaanimals"),0.5,1)/100,IF(_xlfn.XLOOKUP(B21,'Base stats'!B:B,'Base stats'!AM:AM)=1,0.001,0.025)),0.5)))</f>
        <v>0.15000000000000002</v>
      </c>
      <c r="CA21" s="25" t="str">
        <f>IF(P21="Standard","No",MAX(0.001,MIN(MROUND(IF(OR(D21="sarg.alphaanimals",AND(BJ21="True",CC21="False")),POWER(10,3.47*LOG10(_xlfn.XLOOKUP(B21,'Base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696</v>
      </c>
      <c r="D22" s="28" t="s">
        <v>45</v>
      </c>
      <c r="E22" s="28" t="s">
        <v>674</v>
      </c>
      <c r="F22" s="28" t="s">
        <v>674</v>
      </c>
      <c r="G22" s="28" t="s">
        <v>674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stats'!AM:AM)=1,0.1,1)*IF(AND(_xlfn.XLOOKUP(B22,'Base stats'!B:B,'Base stats'!AM:AM)=1,D22="sarg.alphaanimals"),0.5,1)/100,IF(_xlfn.XLOOKUP(B22,'Base stats'!B:B,'Base stats'!AM:AM)=1,0.001,0.025)),0.5)))</f>
        <v>0.17500000000000002</v>
      </c>
      <c r="CA22" s="25" t="str">
        <f>IF(P22="Standard","No",MAX(0.001,MIN(MROUND(IF(OR(D22="sarg.alphaanimals",AND(BJ22="True",CC22="False")),POWER(10,3.47*LOG10(_xlfn.XLOOKUP(B22,'Base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878</v>
      </c>
      <c r="C23" s="28" t="s">
        <v>697</v>
      </c>
      <c r="D23" s="28" t="s">
        <v>45</v>
      </c>
      <c r="E23" s="28" t="s">
        <v>698</v>
      </c>
      <c r="F23" s="28" t="s">
        <v>699</v>
      </c>
      <c r="G23" s="28" t="s">
        <v>674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stats'!AM:AM)=1,0.1,1)*IF(AND(_xlfn.XLOOKUP(B23,'Base stats'!B:B,'Base stats'!AM:AM)=1,D23="sarg.alphaanimals"),0.5,1)/100,IF(_xlfn.XLOOKUP(B23,'Base stats'!B:B,'Base stats'!AM:AM)=1,0.001,0.025)),0.5)))</f>
        <v>0.42500000000000004</v>
      </c>
      <c r="CA23" s="25" t="str">
        <f>IF(P23="Standard","No",MAX(0.001,MIN(MROUND(IF(OR(D23="sarg.alphaanimals",AND(BJ23="True",CC23="False")),POWER(10,3.47*LOG10(_xlfn.XLOOKUP(B23,'Base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700</v>
      </c>
      <c r="D24" s="28" t="s">
        <v>45</v>
      </c>
      <c r="E24" s="28" t="s">
        <v>698</v>
      </c>
      <c r="F24" s="28" t="s">
        <v>699</v>
      </c>
      <c r="G24" s="28" t="s">
        <v>674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stats'!AM:AM)=1,0.1,1)*IF(AND(_xlfn.XLOOKUP(B24,'Base stats'!B:B,'Base stats'!AM:AM)=1,D24="sarg.alphaanimals"),0.5,1)/100,IF(_xlfn.XLOOKUP(B24,'Base stats'!B:B,'Base stats'!AM:AM)=1,0.001,0.025)),0.5)))</f>
        <v>0.42500000000000004</v>
      </c>
      <c r="CA24" s="25" t="str">
        <f>IF(P24="Standard","No",MAX(0.001,MIN(MROUND(IF(OR(D24="sarg.alphaanimals",AND(BJ24="True",CC24="False")),POWER(10,3.47*LOG10(_xlfn.XLOOKUP(B24,'Base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1139</v>
      </c>
      <c r="C25" s="28" t="s">
        <v>701</v>
      </c>
      <c r="D25" s="28" t="s">
        <v>45</v>
      </c>
      <c r="E25" s="28" t="s">
        <v>674</v>
      </c>
      <c r="F25" s="28" t="s">
        <v>674</v>
      </c>
      <c r="G25" s="28" t="s">
        <v>674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stats'!AM:AM)=1,0.1,1)*IF(AND(_xlfn.XLOOKUP(B25,'Base stats'!B:B,'Base stats'!AM:AM)=1,D25="sarg.alphaanimals"),0.5,1)/100,IF(_xlfn.XLOOKUP(B25,'Base stats'!B:B,'Base stats'!AM:AM)=1,0.001,0.025)),0.5)))</f>
        <v>0.125</v>
      </c>
      <c r="CA25" s="25" t="str">
        <f>IF(P25="Standard","No",MAX(0.001,MIN(MROUND(IF(OR(D25="sarg.alphaanimals",AND(BJ25="True",CC25="False")),POWER(10,3.47*LOG10(_xlfn.XLOOKUP(B25,'Base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702</v>
      </c>
      <c r="D26" s="28" t="s">
        <v>45</v>
      </c>
      <c r="E26" s="28" t="s">
        <v>674</v>
      </c>
      <c r="F26" s="28" t="s">
        <v>674</v>
      </c>
      <c r="G26" s="28" t="s">
        <v>674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stats'!AM:AM)=1,0.1,1)*IF(AND(_xlfn.XLOOKUP(B26,'Base stats'!B:B,'Base stats'!AM:AM)=1,D26="sarg.alphaanimals"),0.5,1)/100,IF(_xlfn.XLOOKUP(B26,'Base stats'!B:B,'Base stats'!AM:AM)=1,0.001,0.025)),0.5)))</f>
        <v>0.1</v>
      </c>
      <c r="CA26" s="25" t="str">
        <f>IF(P26="Standard","No",MAX(0.001,MIN(MROUND(IF(OR(D26="sarg.alphaanimals",AND(BJ26="True",CC26="False")),POWER(10,3.47*LOG10(_xlfn.XLOOKUP(B26,'Base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703</v>
      </c>
      <c r="D27" s="28" t="s">
        <v>45</v>
      </c>
      <c r="E27" s="28" t="s">
        <v>674</v>
      </c>
      <c r="F27" s="28" t="s">
        <v>674</v>
      </c>
      <c r="G27" s="28" t="s">
        <v>674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stats'!AM:AM)=1,0.1,1)*IF(AND(_xlfn.XLOOKUP(B27,'Base stats'!B:B,'Base stats'!AM:AM)=1,D27="sarg.alphaanimals"),0.5,1)/100,IF(_xlfn.XLOOKUP(B27,'Base stats'!B:B,'Base stats'!AM:AM)=1,0.001,0.025)),0.5)))</f>
        <v>1.0999999999999999E-2</v>
      </c>
      <c r="CA27" s="25">
        <f>IF(P27="Standard","No",MAX(0.001,MIN(MROUND(IF(OR(D27="sarg.alphaanimals",AND(BJ27="True",CC27="False")),POWER(10,3.47*LOG10(_xlfn.XLOOKUP(B27,'Base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704</v>
      </c>
      <c r="D28" s="28" t="s">
        <v>45</v>
      </c>
      <c r="E28" s="28" t="s">
        <v>674</v>
      </c>
      <c r="F28" s="28" t="s">
        <v>674</v>
      </c>
      <c r="G28" s="28" t="s">
        <v>674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stats'!AM:AM)=1,0.1,1)*IF(AND(_xlfn.XLOOKUP(B28,'Base stats'!B:B,'Base stats'!AM:AM)=1,D28="sarg.alphaanimals"),0.5,1)/100,IF(_xlfn.XLOOKUP(B28,'Base stats'!B:B,'Base stats'!AM:AM)=1,0.001,0.025)),0.5)))</f>
        <v>0.1</v>
      </c>
      <c r="CA28" s="25" t="str">
        <f>IF(P28="Standard","No",MAX(0.001,MIN(MROUND(IF(OR(D28="sarg.alphaanimals",AND(BJ28="True",CC28="False")),POWER(10,3.47*LOG10(_xlfn.XLOOKUP(B28,'Base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705</v>
      </c>
      <c r="D29" s="28" t="s">
        <v>45</v>
      </c>
      <c r="E29" s="28" t="s">
        <v>674</v>
      </c>
      <c r="F29" s="28" t="s">
        <v>674</v>
      </c>
      <c r="G29" s="28" t="s">
        <v>674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stats'!AM:AM)=1,0.1,1)*IF(AND(_xlfn.XLOOKUP(B29,'Base stats'!B:B,'Base stats'!AM:AM)=1,D29="sarg.alphaanimals"),0.5,1)/100,IF(_xlfn.XLOOKUP(B29,'Base stats'!B:B,'Base stats'!AM:AM)=1,0.001,0.025)),0.5)))</f>
        <v>0.17500000000000002</v>
      </c>
      <c r="CA29" s="25">
        <f>IF(P29="Standard","No",MAX(0.001,MIN(MROUND(IF(OR(D29="sarg.alphaanimals",AND(BJ29="True",CC29="False")),POWER(10,3.47*LOG10(_xlfn.XLOOKUP(B29,'Base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706</v>
      </c>
      <c r="D30" s="28" t="s">
        <v>45</v>
      </c>
      <c r="E30" s="28" t="s">
        <v>674</v>
      </c>
      <c r="F30" s="28" t="s">
        <v>674</v>
      </c>
      <c r="G30" s="28" t="s">
        <v>674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stats'!AM:AM)=1,0.1,1)*IF(AND(_xlfn.XLOOKUP(B30,'Base stats'!B:B,'Base stats'!AM:AM)=1,D30="sarg.alphaanimals"),0.5,1)/100,IF(_xlfn.XLOOKUP(B30,'Base stats'!B:B,'Base stats'!AM:AM)=1,0.001,0.025)),0.5)))</f>
        <v>0.15000000000000002</v>
      </c>
      <c r="CA30" s="25" t="str">
        <f>IF(P30="Standard","No",MAX(0.001,MIN(MROUND(IF(OR(D30="sarg.alphaanimals",AND(BJ30="True",CC30="False")),POWER(10,3.47*LOG10(_xlfn.XLOOKUP(B30,'Base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707</v>
      </c>
      <c r="D31" s="28" t="s">
        <v>45</v>
      </c>
      <c r="E31" s="28" t="s">
        <v>674</v>
      </c>
      <c r="F31" s="28" t="s">
        <v>674</v>
      </c>
      <c r="G31" s="28" t="s">
        <v>674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stats'!AM:AM)=1,0.1,1)*IF(AND(_xlfn.XLOOKUP(B31,'Base stats'!B:B,'Base stats'!AM:AM)=1,D31="sarg.alphaanimals"),0.5,1)/100,IF(_xlfn.XLOOKUP(B31,'Base stats'!B:B,'Base stats'!AM:AM)=1,0.001,0.025)),0.5)))</f>
        <v>0.375</v>
      </c>
      <c r="CA31" s="25" t="str">
        <f>IF(P31="Standard","No",MAX(0.001,MIN(MROUND(IF(OR(D31="sarg.alphaanimals",AND(BJ31="True",CC31="False")),POWER(10,3.47*LOG10(_xlfn.XLOOKUP(B31,'Base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708</v>
      </c>
      <c r="D32" s="28" t="s">
        <v>45</v>
      </c>
      <c r="E32" s="28" t="s">
        <v>674</v>
      </c>
      <c r="F32" s="28" t="s">
        <v>674</v>
      </c>
      <c r="G32" s="28" t="s">
        <v>674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stats'!AM:AM)=1,0.1,1)*IF(AND(_xlfn.XLOOKUP(B32,'Base stats'!B:B,'Base stats'!AM:AM)=1,D32="sarg.alphaanimals"),0.5,1)/100,IF(_xlfn.XLOOKUP(B32,'Base stats'!B:B,'Base stats'!AM:AM)=1,0.001,0.025)),0.5)))</f>
        <v>0.5</v>
      </c>
      <c r="CA32" s="25">
        <f>IF(P32="Standard","No",MAX(0.001,MIN(MROUND(IF(OR(D32="sarg.alphaanimals",AND(BJ32="True",CC32="False")),POWER(10,3.47*LOG10(_xlfn.XLOOKUP(B32,'Base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709</v>
      </c>
      <c r="D33" s="28" t="s">
        <v>45</v>
      </c>
      <c r="E33" s="28" t="s">
        <v>674</v>
      </c>
      <c r="F33" s="28" t="s">
        <v>674</v>
      </c>
      <c r="G33" s="28" t="s">
        <v>674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stats'!AM:AM)=1,0.1,1)*IF(AND(_xlfn.XLOOKUP(B33,'Base stats'!B:B,'Base stats'!AM:AM)=1,D33="sarg.alphaanimals"),0.5,1)/100,IF(_xlfn.XLOOKUP(B33,'Base stats'!B:B,'Base stats'!AM:AM)=1,0.001,0.025)),0.5)))</f>
        <v>0.35000000000000003</v>
      </c>
      <c r="CA33" s="25" t="str">
        <f>IF(P33="Standard","No",MAX(0.001,MIN(MROUND(IF(OR(D33="sarg.alphaanimals",AND(BJ33="True",CC33="False")),POWER(10,3.47*LOG10(_xlfn.XLOOKUP(B33,'Base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710</v>
      </c>
      <c r="D34" s="28" t="s">
        <v>45</v>
      </c>
      <c r="E34" s="28" t="s">
        <v>674</v>
      </c>
      <c r="F34" s="28" t="s">
        <v>674</v>
      </c>
      <c r="G34" s="28" t="s">
        <v>674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stats'!AM:AM)=1,0.1,1)*IF(AND(_xlfn.XLOOKUP(B34,'Base stats'!B:B,'Base stats'!AM:AM)=1,D34="sarg.alphaanimals"),0.5,1)/100,IF(_xlfn.XLOOKUP(B34,'Base stats'!B:B,'Base stats'!AM:AM)=1,0.001,0.025)),0.5)))</f>
        <v>0.25</v>
      </c>
      <c r="CA34" s="25" t="str">
        <f>IF(P34="Standard","No",MAX(0.001,MIN(MROUND(IF(OR(D34="sarg.alphaanimals",AND(BJ34="True",CC34="False")),POWER(10,3.47*LOG10(_xlfn.XLOOKUP(B34,'Base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711</v>
      </c>
      <c r="D35" s="28" t="s">
        <v>45</v>
      </c>
      <c r="E35" s="28" t="s">
        <v>674</v>
      </c>
      <c r="F35" s="28" t="s">
        <v>674</v>
      </c>
      <c r="G35" s="28" t="s">
        <v>674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stats'!AM:AM)=1,0.1,1)*IF(AND(_xlfn.XLOOKUP(B35,'Base stats'!B:B,'Base stats'!AM:AM)=1,D35="sarg.alphaanimals"),0.5,1)/100,IF(_xlfn.XLOOKUP(B35,'Base stats'!B:B,'Base stats'!AM:AM)=1,0.001,0.025)),0.5)))</f>
        <v>0.5</v>
      </c>
      <c r="CA35" s="25">
        <f>IF(P35="Standard","No",MAX(0.001,MIN(MROUND(IF(OR(D35="sarg.alphaanimals",AND(BJ35="True",CC35="False")),POWER(10,3.47*LOG10(_xlfn.XLOOKUP(B35,'Base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712</v>
      </c>
      <c r="D36" s="28" t="s">
        <v>45</v>
      </c>
      <c r="E36" s="28" t="s">
        <v>674</v>
      </c>
      <c r="F36" s="28" t="s">
        <v>674</v>
      </c>
      <c r="G36" s="28" t="s">
        <v>674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stats'!AM:AM)=1,0.1,1)*IF(AND(_xlfn.XLOOKUP(B36,'Base stats'!B:B,'Base stats'!AM:AM)=1,D36="sarg.alphaanimals"),0.5,1)/100,IF(_xlfn.XLOOKUP(B36,'Base stats'!B:B,'Base stats'!AM:AM)=1,0.001,0.025)),0.5)))</f>
        <v>0.5</v>
      </c>
      <c r="CA36" s="25" t="str">
        <f>IF(P36="Standard","No",MAX(0.001,MIN(MROUND(IF(OR(D36="sarg.alphaanimals",AND(BJ36="True",CC36="False")),POWER(10,3.47*LOG10(_xlfn.XLOOKUP(B36,'Base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713</v>
      </c>
      <c r="D37" s="28" t="s">
        <v>45</v>
      </c>
      <c r="E37" s="28" t="s">
        <v>674</v>
      </c>
      <c r="F37" s="28" t="s">
        <v>674</v>
      </c>
      <c r="G37" s="28" t="s">
        <v>674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stats'!AM:AM)=1,0.1,1)*IF(AND(_xlfn.XLOOKUP(B37,'Base stats'!B:B,'Base stats'!AM:AM)=1,D37="sarg.alphaanimals"),0.5,1)/100,IF(_xlfn.XLOOKUP(B37,'Base stats'!B:B,'Base stats'!AM:AM)=1,0.001,0.025)),0.5)))</f>
        <v>0.5</v>
      </c>
      <c r="CA37" s="25" t="str">
        <f>IF(P37="Standard","No",MAX(0.001,MIN(MROUND(IF(OR(D37="sarg.alphaanimals",AND(BJ37="True",CC37="False")),POWER(10,3.47*LOG10(_xlfn.XLOOKUP(B37,'Base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714</v>
      </c>
      <c r="D38" s="28" t="s">
        <v>45</v>
      </c>
      <c r="E38" s="28" t="s">
        <v>674</v>
      </c>
      <c r="F38" s="28" t="s">
        <v>674</v>
      </c>
      <c r="G38" s="28" t="s">
        <v>674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stats'!AM:AM)=1,0.1,1)*IF(AND(_xlfn.XLOOKUP(B38,'Base stats'!B:B,'Base stats'!AM:AM)=1,D38="sarg.alphaanimals"),0.5,1)/100,IF(_xlfn.XLOOKUP(B38,'Base stats'!B:B,'Base stats'!AM:AM)=1,0.001,0.025)),0.5)))</f>
        <v>0.5</v>
      </c>
      <c r="CA38" s="25" t="str">
        <f>IF(P38="Standard","No",MAX(0.001,MIN(MROUND(IF(OR(D38="sarg.alphaanimals",AND(BJ38="True",CC38="False")),POWER(10,3.47*LOG10(_xlfn.XLOOKUP(B38,'Base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715</v>
      </c>
      <c r="D39" s="28" t="s">
        <v>45</v>
      </c>
      <c r="E39" s="28" t="s">
        <v>674</v>
      </c>
      <c r="F39" s="28" t="s">
        <v>674</v>
      </c>
      <c r="G39" s="28" t="s">
        <v>674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stats'!AM:AM)=1,0.1,1)*IF(AND(_xlfn.XLOOKUP(B39,'Base stats'!B:B,'Base stats'!AM:AM)=1,D39="sarg.alphaanimals"),0.5,1)/100,IF(_xlfn.XLOOKUP(B39,'Base stats'!B:B,'Base stats'!AM:AM)=1,0.001,0.025)),0.5)))</f>
        <v>0.22500000000000001</v>
      </c>
      <c r="CA39" s="25" t="str">
        <f>IF(P39="Standard","No",MAX(0.001,MIN(MROUND(IF(OR(D39="sarg.alphaanimals",AND(BJ39="True",CC39="False")),POWER(10,3.47*LOG10(_xlfn.XLOOKUP(B39,'Base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716</v>
      </c>
      <c r="D40" s="28" t="s">
        <v>45</v>
      </c>
      <c r="E40" s="28" t="s">
        <v>674</v>
      </c>
      <c r="F40" s="28" t="s">
        <v>674</v>
      </c>
      <c r="G40" s="28" t="s">
        <v>674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stats'!AM:AM)=1,0.1,1)*IF(AND(_xlfn.XLOOKUP(B40,'Base stats'!B:B,'Base stats'!AM:AM)=1,D40="sarg.alphaanimals"),0.5,1)/100,IF(_xlfn.XLOOKUP(B40,'Base stats'!B:B,'Base stats'!AM:AM)=1,0.001,0.025)),0.5)))</f>
        <v>0.22500000000000001</v>
      </c>
      <c r="CA40" s="25" t="str">
        <f>IF(P40="Standard","No",MAX(0.001,MIN(MROUND(IF(OR(D40="sarg.alphaanimals",AND(BJ40="True",CC40="False")),POWER(10,3.47*LOG10(_xlfn.XLOOKUP(B40,'Base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717</v>
      </c>
      <c r="D41" s="28" t="s">
        <v>45</v>
      </c>
      <c r="E41" s="28" t="s">
        <v>674</v>
      </c>
      <c r="F41" s="28" t="s">
        <v>674</v>
      </c>
      <c r="G41" s="28" t="s">
        <v>674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stats'!AM:AM)=1,0.1,1)*IF(AND(_xlfn.XLOOKUP(B41,'Base stats'!B:B,'Base stats'!AM:AM)=1,D41="sarg.alphaanimals"),0.5,1)/100,IF(_xlfn.XLOOKUP(B41,'Base stats'!B:B,'Base stats'!AM:AM)=1,0.001,0.025)),0.5)))</f>
        <v>0.15000000000000002</v>
      </c>
      <c r="CA41" s="25">
        <f>IF(P41="Standard","No",MAX(0.001,MIN(MROUND(IF(OR(D41="sarg.alphaanimals",AND(BJ41="True",CC41="False")),POWER(10,3.47*LOG10(_xlfn.XLOOKUP(B41,'Base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718</v>
      </c>
      <c r="D42" s="28" t="s">
        <v>45</v>
      </c>
      <c r="E42" s="28" t="s">
        <v>674</v>
      </c>
      <c r="F42" s="28" t="s">
        <v>674</v>
      </c>
      <c r="G42" s="28" t="s">
        <v>674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stats'!AM:AM)=1,0.1,1)*IF(AND(_xlfn.XLOOKUP(B42,'Base stats'!B:B,'Base stats'!AM:AM)=1,D42="sarg.alphaanimals"),0.5,1)/100,IF(_xlfn.XLOOKUP(B42,'Base stats'!B:B,'Base stats'!AM:AM)=1,0.001,0.025)),0.5)))</f>
        <v>0.15000000000000002</v>
      </c>
      <c r="CA42" s="25" t="str">
        <f>IF(P42="Standard","No",MAX(0.001,MIN(MROUND(IF(OR(D42="sarg.alphaanimals",AND(BJ42="True",CC42="False")),POWER(10,3.47*LOG10(_xlfn.XLOOKUP(B42,'Base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719</v>
      </c>
      <c r="D43" s="28" t="s">
        <v>45</v>
      </c>
      <c r="E43" s="28" t="s">
        <v>674</v>
      </c>
      <c r="F43" s="28" t="s">
        <v>674</v>
      </c>
      <c r="G43" s="28" t="s">
        <v>674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stats'!AM:AM)=1,0.1,1)*IF(AND(_xlfn.XLOOKUP(B43,'Base stats'!B:B,'Base stats'!AM:AM)=1,D43="sarg.alphaanimals"),0.5,1)/100,IF(_xlfn.XLOOKUP(B43,'Base stats'!B:B,'Base stats'!AM:AM)=1,0.001,0.025)),0.5)))</f>
        <v>0.15000000000000002</v>
      </c>
      <c r="CA43" s="25" t="str">
        <f>IF(P43="Standard","No",MAX(0.001,MIN(MROUND(IF(OR(D43="sarg.alphaanimals",AND(BJ43="True",CC43="False")),POWER(10,3.47*LOG10(_xlfn.XLOOKUP(B43,'Base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720</v>
      </c>
      <c r="D44" s="28" t="s">
        <v>45</v>
      </c>
      <c r="E44" s="28" t="s">
        <v>674</v>
      </c>
      <c r="F44" s="28" t="s">
        <v>674</v>
      </c>
      <c r="G44" s="28" t="s">
        <v>674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stats'!AM:AM)=1,0.1,1)*IF(AND(_xlfn.XLOOKUP(B44,'Base stats'!B:B,'Base stats'!AM:AM)=1,D44="sarg.alphaanimals"),0.5,1)/100,IF(_xlfn.XLOOKUP(B44,'Base stats'!B:B,'Base stats'!AM:AM)=1,0.001,0.025)),0.5)))</f>
        <v>0.15000000000000002</v>
      </c>
      <c r="CA44" s="25" t="str">
        <f>IF(P44="Standard","No",MAX(0.001,MIN(MROUND(IF(OR(D44="sarg.alphaanimals",AND(BJ44="True",CC44="False")),POWER(10,3.47*LOG10(_xlfn.XLOOKUP(B44,'Base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721</v>
      </c>
      <c r="D45" s="28" t="s">
        <v>45</v>
      </c>
      <c r="E45" s="28" t="s">
        <v>674</v>
      </c>
      <c r="F45" s="28" t="s">
        <v>674</v>
      </c>
      <c r="G45" s="28" t="s">
        <v>674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stats'!AM:AM)=1,0.1,1)*IF(AND(_xlfn.XLOOKUP(B45,'Base stats'!B:B,'Base stats'!AM:AM)=1,D45="sarg.alphaanimals"),0.5,1)/100,IF(_xlfn.XLOOKUP(B45,'Base stats'!B:B,'Base stats'!AM:AM)=1,0.001,0.025)),0.5)))</f>
        <v>0.15000000000000002</v>
      </c>
      <c r="CA45" s="25" t="str">
        <f>IF(P45="Standard","No",MAX(0.001,MIN(MROUND(IF(OR(D45="sarg.alphaanimals",AND(BJ45="True",CC45="False")),POWER(10,3.47*LOG10(_xlfn.XLOOKUP(B45,'Base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722</v>
      </c>
      <c r="D46" s="28" t="s">
        <v>45</v>
      </c>
      <c r="E46" s="28" t="s">
        <v>674</v>
      </c>
      <c r="F46" s="28" t="s">
        <v>674</v>
      </c>
      <c r="G46" s="28" t="s">
        <v>674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stats'!AM:AM)=1,0.1,1)*IF(AND(_xlfn.XLOOKUP(B46,'Base stats'!B:B,'Base stats'!AM:AM)=1,D46="sarg.alphaanimals"),0.5,1)/100,IF(_xlfn.XLOOKUP(B46,'Base stats'!B:B,'Base stats'!AM:AM)=1,0.001,0.025)),0.5)))</f>
        <v>0.17500000000000002</v>
      </c>
      <c r="CA46" s="25" t="str">
        <f>IF(P46="Standard","No",MAX(0.001,MIN(MROUND(IF(OR(D46="sarg.alphaanimals",AND(BJ46="True",CC46="False")),POWER(10,3.47*LOG10(_xlfn.XLOOKUP(B46,'Base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723</v>
      </c>
      <c r="D47" s="28" t="s">
        <v>45</v>
      </c>
      <c r="E47" s="28" t="s">
        <v>674</v>
      </c>
      <c r="F47" s="28" t="s">
        <v>674</v>
      </c>
      <c r="G47" s="28" t="s">
        <v>674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stats'!AM:AM)=1,0.1,1)*IF(AND(_xlfn.XLOOKUP(B47,'Base stats'!B:B,'Base stats'!AM:AM)=1,D47="sarg.alphaanimals"),0.5,1)/100,IF(_xlfn.XLOOKUP(B47,'Base stats'!B:B,'Base stats'!AM:AM)=1,0.001,0.025)),0.5)))</f>
        <v>0.1</v>
      </c>
      <c r="CA47" s="25">
        <f>IF(P47="Standard","No",MAX(0.001,MIN(MROUND(IF(OR(D47="sarg.alphaanimals",AND(BJ47="True",CC47="False")),POWER(10,3.47*LOG10(_xlfn.XLOOKUP(B47,'Base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880</v>
      </c>
      <c r="C48" s="28" t="s">
        <v>724</v>
      </c>
      <c r="D48" s="28" t="s">
        <v>872</v>
      </c>
      <c r="E48" s="28" t="s">
        <v>674</v>
      </c>
      <c r="F48" s="28" t="s">
        <v>674</v>
      </c>
      <c r="G48" s="28" t="s">
        <v>674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stats'!AM:AM)=1,0.1,1)*IF(AND(_xlfn.XLOOKUP(B48,'Base stats'!B:B,'Base stats'!AM:AM)=1,D48="sarg.alphaanimals"),0.5,1)/100,IF(_xlfn.XLOOKUP(B48,'Base stats'!B:B,'Base stats'!AM:AM)=1,0.001,0.025)),0.5)))</f>
        <v>No</v>
      </c>
      <c r="CA48" s="25">
        <f>IF(P48="Standard","No",MAX(0.001,MIN(MROUND(IF(OR(D48="sarg.alphaanimals",AND(BJ48="True",CC48="False")),POWER(10,3.47*LOG10(_xlfn.XLOOKUP(B48,'Base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725</v>
      </c>
      <c r="D49" s="28" t="s">
        <v>45</v>
      </c>
      <c r="E49" s="28" t="s">
        <v>674</v>
      </c>
      <c r="F49" s="28" t="s">
        <v>674</v>
      </c>
      <c r="G49" s="28" t="s">
        <v>674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stats'!AM:AM)=1,0.1,1)*IF(AND(_xlfn.XLOOKUP(B49,'Base stats'!B:B,'Base stats'!AM:AM)=1,D49="sarg.alphaanimals"),0.5,1)/100,IF(_xlfn.XLOOKUP(B49,'Base stats'!B:B,'Base stats'!AM:AM)=1,0.001,0.025)),0.5)))</f>
        <v>0.17500000000000002</v>
      </c>
      <c r="CA49" s="25" t="str">
        <f>IF(P49="Standard","No",MAX(0.001,MIN(MROUND(IF(OR(D49="sarg.alphaanimals",AND(BJ49="True",CC49="False")),POWER(10,3.47*LOG10(_xlfn.XLOOKUP(B49,'Base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726</v>
      </c>
      <c r="D50" s="28" t="s">
        <v>45</v>
      </c>
      <c r="E50" s="28" t="s">
        <v>674</v>
      </c>
      <c r="F50" s="28" t="s">
        <v>674</v>
      </c>
      <c r="G50" s="28" t="s">
        <v>674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stats'!AM:AM)=1,0.1,1)*IF(AND(_xlfn.XLOOKUP(B50,'Base stats'!B:B,'Base stats'!AM:AM)=1,D50="sarg.alphaanimals"),0.5,1)/100,IF(_xlfn.XLOOKUP(B50,'Base stats'!B:B,'Base stats'!AM:AM)=1,0.001,0.025)),0.5)))</f>
        <v>0.2</v>
      </c>
      <c r="CA50" s="25" t="str">
        <f>IF(P50="Standard","No",MAX(0.001,MIN(MROUND(IF(OR(D50="sarg.alphaanimals",AND(BJ50="True",CC50="False")),POWER(10,3.47*LOG10(_xlfn.XLOOKUP(B50,'Base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727</v>
      </c>
      <c r="D51" s="28" t="s">
        <v>45</v>
      </c>
      <c r="E51" s="28" t="s">
        <v>674</v>
      </c>
      <c r="F51" s="28" t="s">
        <v>674</v>
      </c>
      <c r="G51" s="28" t="s">
        <v>674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stats'!AM:AM)=1,0.1,1)*IF(AND(_xlfn.XLOOKUP(B51,'Base stats'!B:B,'Base stats'!AM:AM)=1,D51="sarg.alphaanimals"),0.5,1)/100,IF(_xlfn.XLOOKUP(B51,'Base stats'!B:B,'Base stats'!AM:AM)=1,0.001,0.025)),0.5)))</f>
        <v>0.2</v>
      </c>
      <c r="CA51" s="25" t="str">
        <f>IF(P51="Standard","No",MAX(0.001,MIN(MROUND(IF(OR(D51="sarg.alphaanimals",AND(BJ51="True",CC51="False")),POWER(10,3.47*LOG10(_xlfn.XLOOKUP(B51,'Base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728</v>
      </c>
      <c r="D52" s="28" t="s">
        <v>45</v>
      </c>
      <c r="E52" s="28" t="s">
        <v>674</v>
      </c>
      <c r="F52" s="28" t="s">
        <v>674</v>
      </c>
      <c r="G52" s="28" t="s">
        <v>674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stats'!AM:AM)=1,0.1,1)*IF(AND(_xlfn.XLOOKUP(B52,'Base stats'!B:B,'Base stats'!AM:AM)=1,D52="sarg.alphaanimals"),0.5,1)/100,IF(_xlfn.XLOOKUP(B52,'Base stats'!B:B,'Base stats'!AM:AM)=1,0.001,0.025)),0.5)))</f>
        <v>0.2</v>
      </c>
      <c r="CA52" s="25" t="str">
        <f>IF(P52="Standard","No",MAX(0.001,MIN(MROUND(IF(OR(D52="sarg.alphaanimals",AND(BJ52="True",CC52="False")),POWER(10,3.47*LOG10(_xlfn.XLOOKUP(B52,'Base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729</v>
      </c>
      <c r="D53" s="28" t="s">
        <v>45</v>
      </c>
      <c r="E53" s="28" t="s">
        <v>674</v>
      </c>
      <c r="F53" s="28" t="s">
        <v>674</v>
      </c>
      <c r="G53" s="28" t="s">
        <v>674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stats'!AM:AM)=1,0.1,1)*IF(AND(_xlfn.XLOOKUP(B53,'Base stats'!B:B,'Base stats'!AM:AM)=1,D53="sarg.alphaanimals"),0.5,1)/100,IF(_xlfn.XLOOKUP(B53,'Base stats'!B:B,'Base stats'!AM:AM)=1,0.001,0.025)),0.5)))</f>
        <v>0.22500000000000001</v>
      </c>
      <c r="CA53" s="25" t="str">
        <f>IF(P53="Standard","No",MAX(0.001,MIN(MROUND(IF(OR(D53="sarg.alphaanimals",AND(BJ53="True",CC53="False")),POWER(10,3.47*LOG10(_xlfn.XLOOKUP(B53,'Base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730</v>
      </c>
      <c r="D54" s="28" t="s">
        <v>45</v>
      </c>
      <c r="E54" s="28" t="s">
        <v>674</v>
      </c>
      <c r="F54" s="28" t="s">
        <v>674</v>
      </c>
      <c r="G54" s="28" t="s">
        <v>674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stats'!AM:AM)=1,0.1,1)*IF(AND(_xlfn.XLOOKUP(B54,'Base stats'!B:B,'Base stats'!AM:AM)=1,D54="sarg.alphaanimals"),0.5,1)/100,IF(_xlfn.XLOOKUP(B54,'Base stats'!B:B,'Base stats'!AM:AM)=1,0.001,0.025)),0.5)))</f>
        <v>0.25</v>
      </c>
      <c r="CA54" s="25" t="str">
        <f>IF(P54="Standard","No",MAX(0.001,MIN(MROUND(IF(OR(D54="sarg.alphaanimals",AND(BJ54="True",CC54="False")),POWER(10,3.47*LOG10(_xlfn.XLOOKUP(B54,'Base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731</v>
      </c>
      <c r="D55" s="28" t="s">
        <v>45</v>
      </c>
      <c r="E55" s="28" t="s">
        <v>674</v>
      </c>
      <c r="F55" s="28" t="s">
        <v>674</v>
      </c>
      <c r="G55" s="28" t="s">
        <v>674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stats'!AM:AM)=1,0.1,1)*IF(AND(_xlfn.XLOOKUP(B55,'Base stats'!B:B,'Base stats'!AM:AM)=1,D55="sarg.alphaanimals"),0.5,1)/100,IF(_xlfn.XLOOKUP(B55,'Base stats'!B:B,'Base stats'!AM:AM)=1,0.001,0.025)),0.5)))</f>
        <v>0.05</v>
      </c>
      <c r="CA55" s="25">
        <f>IF(P55="Standard","No",MAX(0.001,MIN(MROUND(IF(OR(D55="sarg.alphaanimals",AND(BJ55="True",CC55="False")),POWER(10,3.47*LOG10(_xlfn.XLOOKUP(B55,'Base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882</v>
      </c>
      <c r="C56" s="28" t="s">
        <v>732</v>
      </c>
      <c r="D56" s="28" t="s">
        <v>45</v>
      </c>
      <c r="E56" s="28" t="s">
        <v>733</v>
      </c>
      <c r="F56" s="28" t="s">
        <v>734</v>
      </c>
      <c r="G56" s="28" t="s">
        <v>674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stats'!AM:AM)=1,0.1,1)*IF(AND(_xlfn.XLOOKUP(B56,'Base stats'!B:B,'Base stats'!AM:AM)=1,D56="sarg.alphaanimals"),0.5,1)/100,IF(_xlfn.XLOOKUP(B56,'Base stats'!B:B,'Base stats'!AM:AM)=1,0.001,0.025)),0.5)))</f>
        <v>7.5000000000000011E-2</v>
      </c>
      <c r="CA56" s="25" t="str">
        <f>IF(P56="Standard","No",MAX(0.001,MIN(MROUND(IF(OR(D56="sarg.alphaanimals",AND(BJ56="True",CC56="False")),POWER(10,3.47*LOG10(_xlfn.XLOOKUP(B56,'Base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881</v>
      </c>
      <c r="C57" s="28" t="s">
        <v>735</v>
      </c>
      <c r="D57" s="28" t="s">
        <v>45</v>
      </c>
      <c r="E57" s="28" t="s">
        <v>733</v>
      </c>
      <c r="F57" s="28" t="s">
        <v>734</v>
      </c>
      <c r="G57" s="28" t="s">
        <v>674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stats'!AM:AM)=1,0.1,1)*IF(AND(_xlfn.XLOOKUP(B57,'Base stats'!B:B,'Base stats'!AM:AM)=1,D57="sarg.alphaanimals"),0.5,1)/100,IF(_xlfn.XLOOKUP(B57,'Base stats'!B:B,'Base stats'!AM:AM)=1,0.001,0.025)),0.5)))</f>
        <v>7.5000000000000011E-2</v>
      </c>
      <c r="CA57" s="25" t="str">
        <f>IF(P57="Standard","No",MAX(0.001,MIN(MROUND(IF(OR(D57="sarg.alphaanimals",AND(BJ57="True",CC57="False")),POWER(10,3.47*LOG10(_xlfn.XLOOKUP(B57,'Base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736</v>
      </c>
      <c r="D58" s="28" t="s">
        <v>45</v>
      </c>
      <c r="E58" s="28" t="s">
        <v>737</v>
      </c>
      <c r="F58" s="28" t="s">
        <v>738</v>
      </c>
      <c r="G58" s="28" t="s">
        <v>674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stats'!AM:AM)=1,0.1,1)*IF(AND(_xlfn.XLOOKUP(B58,'Base stats'!B:B,'Base stats'!AM:AM)=1,D58="sarg.alphaanimals"),0.5,1)/100,IF(_xlfn.XLOOKUP(B58,'Base stats'!B:B,'Base stats'!AM:AM)=1,0.001,0.025)),0.5)))</f>
        <v>7.5000000000000011E-2</v>
      </c>
      <c r="CA58" s="25" t="str">
        <f>IF(P58="Standard","No",MAX(0.001,MIN(MROUND(IF(OR(D58="sarg.alphaanimals",AND(BJ58="True",CC58="False")),POWER(10,3.47*LOG10(_xlfn.XLOOKUP(B58,'Base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739</v>
      </c>
      <c r="D59" s="28" t="s">
        <v>45</v>
      </c>
      <c r="E59" s="28" t="s">
        <v>737</v>
      </c>
      <c r="F59" s="28" t="s">
        <v>738</v>
      </c>
      <c r="G59" s="28" t="s">
        <v>674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stats'!AM:AM)=1,0.1,1)*IF(AND(_xlfn.XLOOKUP(B59,'Base stats'!B:B,'Base stats'!AM:AM)=1,D59="sarg.alphaanimals"),0.5,1)/100,IF(_xlfn.XLOOKUP(B59,'Base stats'!B:B,'Base stats'!AM:AM)=1,0.001,0.025)),0.5)))</f>
        <v>0.1</v>
      </c>
      <c r="CA59" s="25" t="str">
        <f>IF(P59="Standard","No",MAX(0.001,MIN(MROUND(IF(OR(D59="sarg.alphaanimals",AND(BJ59="True",CC59="False")),POWER(10,3.47*LOG10(_xlfn.XLOOKUP(B59,'Base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740</v>
      </c>
      <c r="D60" s="28" t="s">
        <v>45</v>
      </c>
      <c r="E60" s="28" t="s">
        <v>737</v>
      </c>
      <c r="F60" s="28" t="s">
        <v>738</v>
      </c>
      <c r="G60" s="28" t="s">
        <v>674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stats'!AM:AM)=1,0.1,1)*IF(AND(_xlfn.XLOOKUP(B60,'Base stats'!B:B,'Base stats'!AM:AM)=1,D60="sarg.alphaanimals"),0.5,1)/100,IF(_xlfn.XLOOKUP(B60,'Base stats'!B:B,'Base stats'!AM:AM)=1,0.001,0.025)),0.5)))</f>
        <v>0.125</v>
      </c>
      <c r="CA60" s="25" t="str">
        <f>IF(P60="Standard","No",MAX(0.001,MIN(MROUND(IF(OR(D60="sarg.alphaanimals",AND(BJ60="True",CC60="False")),POWER(10,3.47*LOG10(_xlfn.XLOOKUP(B60,'Base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741</v>
      </c>
      <c r="D61" s="28" t="s">
        <v>872</v>
      </c>
      <c r="E61" s="28" t="s">
        <v>674</v>
      </c>
      <c r="F61" s="28" t="s">
        <v>674</v>
      </c>
      <c r="G61" s="28" t="s">
        <v>674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stats'!AM:AM)=1,0.1,1)*IF(AND(_xlfn.XLOOKUP(B61,'Base stats'!B:B,'Base stats'!AM:AM)=1,D61="sarg.alphaanimals"),0.5,1)/100,IF(_xlfn.XLOOKUP(B61,'Base stats'!B:B,'Base stats'!AM:AM)=1,0.001,0.025)),0.5)))</f>
        <v>No</v>
      </c>
      <c r="CA61" s="25">
        <f>IF(P61="Standard","No",MAX(0.001,MIN(MROUND(IF(OR(D61="sarg.alphaanimals",AND(BJ61="True",CC61="False")),POWER(10,3.47*LOG10(_xlfn.XLOOKUP(B61,'Base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742</v>
      </c>
      <c r="D62" s="28" t="s">
        <v>871</v>
      </c>
      <c r="E62" s="28" t="s">
        <v>674</v>
      </c>
      <c r="F62" s="28" t="s">
        <v>450</v>
      </c>
      <c r="G62" s="28" t="s">
        <v>674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stats'!AM:AM)=1,0.1,1)*IF(AND(_xlfn.XLOOKUP(B62,'Base stats'!B:B,'Base stats'!AM:AM)=1,D62="sarg.alphaanimals"),0.5,1)/100,IF(_xlfn.XLOOKUP(B62,'Base stats'!B:B,'Base stats'!AM:AM)=1,0.001,0.025)),0.5)))</f>
        <v>1.9E-2</v>
      </c>
      <c r="CA62" s="25" t="str">
        <f>IF(P62="Standard","No",MAX(0.001,MIN(MROUND(IF(OR(D62="sarg.alphaanimals",AND(BJ62="True",CC62="False")),POWER(10,3.47*LOG10(_xlfn.XLOOKUP(B62,'Base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743</v>
      </c>
      <c r="D63" s="28" t="s">
        <v>871</v>
      </c>
      <c r="E63" s="28" t="s">
        <v>744</v>
      </c>
      <c r="F63" s="28" t="s">
        <v>674</v>
      </c>
      <c r="G63" s="28" t="s">
        <v>674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stats'!AM:AM)=1,0.1,1)*IF(AND(_xlfn.XLOOKUP(B63,'Base stats'!B:B,'Base stats'!AM:AM)=1,D63="sarg.alphaanimals"),0.5,1)/100,IF(_xlfn.XLOOKUP(B63,'Base stats'!B:B,'Base stats'!AM:AM)=1,0.001,0.025)),0.5)))</f>
        <v>0.5</v>
      </c>
      <c r="CA63" s="25">
        <f>IF(P63="Standard","No",MAX(0.001,MIN(MROUND(IF(OR(D63="sarg.alphaanimals",AND(BJ63="True",CC63="False")),POWER(10,3.47*LOG10(_xlfn.XLOOKUP(B63,'Base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745</v>
      </c>
      <c r="D64" s="28" t="s">
        <v>871</v>
      </c>
      <c r="E64" s="28" t="s">
        <v>744</v>
      </c>
      <c r="F64" s="28" t="s">
        <v>674</v>
      </c>
      <c r="G64" s="28" t="s">
        <v>674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stats'!AM:AM)=1,0.1,1)*IF(AND(_xlfn.XLOOKUP(B64,'Base stats'!B:B,'Base stats'!AM:AM)=1,D64="sarg.alphaanimals"),0.5,1)/100,IF(_xlfn.XLOOKUP(B64,'Base stats'!B:B,'Base stats'!AM:AM)=1,0.001,0.025)),0.5)))</f>
        <v>0.5</v>
      </c>
      <c r="CA64" s="25" t="str">
        <f>IF(P64="Standard","No",MAX(0.001,MIN(MROUND(IF(OR(D64="sarg.alphaanimals",AND(BJ64="True",CC64="False")),POWER(10,3.47*LOG10(_xlfn.XLOOKUP(B64,'Base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746</v>
      </c>
      <c r="D65" s="28" t="s">
        <v>871</v>
      </c>
      <c r="E65" s="28" t="s">
        <v>744</v>
      </c>
      <c r="F65" s="28" t="s">
        <v>674</v>
      </c>
      <c r="G65" s="28" t="s">
        <v>674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stats'!AM:AM)=1,0.1,1)*IF(AND(_xlfn.XLOOKUP(B65,'Base stats'!B:B,'Base stats'!AM:AM)=1,D65="sarg.alphaanimals"),0.5,1)/100,IF(_xlfn.XLOOKUP(B65,'Base stats'!B:B,'Base stats'!AM:AM)=1,0.001,0.025)),0.5)))</f>
        <v>0.5</v>
      </c>
      <c r="CA65" s="25">
        <f>IF(P65="Standard","No",MAX(0.001,MIN(MROUND(IF(OR(D65="sarg.alphaanimals",AND(BJ65="True",CC65="False")),POWER(10,3.47*LOG10(_xlfn.XLOOKUP(B65,'Base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747</v>
      </c>
      <c r="D66" s="28" t="s">
        <v>871</v>
      </c>
      <c r="E66" s="28" t="s">
        <v>744</v>
      </c>
      <c r="F66" s="28" t="s">
        <v>674</v>
      </c>
      <c r="G66" s="28" t="s">
        <v>674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stats'!AM:AM)=1,0.1,1)*IF(AND(_xlfn.XLOOKUP(B66,'Base stats'!B:B,'Base stats'!AM:AM)=1,D66="sarg.alphaanimals"),0.5,1)/100,IF(_xlfn.XLOOKUP(B66,'Base stats'!B:B,'Base stats'!AM:AM)=1,0.001,0.025)),0.5)))</f>
        <v>0.5</v>
      </c>
      <c r="CA66" s="25" t="str">
        <f>IF(P66="Standard","No",MAX(0.001,MIN(MROUND(IF(OR(D66="sarg.alphaanimals",AND(BJ66="True",CC66="False")),POWER(10,3.47*LOG10(_xlfn.XLOOKUP(B66,'Base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748</v>
      </c>
      <c r="D67" s="28" t="s">
        <v>871</v>
      </c>
      <c r="E67" s="28" t="s">
        <v>744</v>
      </c>
      <c r="F67" s="28" t="s">
        <v>674</v>
      </c>
      <c r="G67" s="28" t="s">
        <v>674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stats'!AM:AM)=1,0.1,1)*IF(AND(_xlfn.XLOOKUP(B67,'Base stats'!B:B,'Base stats'!AM:AM)=1,D67="sarg.alphaanimals"),0.5,1)/100,IF(_xlfn.XLOOKUP(B67,'Base stats'!B:B,'Base stats'!AM:AM)=1,0.001,0.025)),0.5)))</f>
        <v>0.5</v>
      </c>
      <c r="CA67" s="25" t="str">
        <f>IF(P67="Standard","No",MAX(0.001,MIN(MROUND(IF(OR(D67="sarg.alphaanimals",AND(BJ67="True",CC67="False")),POWER(10,3.47*LOG10(_xlfn.XLOOKUP(B67,'Base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749</v>
      </c>
      <c r="D68" s="28" t="s">
        <v>871</v>
      </c>
      <c r="E68" s="28" t="s">
        <v>676</v>
      </c>
      <c r="F68" s="28" t="s">
        <v>677</v>
      </c>
      <c r="G68" s="28" t="s">
        <v>674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stats'!AM:AM)=1,0.1,1)*IF(AND(_xlfn.XLOOKUP(B68,'Base stats'!B:B,'Base stats'!AM:AM)=1,D68="sarg.alphaanimals"),0.5,1)/100,IF(_xlfn.XLOOKUP(B68,'Base stats'!B:B,'Base stats'!AM:AM)=1,0.001,0.025)),0.5)))</f>
        <v>0.32500000000000001</v>
      </c>
      <c r="CA68" s="25" t="str">
        <f>IF(P68="Standard","No",MAX(0.001,MIN(MROUND(IF(OR(D68="sarg.alphaanimals",AND(BJ68="True",CC68="False")),POWER(10,3.47*LOG10(_xlfn.XLOOKUP(B68,'Base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750</v>
      </c>
      <c r="D69" s="28" t="s">
        <v>871</v>
      </c>
      <c r="E69" s="28" t="s">
        <v>676</v>
      </c>
      <c r="F69" s="28" t="s">
        <v>677</v>
      </c>
      <c r="G69" s="28" t="s">
        <v>674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stats'!AM:AM)=1,0.1,1)*IF(AND(_xlfn.XLOOKUP(B69,'Base stats'!B:B,'Base stats'!AM:AM)=1,D69="sarg.alphaanimals"),0.5,1)/100,IF(_xlfn.XLOOKUP(B69,'Base stats'!B:B,'Base stats'!AM:AM)=1,0.001,0.025)),0.5)))</f>
        <v>0.5</v>
      </c>
      <c r="CA69" s="25" t="str">
        <f>IF(P69="Standard","No",MAX(0.001,MIN(MROUND(IF(OR(D69="sarg.alphaanimals",AND(BJ69="True",CC69="False")),POWER(10,3.47*LOG10(_xlfn.XLOOKUP(B69,'Base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751</v>
      </c>
      <c r="D70" s="28" t="s">
        <v>871</v>
      </c>
      <c r="E70" s="28" t="s">
        <v>676</v>
      </c>
      <c r="F70" s="28" t="s">
        <v>677</v>
      </c>
      <c r="G70" s="28" t="s">
        <v>674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stats'!AM:AM)=1,0.1,1)*IF(AND(_xlfn.XLOOKUP(B70,'Base stats'!B:B,'Base stats'!AM:AM)=1,D70="sarg.alphaanimals"),0.5,1)/100,IF(_xlfn.XLOOKUP(B70,'Base stats'!B:B,'Base stats'!AM:AM)=1,0.001,0.025)),0.5)))</f>
        <v>0.45</v>
      </c>
      <c r="CA70" s="25" t="str">
        <f>IF(P70="Standard","No",MAX(0.001,MIN(MROUND(IF(OR(D70="sarg.alphaanimals",AND(BJ70="True",CC70="False")),POWER(10,3.47*LOG10(_xlfn.XLOOKUP(B70,'Base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752</v>
      </c>
      <c r="D71" s="28" t="s">
        <v>871</v>
      </c>
      <c r="E71" s="28" t="s">
        <v>676</v>
      </c>
      <c r="F71" s="28" t="s">
        <v>677</v>
      </c>
      <c r="G71" s="28" t="s">
        <v>674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stats'!AM:AM)=1,0.1,1)*IF(AND(_xlfn.XLOOKUP(B71,'Base stats'!B:B,'Base stats'!AM:AM)=1,D71="sarg.alphaanimals"),0.5,1)/100,IF(_xlfn.XLOOKUP(B71,'Base stats'!B:B,'Base stats'!AM:AM)=1,0.001,0.025)),0.5)))</f>
        <v>0.25</v>
      </c>
      <c r="CA71" s="25" t="str">
        <f>IF(P71="Standard","No",MAX(0.001,MIN(MROUND(IF(OR(D71="sarg.alphaanimals",AND(BJ71="True",CC71="False")),POWER(10,3.47*LOG10(_xlfn.XLOOKUP(B71,'Base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753</v>
      </c>
      <c r="D72" s="28" t="s">
        <v>871</v>
      </c>
      <c r="E72" s="28" t="s">
        <v>676</v>
      </c>
      <c r="F72" s="28" t="s">
        <v>677</v>
      </c>
      <c r="G72" s="28" t="s">
        <v>674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stats'!AM:AM)=1,0.1,1)*IF(AND(_xlfn.XLOOKUP(B72,'Base stats'!B:B,'Base stats'!AM:AM)=1,D72="sarg.alphaanimals"),0.5,1)/100,IF(_xlfn.XLOOKUP(B72,'Base stats'!B:B,'Base stats'!AM:AM)=1,0.001,0.025)),0.5)))</f>
        <v>0.42500000000000004</v>
      </c>
      <c r="CA72" s="25" t="str">
        <f>IF(P72="Standard","No",MAX(0.001,MIN(MROUND(IF(OR(D72="sarg.alphaanimals",AND(BJ72="True",CC72="False")),POWER(10,3.47*LOG10(_xlfn.XLOOKUP(B72,'Base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754</v>
      </c>
      <c r="D73" s="28" t="s">
        <v>871</v>
      </c>
      <c r="E73" s="28" t="s">
        <v>676</v>
      </c>
      <c r="F73" s="28" t="s">
        <v>677</v>
      </c>
      <c r="G73" s="28" t="s">
        <v>674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stats'!AM:AM)=1,0.1,1)*IF(AND(_xlfn.XLOOKUP(B73,'Base stats'!B:B,'Base stats'!AM:AM)=1,D73="sarg.alphaanimals"),0.5,1)/100,IF(_xlfn.XLOOKUP(B73,'Base stats'!B:B,'Base stats'!AM:AM)=1,0.001,0.025)),0.5)))</f>
        <v>0.375</v>
      </c>
      <c r="CA73" s="25" t="str">
        <f>IF(P73="Standard","No",MAX(0.001,MIN(MROUND(IF(OR(D73="sarg.alphaanimals",AND(BJ73="True",CC73="False")),POWER(10,3.47*LOG10(_xlfn.XLOOKUP(B73,'Base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755</v>
      </c>
      <c r="D74" s="28" t="s">
        <v>871</v>
      </c>
      <c r="E74" s="28" t="s">
        <v>690</v>
      </c>
      <c r="F74" s="28" t="s">
        <v>691</v>
      </c>
      <c r="G74" s="28" t="s">
        <v>674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stats'!AM:AM)=1,0.1,1)*IF(AND(_xlfn.XLOOKUP(B74,'Base stats'!B:B,'Base stats'!AM:AM)=1,D74="sarg.alphaanimals"),0.5,1)/100,IF(_xlfn.XLOOKUP(B74,'Base stats'!B:B,'Base stats'!AM:AM)=1,0.001,0.025)),0.5)))</f>
        <v>0.05</v>
      </c>
      <c r="CA74" s="25" t="str">
        <f>IF(P74="Standard","No",MAX(0.001,MIN(MROUND(IF(OR(D74="sarg.alphaanimals",AND(BJ74="True",CC74="False")),POWER(10,3.47*LOG10(_xlfn.XLOOKUP(B74,'Base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756</v>
      </c>
      <c r="D75" s="28" t="s">
        <v>871</v>
      </c>
      <c r="E75" s="28" t="s">
        <v>690</v>
      </c>
      <c r="F75" s="28" t="s">
        <v>691</v>
      </c>
      <c r="G75" s="28" t="s">
        <v>674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stats'!AM:AM)=1,0.1,1)*IF(AND(_xlfn.XLOOKUP(B75,'Base stats'!B:B,'Base stats'!AM:AM)=1,D75="sarg.alphaanimals"),0.5,1)/100,IF(_xlfn.XLOOKUP(B75,'Base stats'!B:B,'Base stats'!AM:AM)=1,0.001,0.025)),0.5)))</f>
        <v>0.05</v>
      </c>
      <c r="CA75" s="25" t="str">
        <f>IF(P75="Standard","No",MAX(0.001,MIN(MROUND(IF(OR(D75="sarg.alphaanimals",AND(BJ75="True",CC75="False")),POWER(10,3.47*LOG10(_xlfn.XLOOKUP(B75,'Base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757</v>
      </c>
      <c r="D76" s="28" t="s">
        <v>871</v>
      </c>
      <c r="E76" s="28" t="s">
        <v>674</v>
      </c>
      <c r="F76" s="28" t="s">
        <v>674</v>
      </c>
      <c r="G76" s="28" t="s">
        <v>674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stats'!AM:AM)=1,0.1,1)*IF(AND(_xlfn.XLOOKUP(B76,'Base stats'!B:B,'Base stats'!AM:AM)=1,D76="sarg.alphaanimals"),0.5,1)/100,IF(_xlfn.XLOOKUP(B76,'Base stats'!B:B,'Base stats'!AM:AM)=1,0.001,0.025)),0.5)))</f>
        <v>0.5</v>
      </c>
      <c r="CA76" s="25" t="str">
        <f>IF(P76="Standard","No",MAX(0.001,MIN(MROUND(IF(OR(D76="sarg.alphaanimals",AND(BJ76="True",CC76="False")),POWER(10,3.47*LOG10(_xlfn.XLOOKUP(B76,'Base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758</v>
      </c>
      <c r="D77" s="28" t="s">
        <v>871</v>
      </c>
      <c r="E77" s="28" t="s">
        <v>674</v>
      </c>
      <c r="F77" s="28" t="s">
        <v>674</v>
      </c>
      <c r="G77" s="28" t="s">
        <v>674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stats'!AM:AM)=1,0.1,1)*IF(AND(_xlfn.XLOOKUP(B77,'Base stats'!B:B,'Base stats'!AM:AM)=1,D77="sarg.alphaanimals"),0.5,1)/100,IF(_xlfn.XLOOKUP(B77,'Base stats'!B:B,'Base stats'!AM:AM)=1,0.001,0.025)),0.5)))</f>
        <v>0.22500000000000001</v>
      </c>
      <c r="CA77" s="25" t="str">
        <f>IF(P77="Standard","No",MAX(0.001,MIN(MROUND(IF(OR(D77="sarg.alphaanimals",AND(BJ77="True",CC77="False")),POWER(10,3.47*LOG10(_xlfn.XLOOKUP(B77,'Base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759</v>
      </c>
      <c r="D78" s="28" t="s">
        <v>871</v>
      </c>
      <c r="E78" s="28" t="s">
        <v>674</v>
      </c>
      <c r="F78" s="28" t="s">
        <v>674</v>
      </c>
      <c r="G78" s="28" t="s">
        <v>674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stats'!AM:AM)=1,0.1,1)*IF(AND(_xlfn.XLOOKUP(B78,'Base stats'!B:B,'Base stats'!AM:AM)=1,D78="sarg.alphaanimals"),0.5,1)/100,IF(_xlfn.XLOOKUP(B78,'Base stats'!B:B,'Base stats'!AM:AM)=1,0.001,0.025)),0.5)))</f>
        <v>0.125</v>
      </c>
      <c r="CA78" s="25" t="str">
        <f>IF(P78="Standard","No",MAX(0.001,MIN(MROUND(IF(OR(D78="sarg.alphaanimals",AND(BJ78="True",CC78="False")),POWER(10,3.47*LOG10(_xlfn.XLOOKUP(B78,'Base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760</v>
      </c>
      <c r="D79" s="28" t="s">
        <v>871</v>
      </c>
      <c r="E79" s="28" t="s">
        <v>674</v>
      </c>
      <c r="F79" s="28" t="s">
        <v>674</v>
      </c>
      <c r="G79" s="28" t="s">
        <v>674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stats'!AM:AM)=1,0.1,1)*IF(AND(_xlfn.XLOOKUP(B79,'Base stats'!B:B,'Base stats'!AM:AM)=1,D79="sarg.alphaanimals"),0.5,1)/100,IF(_xlfn.XLOOKUP(B79,'Base stats'!B:B,'Base stats'!AM:AM)=1,0.001,0.025)),0.5)))</f>
        <v>0.1</v>
      </c>
      <c r="CA79" s="25" t="str">
        <f>IF(P79="Standard","No",MAX(0.001,MIN(MROUND(IF(OR(D79="sarg.alphaanimals",AND(BJ79="True",CC79="False")),POWER(10,3.47*LOG10(_xlfn.XLOOKUP(B79,'Base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1101</v>
      </c>
      <c r="C80" s="28" t="s">
        <v>761</v>
      </c>
      <c r="D80" s="28" t="s">
        <v>871</v>
      </c>
      <c r="E80" s="28" t="s">
        <v>674</v>
      </c>
      <c r="F80" s="28" t="s">
        <v>674</v>
      </c>
      <c r="G80" s="28" t="s">
        <v>674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stats'!AM:AM)=1,0.1,1)*IF(AND(_xlfn.XLOOKUP(B80,'Base stats'!B:B,'Base stats'!AM:AM)=1,D80="sarg.alphaanimals"),0.5,1)/100,IF(_xlfn.XLOOKUP(B80,'Base stats'!B:B,'Base stats'!AM:AM)=1,0.001,0.025)),0.5)))</f>
        <v>0.01</v>
      </c>
      <c r="CA80" s="25">
        <f>IF(P80="Standard","No",MAX(0.001,MIN(MROUND(IF(OR(D80="sarg.alphaanimals",AND(BJ80="True",CC80="False")),POWER(10,3.47*LOG10(_xlfn.XLOOKUP(B80,'Base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1795</v>
      </c>
      <c r="C81" s="28" t="s">
        <v>762</v>
      </c>
      <c r="D81" s="28" t="s">
        <v>871</v>
      </c>
      <c r="E81" s="28" t="s">
        <v>674</v>
      </c>
      <c r="F81" s="28" t="s">
        <v>674</v>
      </c>
      <c r="G81" s="28" t="s">
        <v>674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stats'!AM:AM)=1,0.1,1)*IF(AND(_xlfn.XLOOKUP(B81,'Base stats'!B:B,'Base stats'!AM:AM)=1,D81="sarg.alphaanimals"),0.5,1)/100,IF(_xlfn.XLOOKUP(B81,'Base stats'!B:B,'Base stats'!AM:AM)=1,0.001,0.025)),0.5)))</f>
        <v>0.4</v>
      </c>
      <c r="CA81" s="25" t="str">
        <f>IF(P81="Standard","No",MAX(0.001,MIN(MROUND(IF(OR(D81="sarg.alphaanimals",AND(BJ81="True",CC81="False")),POWER(10,3.47*LOG10(_xlfn.XLOOKUP(B81,'Base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763</v>
      </c>
      <c r="D82" s="28" t="s">
        <v>871</v>
      </c>
      <c r="E82" s="28" t="s">
        <v>674</v>
      </c>
      <c r="F82" s="28" t="s">
        <v>674</v>
      </c>
      <c r="G82" s="28" t="s">
        <v>674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stats'!AM:AM)=1,0.1,1)*IF(AND(_xlfn.XLOOKUP(B82,'Base stats'!B:B,'Base stats'!AM:AM)=1,D82="sarg.alphaanimals"),0.5,1)/100,IF(_xlfn.XLOOKUP(B82,'Base stats'!B:B,'Base stats'!AM:AM)=1,0.001,0.025)),0.5)))</f>
        <v>7.5000000000000011E-2</v>
      </c>
      <c r="CA82" s="25" t="str">
        <f>IF(P82="Standard","No",MAX(0.001,MIN(MROUND(IF(OR(D82="sarg.alphaanimals",AND(BJ82="True",CC82="False")),POWER(10,3.47*LOG10(_xlfn.XLOOKUP(B82,'Base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764</v>
      </c>
      <c r="D83" s="28" t="s">
        <v>871</v>
      </c>
      <c r="E83" s="28" t="s">
        <v>674</v>
      </c>
      <c r="F83" s="28" t="s">
        <v>674</v>
      </c>
      <c r="G83" s="28" t="s">
        <v>674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stats'!AM:AM)=1,0.1,1)*IF(AND(_xlfn.XLOOKUP(B83,'Base stats'!B:B,'Base stats'!AM:AM)=1,D83="sarg.alphaanimals"),0.5,1)/100,IF(_xlfn.XLOOKUP(B83,'Base stats'!B:B,'Base stats'!AM:AM)=1,0.001,0.025)),0.5)))</f>
        <v>0.17500000000000002</v>
      </c>
      <c r="CA83" s="25" t="str">
        <f>IF(P83="Standard","No",MAX(0.001,MIN(MROUND(IF(OR(D83="sarg.alphaanimals",AND(BJ83="True",CC83="False")),POWER(10,3.47*LOG10(_xlfn.XLOOKUP(B83,'Base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765</v>
      </c>
      <c r="D84" s="28" t="s">
        <v>871</v>
      </c>
      <c r="E84" s="28" t="s">
        <v>674</v>
      </c>
      <c r="F84" s="28" t="s">
        <v>674</v>
      </c>
      <c r="G84" s="28" t="s">
        <v>674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stats'!AM:AM)=1,0.1,1)*IF(AND(_xlfn.XLOOKUP(B84,'Base stats'!B:B,'Base stats'!AM:AM)=1,D84="sarg.alphaanimals"),0.5,1)/100,IF(_xlfn.XLOOKUP(B84,'Base stats'!B:B,'Base stats'!AM:AM)=1,0.001,0.025)),0.5)))</f>
        <v>0.30000000000000004</v>
      </c>
      <c r="CA84" s="25" t="str">
        <f>IF(P84="Standard","No",MAX(0.001,MIN(MROUND(IF(OR(D84="sarg.alphaanimals",AND(BJ84="True",CC84="False")),POWER(10,3.47*LOG10(_xlfn.XLOOKUP(B84,'Base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766</v>
      </c>
      <c r="D85" s="28" t="s">
        <v>871</v>
      </c>
      <c r="E85" s="28" t="s">
        <v>674</v>
      </c>
      <c r="F85" s="28" t="s">
        <v>674</v>
      </c>
      <c r="G85" s="28" t="s">
        <v>674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stats'!AM:AM)=1,0.1,1)*IF(AND(_xlfn.XLOOKUP(B85,'Base stats'!B:B,'Base stats'!AM:AM)=1,D85="sarg.alphaanimals"),0.5,1)/100,IF(_xlfn.XLOOKUP(B85,'Base stats'!B:B,'Base stats'!AM:AM)=1,0.001,0.025)),0.5)))</f>
        <v>7.5000000000000011E-2</v>
      </c>
      <c r="CA85" s="25" t="str">
        <f>IF(P85="Standard","No",MAX(0.001,MIN(MROUND(IF(OR(D85="sarg.alphaanimals",AND(BJ85="True",CC85="False")),POWER(10,3.47*LOG10(_xlfn.XLOOKUP(B85,'Base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767</v>
      </c>
      <c r="D86" s="28" t="s">
        <v>871</v>
      </c>
      <c r="E86" s="28" t="s">
        <v>674</v>
      </c>
      <c r="F86" s="28" t="s">
        <v>674</v>
      </c>
      <c r="G86" s="28" t="s">
        <v>674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stats'!AM:AM)=1,0.1,1)*IF(AND(_xlfn.XLOOKUP(B86,'Base stats'!B:B,'Base stats'!AM:AM)=1,D86="sarg.alphaanimals"),0.5,1)/100,IF(_xlfn.XLOOKUP(B86,'Base stats'!B:B,'Base stats'!AM:AM)=1,0.001,0.025)),0.5)))</f>
        <v>0.05</v>
      </c>
      <c r="CA86" s="25" t="str">
        <f>IF(P86="Standard","No",MAX(0.001,MIN(MROUND(IF(OR(D86="sarg.alphaanimals",AND(BJ86="True",CC86="False")),POWER(10,3.47*LOG10(_xlfn.XLOOKUP(B86,'Base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768</v>
      </c>
      <c r="D87" s="28" t="s">
        <v>871</v>
      </c>
      <c r="E87" s="28" t="s">
        <v>674</v>
      </c>
      <c r="F87" s="28" t="s">
        <v>674</v>
      </c>
      <c r="G87" s="28" t="s">
        <v>674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stats'!AM:AM)=1,0.1,1)*IF(AND(_xlfn.XLOOKUP(B87,'Base stats'!B:B,'Base stats'!AM:AM)=1,D87="sarg.alphaanimals"),0.5,1)/100,IF(_xlfn.XLOOKUP(B87,'Base stats'!B:B,'Base stats'!AM:AM)=1,0.001,0.025)),0.5)))</f>
        <v>0.05</v>
      </c>
      <c r="CA87" s="25" t="str">
        <f>IF(P87="Standard","No",MAX(0.001,MIN(MROUND(IF(OR(D87="sarg.alphaanimals",AND(BJ87="True",CC87="False")),POWER(10,3.47*LOG10(_xlfn.XLOOKUP(B87,'Base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769</v>
      </c>
      <c r="D88" s="28" t="s">
        <v>871</v>
      </c>
      <c r="E88" s="28" t="s">
        <v>674</v>
      </c>
      <c r="F88" s="28" t="s">
        <v>674</v>
      </c>
      <c r="G88" s="28" t="s">
        <v>674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stats'!AM:AM)=1,0.1,1)*IF(AND(_xlfn.XLOOKUP(B88,'Base stats'!B:B,'Base stats'!AM:AM)=1,D88="sarg.alphaanimals"),0.5,1)/100,IF(_xlfn.XLOOKUP(B88,'Base stats'!B:B,'Base stats'!AM:AM)=1,0.001,0.025)),0.5)))</f>
        <v>0.125</v>
      </c>
      <c r="CA88" s="25" t="str">
        <f>IF(P88="Standard","No",MAX(0.001,MIN(MROUND(IF(OR(D88="sarg.alphaanimals",AND(BJ88="True",CC88="False")),POWER(10,3.47*LOG10(_xlfn.XLOOKUP(B88,'Base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770</v>
      </c>
      <c r="D89" s="28" t="s">
        <v>871</v>
      </c>
      <c r="E89" s="28" t="s">
        <v>674</v>
      </c>
      <c r="F89" s="28" t="s">
        <v>674</v>
      </c>
      <c r="G89" s="28" t="s">
        <v>674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stats'!AM:AM)=1,0.1,1)*IF(AND(_xlfn.XLOOKUP(B89,'Base stats'!B:B,'Base stats'!AM:AM)=1,D89="sarg.alphaanimals"),0.5,1)/100,IF(_xlfn.XLOOKUP(B89,'Base stats'!B:B,'Base stats'!AM:AM)=1,0.001,0.025)),0.5)))</f>
        <v>0.17500000000000002</v>
      </c>
      <c r="CA89" s="25" t="str">
        <f>IF(P89="Standard","No",MAX(0.001,MIN(MROUND(IF(OR(D89="sarg.alphaanimals",AND(BJ89="True",CC89="False")),POWER(10,3.47*LOG10(_xlfn.XLOOKUP(B89,'Base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771</v>
      </c>
      <c r="D90" s="28" t="s">
        <v>871</v>
      </c>
      <c r="E90" s="28" t="s">
        <v>674</v>
      </c>
      <c r="F90" s="28" t="s">
        <v>674</v>
      </c>
      <c r="G90" s="28" t="s">
        <v>674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stats'!AM:AM)=1,0.1,1)*IF(AND(_xlfn.XLOOKUP(B90,'Base stats'!B:B,'Base stats'!AM:AM)=1,D90="sarg.alphaanimals"),0.5,1)/100,IF(_xlfn.XLOOKUP(B90,'Base stats'!B:B,'Base stats'!AM:AM)=1,0.001,0.025)),0.5)))</f>
        <v>0.2</v>
      </c>
      <c r="CA90" s="25" t="str">
        <f>IF(P90="Standard","No",MAX(0.001,MIN(MROUND(IF(OR(D90="sarg.alphaanimals",AND(BJ90="True",CC90="False")),POWER(10,3.47*LOG10(_xlfn.XLOOKUP(B90,'Base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772</v>
      </c>
      <c r="D91" s="28" t="s">
        <v>871</v>
      </c>
      <c r="E91" s="28" t="s">
        <v>674</v>
      </c>
      <c r="F91" s="28" t="s">
        <v>674</v>
      </c>
      <c r="G91" s="28" t="s">
        <v>674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stats'!AM:AM)=1,0.1,1)*IF(AND(_xlfn.XLOOKUP(B91,'Base stats'!B:B,'Base stats'!AM:AM)=1,D91="sarg.alphaanimals"),0.5,1)/100,IF(_xlfn.XLOOKUP(B91,'Base stats'!B:B,'Base stats'!AM:AM)=1,0.001,0.025)),0.5)))</f>
        <v>0.17500000000000002</v>
      </c>
      <c r="CA91" s="25" t="str">
        <f>IF(P91="Standard","No",MAX(0.001,MIN(MROUND(IF(OR(D91="sarg.alphaanimals",AND(BJ91="True",CC91="False")),POWER(10,3.47*LOG10(_xlfn.XLOOKUP(B91,'Base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773</v>
      </c>
      <c r="D92" s="28" t="s">
        <v>871</v>
      </c>
      <c r="E92" s="28" t="s">
        <v>674</v>
      </c>
      <c r="F92" s="28" t="s">
        <v>674</v>
      </c>
      <c r="G92" s="28" t="s">
        <v>674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stats'!AM:AM)=1,0.1,1)*IF(AND(_xlfn.XLOOKUP(B92,'Base stats'!B:B,'Base stats'!AM:AM)=1,D92="sarg.alphaanimals"),0.5,1)/100,IF(_xlfn.XLOOKUP(B92,'Base stats'!B:B,'Base stats'!AM:AM)=1,0.001,0.025)),0.5)))</f>
        <v>0.17500000000000002</v>
      </c>
      <c r="CA92" s="25" t="str">
        <f>IF(P92="Standard","No",MAX(0.001,MIN(MROUND(IF(OR(D92="sarg.alphaanimals",AND(BJ92="True",CC92="False")),POWER(10,3.47*LOG10(_xlfn.XLOOKUP(B92,'Base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774</v>
      </c>
      <c r="D93" s="28" t="s">
        <v>871</v>
      </c>
      <c r="E93" s="28" t="s">
        <v>674</v>
      </c>
      <c r="F93" s="28" t="s">
        <v>674</v>
      </c>
      <c r="G93" s="28" t="s">
        <v>674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stats'!AM:AM)=1,0.1,1)*IF(AND(_xlfn.XLOOKUP(B93,'Base stats'!B:B,'Base stats'!AM:AM)=1,D93="sarg.alphaanimals"),0.5,1)/100,IF(_xlfn.XLOOKUP(B93,'Base stats'!B:B,'Base stats'!AM:AM)=1,0.001,0.025)),0.5)))</f>
        <v>0.5</v>
      </c>
      <c r="CA93" s="25" t="str">
        <f>IF(P93="Standard","No",MAX(0.001,MIN(MROUND(IF(OR(D93="sarg.alphaanimals",AND(BJ93="True",CC93="False")),POWER(10,3.47*LOG10(_xlfn.XLOOKUP(B93,'Base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775</v>
      </c>
      <c r="D94" s="28" t="s">
        <v>871</v>
      </c>
      <c r="E94" s="28" t="s">
        <v>674</v>
      </c>
      <c r="F94" s="28" t="s">
        <v>674</v>
      </c>
      <c r="G94" s="28" t="s">
        <v>674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stats'!AM:AM)=1,0.1,1)*IF(AND(_xlfn.XLOOKUP(B94,'Base stats'!B:B,'Base stats'!AM:AM)=1,D94="sarg.alphaanimals"),0.5,1)/100,IF(_xlfn.XLOOKUP(B94,'Base stats'!B:B,'Base stats'!AM:AM)=1,0.001,0.025)),0.5)))</f>
        <v>0.30000000000000004</v>
      </c>
      <c r="CA94" s="25" t="str">
        <f>IF(P94="Standard","No",MAX(0.001,MIN(MROUND(IF(OR(D94="sarg.alphaanimals",AND(BJ94="True",CC94="False")),POWER(10,3.47*LOG10(_xlfn.XLOOKUP(B94,'Base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776</v>
      </c>
      <c r="D95" s="28" t="s">
        <v>871</v>
      </c>
      <c r="E95" s="28" t="s">
        <v>674</v>
      </c>
      <c r="F95" s="28" t="s">
        <v>674</v>
      </c>
      <c r="G95" s="28" t="s">
        <v>674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stats'!AM:AM)=1,0.1,1)*IF(AND(_xlfn.XLOOKUP(B95,'Base stats'!B:B,'Base stats'!AM:AM)=1,D95="sarg.alphaanimals"),0.5,1)/100,IF(_xlfn.XLOOKUP(B95,'Base stats'!B:B,'Base stats'!AM:AM)=1,0.001,0.025)),0.5)))</f>
        <v>0.2</v>
      </c>
      <c r="CA95" s="25" t="str">
        <f>IF(P95="Standard","No",MAX(0.001,MIN(MROUND(IF(OR(D95="sarg.alphaanimals",AND(BJ95="True",CC95="False")),POWER(10,3.47*LOG10(_xlfn.XLOOKUP(B95,'Base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777</v>
      </c>
      <c r="D96" s="28" t="s">
        <v>871</v>
      </c>
      <c r="E96" s="28" t="s">
        <v>674</v>
      </c>
      <c r="F96" s="28" t="s">
        <v>674</v>
      </c>
      <c r="G96" s="28" t="s">
        <v>674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stats'!AM:AM)=1,0.1,1)*IF(AND(_xlfn.XLOOKUP(B96,'Base stats'!B:B,'Base stats'!AM:AM)=1,D96="sarg.alphaanimals"),0.5,1)/100,IF(_xlfn.XLOOKUP(B96,'Base stats'!B:B,'Base stats'!AM:AM)=1,0.001,0.025)),0.5)))</f>
        <v>0.15000000000000002</v>
      </c>
      <c r="CA96" s="25" t="str">
        <f>IF(P96="Standard","No",MAX(0.001,MIN(MROUND(IF(OR(D96="sarg.alphaanimals",AND(BJ96="True",CC96="False")),POWER(10,3.47*LOG10(_xlfn.XLOOKUP(B96,'Base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778</v>
      </c>
      <c r="D97" s="28" t="s">
        <v>871</v>
      </c>
      <c r="E97" s="28" t="s">
        <v>674</v>
      </c>
      <c r="F97" s="28" t="s">
        <v>674</v>
      </c>
      <c r="G97" s="28" t="s">
        <v>674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stats'!AM:AM)=1,0.1,1)*IF(AND(_xlfn.XLOOKUP(B97,'Base stats'!B:B,'Base stats'!AM:AM)=1,D97="sarg.alphaanimals"),0.5,1)/100,IF(_xlfn.XLOOKUP(B97,'Base stats'!B:B,'Base stats'!AM:AM)=1,0.001,0.025)),0.5)))</f>
        <v>0.15000000000000002</v>
      </c>
      <c r="CA97" s="25" t="str">
        <f>IF(P97="Standard","No",MAX(0.001,MIN(MROUND(IF(OR(D97="sarg.alphaanimals",AND(BJ97="True",CC97="False")),POWER(10,3.47*LOG10(_xlfn.XLOOKUP(B97,'Base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779</v>
      </c>
      <c r="D98" s="28" t="s">
        <v>871</v>
      </c>
      <c r="E98" s="28" t="s">
        <v>674</v>
      </c>
      <c r="F98" s="28" t="s">
        <v>674</v>
      </c>
      <c r="G98" s="28" t="s">
        <v>674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stats'!AM:AM)=1,0.1,1)*IF(AND(_xlfn.XLOOKUP(B98,'Base stats'!B:B,'Base stats'!AM:AM)=1,D98="sarg.alphaanimals"),0.5,1)/100,IF(_xlfn.XLOOKUP(B98,'Base stats'!B:B,'Base stats'!AM:AM)=1,0.001,0.025)),0.5)))</f>
        <v>0.22500000000000001</v>
      </c>
      <c r="CA98" s="25" t="str">
        <f>IF(P98="Standard","No",MAX(0.001,MIN(MROUND(IF(OR(D98="sarg.alphaanimals",AND(BJ98="True",CC98="False")),POWER(10,3.47*LOG10(_xlfn.XLOOKUP(B98,'Base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780</v>
      </c>
      <c r="D99" s="28" t="s">
        <v>871</v>
      </c>
      <c r="E99" s="28" t="s">
        <v>674</v>
      </c>
      <c r="F99" s="28" t="s">
        <v>674</v>
      </c>
      <c r="G99" s="28" t="s">
        <v>674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stats'!AM:AM)=1,0.1,1)*IF(AND(_xlfn.XLOOKUP(B99,'Base stats'!B:B,'Base stats'!AM:AM)=1,D99="sarg.alphaanimals"),0.5,1)/100,IF(_xlfn.XLOOKUP(B99,'Base stats'!B:B,'Base stats'!AM:AM)=1,0.001,0.025)),0.5)))</f>
        <v>0.05</v>
      </c>
      <c r="CA99" s="25">
        <f>IF(P99="Standard","No",MAX(0.001,MIN(MROUND(IF(OR(D99="sarg.alphaanimals",AND(BJ99="True",CC99="False")),POWER(10,3.47*LOG10(_xlfn.XLOOKUP(B99,'Base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781</v>
      </c>
      <c r="D100" s="28" t="s">
        <v>871</v>
      </c>
      <c r="E100" s="28" t="s">
        <v>733</v>
      </c>
      <c r="F100" s="28" t="s">
        <v>734</v>
      </c>
      <c r="G100" s="28" t="s">
        <v>674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stats'!AM:AM)=1,0.1,1)*IF(AND(_xlfn.XLOOKUP(B100,'Base stats'!B:B,'Base stats'!AM:AM)=1,D100="sarg.alphaanimals"),0.5,1)/100,IF(_xlfn.XLOOKUP(B100,'Base stats'!B:B,'Base stats'!AM:AM)=1,0.001,0.025)),0.5)))</f>
        <v>0.05</v>
      </c>
      <c r="CA100" s="25" t="str">
        <f>IF(P100="Standard","No",MAX(0.001,MIN(MROUND(IF(OR(D100="sarg.alphaanimals",AND(BJ100="True",CC100="False")),POWER(10,3.47*LOG10(_xlfn.XLOOKUP(B100,'Base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782</v>
      </c>
      <c r="D101" s="28" t="s">
        <v>871</v>
      </c>
      <c r="E101" s="28" t="s">
        <v>674</v>
      </c>
      <c r="F101" s="28" t="s">
        <v>674</v>
      </c>
      <c r="G101" s="28" t="s">
        <v>674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1.2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stats'!AM:AM)=1,0.1,1)*IF(AND(_xlfn.XLOOKUP(B101,'Base stats'!B:B,'Base stats'!AM:AM)=1,D101="sarg.alphaanimals"),0.5,1)/100,IF(_xlfn.XLOOKUP(B101,'Base stats'!B:B,'Base stats'!AM:AM)=1,0.001,0.025)),0.5)))</f>
        <v>0.5</v>
      </c>
      <c r="CA101" s="25" t="str">
        <f>IF(P101="Standard","No",MAX(0.001,MIN(MROUND(IF(OR(D101="sarg.alphaanimals",AND(BJ101="True",CC101="False")),POWER(10,3.47*LOG10(_xlfn.XLOOKUP(B101,'Base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783</v>
      </c>
      <c r="D102" s="28" t="s">
        <v>871</v>
      </c>
      <c r="E102" s="28" t="s">
        <v>674</v>
      </c>
      <c r="F102" s="28" t="s">
        <v>674</v>
      </c>
      <c r="G102" s="28" t="s">
        <v>674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1.2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stats'!AM:AM)=1,0.1,1)*IF(AND(_xlfn.XLOOKUP(B102,'Base stats'!B:B,'Base stats'!AM:AM)=1,D102="sarg.alphaanimals"),0.5,1)/100,IF(_xlfn.XLOOKUP(B102,'Base stats'!B:B,'Base stats'!AM:AM)=1,0.001,0.025)),0.5)))</f>
        <v>0.5</v>
      </c>
      <c r="CA102" s="25" t="str">
        <f>IF(P102="Standard","No",MAX(0.001,MIN(MROUND(IF(OR(D102="sarg.alphaanimals",AND(BJ102="True",CC102="False")),POWER(10,3.47*LOG10(_xlfn.XLOOKUP(B102,'Base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784</v>
      </c>
      <c r="D103" s="28" t="s">
        <v>45</v>
      </c>
      <c r="E103" s="28" t="s">
        <v>785</v>
      </c>
      <c r="F103" s="28" t="s">
        <v>786</v>
      </c>
      <c r="G103" s="28" t="s">
        <v>674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stats'!AM:AM)=1,0.1,1)*IF(AND(_xlfn.XLOOKUP(B103,'Base stats'!B:B,'Base stats'!AM:AM)=1,D103="sarg.alphaanimals"),0.5,1)/100,IF(_xlfn.XLOOKUP(B103,'Base stats'!B:B,'Base stats'!AM:AM)=1,0.001,0.025)),0.5)))</f>
        <v>0.32500000000000001</v>
      </c>
      <c r="CA103" s="25">
        <f>IF(P103="Standard","No",MAX(0.001,MIN(MROUND(IF(OR(D103="sarg.alphaanimals",AND(BJ103="True",CC103="False")),POWER(10,3.47*LOG10(_xlfn.XLOOKUP(B103,'Base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844</v>
      </c>
      <c r="D104" s="28" t="s">
        <v>45</v>
      </c>
      <c r="E104" s="28" t="s">
        <v>785</v>
      </c>
      <c r="F104" s="28" t="s">
        <v>786</v>
      </c>
      <c r="G104" s="28" t="s">
        <v>674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stats'!AM:AM)=1,0.1,1)*IF(AND(_xlfn.XLOOKUP(B104,'Base stats'!B:B,'Base stats'!AM:AM)=1,D104="sarg.alphaanimals"),0.5,1)/100,IF(_xlfn.XLOOKUP(B104,'Base stats'!B:B,'Base stats'!AM:AM)=1,0.001,0.025)),0.5)))</f>
        <v>0.17500000000000002</v>
      </c>
      <c r="CA104" s="25">
        <f>IF(P104="Standard","No",MAX(0.001,MIN(MROUND(IF(OR(D104="sarg.alphaanimals",AND(BJ104="True",CC104="False")),POWER(10,3.47*LOG10(_xlfn.XLOOKUP(B104,'Base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787</v>
      </c>
      <c r="D105" s="28" t="s">
        <v>45</v>
      </c>
      <c r="E105" s="28" t="s">
        <v>785</v>
      </c>
      <c r="F105" s="28" t="s">
        <v>786</v>
      </c>
      <c r="G105" s="28" t="s">
        <v>674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AttackTarget, 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stats'!AM:AM)=1,0.1,1)*IF(AND(_xlfn.XLOOKUP(B105,'Base stats'!B:B,'Base stats'!AM:AM)=1,D105="sarg.alphaanimals"),0.5,1)/100,IF(_xlfn.XLOOKUP(B105,'Base stats'!B:B,'Base stats'!AM:AM)=1,0.001,0.025)),0.5)))</f>
        <v>0.15000000000000002</v>
      </c>
      <c r="CA105" s="25">
        <f>IF(P105="Standard","No",MAX(0.001,MIN(MROUND(IF(OR(D105="sarg.alphaanimals",AND(BJ105="True",CC105="False")),POWER(10,3.47*LOG10(_xlfn.XLOOKUP(B105,'Base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788</v>
      </c>
      <c r="D106" s="28" t="s">
        <v>871</v>
      </c>
      <c r="E106" s="28" t="s">
        <v>785</v>
      </c>
      <c r="F106" s="28" t="s">
        <v>786</v>
      </c>
      <c r="G106" s="28" t="s">
        <v>674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stats'!AM:AM)=1,0.1,1)*IF(AND(_xlfn.XLOOKUP(B106,'Base stats'!B:B,'Base stats'!AM:AM)=1,D106="sarg.alphaanimals"),0.5,1)/100,IF(_xlfn.XLOOKUP(B106,'Base stats'!B:B,'Base stats'!AM:AM)=1,0.001,0.025)),0.5)))</f>
        <v>1.0999999999999999E-2</v>
      </c>
      <c r="CA106" s="25">
        <f>IF(P106="Standard","No",MAX(0.001,MIN(MROUND(IF(OR(D106="sarg.alphaanimals",AND(BJ106="True",CC106="False")),POWER(10,3.47*LOG10(_xlfn.XLOOKUP(B106,'Base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789</v>
      </c>
      <c r="D107" s="28" t="s">
        <v>871</v>
      </c>
      <c r="E107" s="28" t="s">
        <v>785</v>
      </c>
      <c r="F107" s="28" t="s">
        <v>786</v>
      </c>
      <c r="G107" s="28" t="s">
        <v>674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Intermediate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stats'!AM:AM)=1,0.1,1)*IF(AND(_xlfn.XLOOKUP(B107,'Base stats'!B:B,'Base stats'!AM:AM)=1,D107="sarg.alphaanimals"),0.5,1)/100,IF(_xlfn.XLOOKUP(B107,'Base stats'!B:B,'Base stats'!AM:AM)=1,0.001,0.025)),0.5)))</f>
        <v>0.32500000000000001</v>
      </c>
      <c r="CA107" s="25">
        <f>IF(P107="Standard","No",MAX(0.001,MIN(MROUND(IF(OR(D107="sarg.alphaanimals",AND(BJ107="True",CC107="False")),POWER(10,3.47*LOG10(_xlfn.XLOOKUP(B107,'Base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790</v>
      </c>
      <c r="D108" s="28" t="s">
        <v>871</v>
      </c>
      <c r="E108" s="28" t="s">
        <v>785</v>
      </c>
      <c r="F108" s="28" t="s">
        <v>786</v>
      </c>
      <c r="G108" s="28" t="s">
        <v>674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stats'!AM:AM)=1,0.1,1)*IF(AND(_xlfn.XLOOKUP(B108,'Base stats'!B:B,'Base stats'!AM:AM)=1,D108="sarg.alphaanimals"),0.5,1)/100,IF(_xlfn.XLOOKUP(B108,'Base stats'!B:B,'Base stats'!AM:AM)=1,0.001,0.025)),0.5)))</f>
        <v>0.27500000000000002</v>
      </c>
      <c r="CA108" s="25">
        <f>IF(P108="Standard","No",MAX(0.001,MIN(MROUND(IF(OR(D108="sarg.alphaanimals",AND(BJ108="True",CC108="False")),POWER(10,3.47*LOG10(_xlfn.XLOOKUP(B108,'Base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915</v>
      </c>
      <c r="C109" s="28" t="s">
        <v>791</v>
      </c>
      <c r="D109" s="28" t="s">
        <v>873</v>
      </c>
      <c r="E109" s="28" t="s">
        <v>674</v>
      </c>
      <c r="F109" s="28" t="s">
        <v>674</v>
      </c>
      <c r="G109" s="28" t="s">
        <v>674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stats'!AM:AM)=1,0.1,1)*IF(AND(_xlfn.XLOOKUP(B109,'Base stats'!B:B,'Base stats'!AM:AM)=1,D109="sarg.alphaanimals"),0.5,1)/100,IF(_xlfn.XLOOKUP(B109,'Base stats'!B:B,'Base stats'!AM:AM)=1,0.001,0.025)),0.5)))</f>
        <v>7.5000000000000011E-2</v>
      </c>
      <c r="CA109" s="25" t="str">
        <f>IF(P109="Standard","No",MAX(0.001,MIN(MROUND(IF(OR(D109="sarg.alphaanimals",AND(BJ109="True",CC109="False")),POWER(10,3.47*LOG10(_xlfn.XLOOKUP(B109,'Base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792</v>
      </c>
      <c r="D110" s="28" t="s">
        <v>873</v>
      </c>
      <c r="E110" s="28" t="s">
        <v>674</v>
      </c>
      <c r="F110" s="28" t="s">
        <v>674</v>
      </c>
      <c r="G110" s="28" t="s">
        <v>674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stats'!AM:AM)=1,0.1,1)*IF(AND(_xlfn.XLOOKUP(B110,'Base stats'!B:B,'Base stats'!AM:AM)=1,D110="sarg.alphaanimals"),0.5,1)/100,IF(_xlfn.XLOOKUP(B110,'Base stats'!B:B,'Base stats'!AM:AM)=1,0.001,0.025)),0.5)))</f>
        <v>0.125</v>
      </c>
      <c r="CA110" s="25" t="str">
        <f>IF(P110="Standard","No",MAX(0.001,MIN(MROUND(IF(OR(D110="sarg.alphaanimals",AND(BJ110="True",CC110="False")),POWER(10,3.47*LOG10(_xlfn.XLOOKUP(B110,'Base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793</v>
      </c>
      <c r="D111" s="28" t="s">
        <v>873</v>
      </c>
      <c r="E111" s="28" t="s">
        <v>674</v>
      </c>
      <c r="F111" s="28" t="s">
        <v>674</v>
      </c>
      <c r="G111" s="28" t="s">
        <v>674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stats'!AM:AM)=1,0.1,1)*IF(AND(_xlfn.XLOOKUP(B111,'Base stats'!B:B,'Base stats'!AM:AM)=1,D111="sarg.alphaanimals"),0.5,1)/100,IF(_xlfn.XLOOKUP(B111,'Base stats'!B:B,'Base stats'!AM:AM)=1,0.001,0.025)),0.5)))</f>
        <v>0.15000000000000002</v>
      </c>
      <c r="CA111" s="25" t="str">
        <f>IF(P111="Standard","No",MAX(0.001,MIN(MROUND(IF(OR(D111="sarg.alphaanimals",AND(BJ111="True",CC111="False")),POWER(10,3.47*LOG10(_xlfn.XLOOKUP(B111,'Base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794</v>
      </c>
      <c r="D112" s="28" t="s">
        <v>873</v>
      </c>
      <c r="E112" s="28" t="s">
        <v>674</v>
      </c>
      <c r="F112" s="28" t="s">
        <v>674</v>
      </c>
      <c r="G112" s="28" t="s">
        <v>674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stats'!AM:AM)=1,0.1,1)*IF(AND(_xlfn.XLOOKUP(B112,'Base stats'!B:B,'Base stats'!AM:AM)=1,D112="sarg.alphaanimals"),0.5,1)/100,IF(_xlfn.XLOOKUP(B112,'Base stats'!B:B,'Base stats'!AM:AM)=1,0.001,0.025)),0.5)))</f>
        <v>0.17500000000000002</v>
      </c>
      <c r="CA112" s="25" t="str">
        <f>IF(P112="Standard","No",MAX(0.001,MIN(MROUND(IF(OR(D112="sarg.alphaanimals",AND(BJ112="True",CC112="False")),POWER(10,3.47*LOG10(_xlfn.XLOOKUP(B112,'Base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795</v>
      </c>
      <c r="D113" s="28" t="s">
        <v>873</v>
      </c>
      <c r="E113" s="28" t="s">
        <v>674</v>
      </c>
      <c r="F113" s="28" t="s">
        <v>674</v>
      </c>
      <c r="G113" s="28" t="s">
        <v>674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stats'!AM:AM)=1,0.1,1)*IF(AND(_xlfn.XLOOKUP(B113,'Base stats'!B:B,'Base stats'!AM:AM)=1,D113="sarg.alphaanimals"),0.5,1)/100,IF(_xlfn.XLOOKUP(B113,'Base stats'!B:B,'Base stats'!AM:AM)=1,0.001,0.025)),0.5)))</f>
        <v>0.15000000000000002</v>
      </c>
      <c r="CA113" s="25" t="str">
        <f>IF(P113="Standard","No",MAX(0.001,MIN(MROUND(IF(OR(D113="sarg.alphaanimals",AND(BJ113="True",CC113="False")),POWER(10,3.47*LOG10(_xlfn.XLOOKUP(B113,'Base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796</v>
      </c>
      <c r="D114" s="28" t="s">
        <v>873</v>
      </c>
      <c r="E114" s="28" t="s">
        <v>690</v>
      </c>
      <c r="F114" s="28" t="s">
        <v>691</v>
      </c>
      <c r="G114" s="28" t="s">
        <v>674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stats'!AM:AM)=1,0.1,1)*IF(AND(_xlfn.XLOOKUP(B114,'Base stats'!B:B,'Base stats'!AM:AM)=1,D114="sarg.alphaanimals"),0.5,1)/100,IF(_xlfn.XLOOKUP(B114,'Base stats'!B:B,'Base stats'!AM:AM)=1,0.001,0.025)),0.5)))</f>
        <v>0.05</v>
      </c>
      <c r="CA114" s="25" t="str">
        <f>IF(P114="Standard","No",MAX(0.001,MIN(MROUND(IF(OR(D114="sarg.alphaanimals",AND(BJ114="True",CC114="False")),POWER(10,3.47*LOG10(_xlfn.XLOOKUP(B114,'Base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797</v>
      </c>
      <c r="D115" s="28" t="s">
        <v>873</v>
      </c>
      <c r="E115" s="28" t="s">
        <v>674</v>
      </c>
      <c r="F115" s="28" t="s">
        <v>674</v>
      </c>
      <c r="G115" s="28" t="s">
        <v>674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stats'!AM:AM)=1,0.1,1)*IF(AND(_xlfn.XLOOKUP(B115,'Base stats'!B:B,'Base stats'!AM:AM)=1,D115="sarg.alphaanimals"),0.5,1)/100,IF(_xlfn.XLOOKUP(B115,'Base stats'!B:B,'Base stats'!AM:AM)=1,0.001,0.025)),0.5)))</f>
        <v>0.125</v>
      </c>
      <c r="CA115" s="25">
        <f>IF(P115="Standard","No",MAX(0.001,MIN(MROUND(IF(OR(D115="sarg.alphaanimals",AND(BJ115="True",CC115="False")),POWER(10,3.47*LOG10(_xlfn.XLOOKUP(B115,'Base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798</v>
      </c>
      <c r="D116" s="28" t="s">
        <v>873</v>
      </c>
      <c r="E116" s="28" t="s">
        <v>674</v>
      </c>
      <c r="F116" s="28" t="s">
        <v>674</v>
      </c>
      <c r="G116" s="28" t="s">
        <v>674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stats'!AM:AM)=1,0.1,1)*IF(AND(_xlfn.XLOOKUP(B116,'Base stats'!B:B,'Base stats'!AM:AM)=1,D116="sarg.alphaanimals"),0.5,1)/100,IF(_xlfn.XLOOKUP(B116,'Base stats'!B:B,'Base stats'!AM:AM)=1,0.001,0.025)),0.5)))</f>
        <v>0.22500000000000001</v>
      </c>
      <c r="CA116" s="25" t="str">
        <f>IF(P116="Standard","No",MAX(0.001,MIN(MROUND(IF(OR(D116="sarg.alphaanimals",AND(BJ116="True",CC116="False")),POWER(10,3.47*LOG10(_xlfn.XLOOKUP(B116,'Base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799</v>
      </c>
      <c r="D117" s="28" t="s">
        <v>873</v>
      </c>
      <c r="E117" s="28" t="s">
        <v>674</v>
      </c>
      <c r="F117" s="28" t="s">
        <v>674</v>
      </c>
      <c r="G117" s="28" t="s">
        <v>674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stats'!AM:AM)=1,0.1,1)*IF(AND(_xlfn.XLOOKUP(B117,'Base stats'!B:B,'Base stats'!AM:AM)=1,D117="sarg.alphaanimals"),0.5,1)/100,IF(_xlfn.XLOOKUP(B117,'Base stats'!B:B,'Base stats'!AM:AM)=1,0.001,0.025)),0.5)))</f>
        <v>3.3000000000000002E-2</v>
      </c>
      <c r="CA117" s="25" t="str">
        <f>IF(P117="Standard","No",MAX(0.001,MIN(MROUND(IF(OR(D117="sarg.alphaanimals",AND(BJ117="True",CC117="False")),POWER(10,3.47*LOG10(_xlfn.XLOOKUP(B117,'Base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800</v>
      </c>
      <c r="D118" s="28" t="s">
        <v>873</v>
      </c>
      <c r="E118" s="28" t="s">
        <v>674</v>
      </c>
      <c r="F118" s="28" t="s">
        <v>674</v>
      </c>
      <c r="G118" s="28" t="s">
        <v>674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stats'!AM:AM)=1,0.1,1)*IF(AND(_xlfn.XLOOKUP(B118,'Base stats'!B:B,'Base stats'!AM:AM)=1,D118="sarg.alphaanimals"),0.5,1)/100,IF(_xlfn.XLOOKUP(B118,'Base stats'!B:B,'Base stats'!AM:AM)=1,0.001,0.025)),0.5)))</f>
        <v>6.6000000000000003E-2</v>
      </c>
      <c r="CA118" s="25" t="str">
        <f>IF(P118="Standard","No",MAX(0.001,MIN(MROUND(IF(OR(D118="sarg.alphaanimals",AND(BJ118="True",CC118="False")),POWER(10,3.47*LOG10(_xlfn.XLOOKUP(B118,'Base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914</v>
      </c>
      <c r="C119" s="28" t="s">
        <v>801</v>
      </c>
      <c r="D119" s="28" t="s">
        <v>873</v>
      </c>
      <c r="E119" s="28" t="s">
        <v>674</v>
      </c>
      <c r="F119" s="28" t="s">
        <v>674</v>
      </c>
      <c r="G119" s="28" t="s">
        <v>674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stats'!AM:AM)=1,0.1,1)*IF(AND(_xlfn.XLOOKUP(B119,'Base stats'!B:B,'Base stats'!AM:AM)=1,D119="sarg.alphaanimals"),0.5,1)/100,IF(_xlfn.XLOOKUP(B119,'Base stats'!B:B,'Base stats'!AM:AM)=1,0.001,0.025)),0.5)))</f>
        <v>7.5000000000000011E-2</v>
      </c>
      <c r="CA119" s="25" t="str">
        <f>IF(P119="Standard","No",MAX(0.001,MIN(MROUND(IF(OR(D119="sarg.alphaanimals",AND(BJ119="True",CC119="False")),POWER(10,3.47*LOG10(_xlfn.XLOOKUP(B119,'Base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802</v>
      </c>
      <c r="D120" s="28" t="s">
        <v>873</v>
      </c>
      <c r="E120" s="28" t="s">
        <v>418</v>
      </c>
      <c r="F120" s="28" t="s">
        <v>450</v>
      </c>
      <c r="G120" s="28" t="s">
        <v>674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stats'!AM:AM)=1,0.1,1)*IF(AND(_xlfn.XLOOKUP(B120,'Base stats'!B:B,'Base stats'!AM:AM)=1,D120="sarg.alphaanimals"),0.5,1)/100,IF(_xlfn.XLOOKUP(B120,'Base stats'!B:B,'Base stats'!AM:AM)=1,0.001,0.025)),0.5)))</f>
        <v>0.05</v>
      </c>
      <c r="CA120" s="25" t="str">
        <f>IF(P120="Standard","No",MAX(0.001,MIN(MROUND(IF(OR(D120="sarg.alphaanimals",AND(BJ120="True",CC120="False")),POWER(10,3.47*LOG10(_xlfn.XLOOKUP(B120,'Base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803</v>
      </c>
      <c r="D121" s="28" t="s">
        <v>873</v>
      </c>
      <c r="E121" s="28" t="s">
        <v>674</v>
      </c>
      <c r="F121" s="28" t="s">
        <v>674</v>
      </c>
      <c r="G121" s="28" t="s">
        <v>674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stats'!AM:AM)=1,0.1,1)*IF(AND(_xlfn.XLOOKUP(B121,'Base stats'!B:B,'Base stats'!AM:AM)=1,D121="sarg.alphaanimals"),0.5,1)/100,IF(_xlfn.XLOOKUP(B121,'Base stats'!B:B,'Base stats'!AM:AM)=1,0.001,0.025)),0.5)))</f>
        <v>0.05</v>
      </c>
      <c r="CA121" s="25" t="str">
        <f>IF(P121="Standard","No",MAX(0.001,MIN(MROUND(IF(OR(D121="sarg.alphaanimals",AND(BJ121="True",CC121="False")),POWER(10,3.47*LOG10(_xlfn.XLOOKUP(B121,'Base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804</v>
      </c>
      <c r="D122" s="28" t="s">
        <v>873</v>
      </c>
      <c r="E122" s="28" t="s">
        <v>674</v>
      </c>
      <c r="F122" s="28" t="s">
        <v>674</v>
      </c>
      <c r="G122" s="28" t="s">
        <v>674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stats'!AM:AM)=1,0.1,1)*IF(AND(_xlfn.XLOOKUP(B122,'Base stats'!B:B,'Base stats'!AM:AM)=1,D122="sarg.alphaanimals"),0.5,1)/100,IF(_xlfn.XLOOKUP(B122,'Base stats'!B:B,'Base stats'!AM:AM)=1,0.001,0.025)),0.5)))</f>
        <v>0.22500000000000001</v>
      </c>
      <c r="CA122" s="25" t="str">
        <f>IF(P122="Standard","No",MAX(0.001,MIN(MROUND(IF(OR(D122="sarg.alphaanimals",AND(BJ122="True",CC122="False")),POWER(10,3.47*LOG10(_xlfn.XLOOKUP(B122,'Base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805</v>
      </c>
      <c r="D123" s="28" t="s">
        <v>873</v>
      </c>
      <c r="E123" s="28" t="s">
        <v>674</v>
      </c>
      <c r="F123" s="28" t="s">
        <v>674</v>
      </c>
      <c r="G123" s="28" t="s">
        <v>674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stats'!AM:AM)=1,0.1,1)*IF(AND(_xlfn.XLOOKUP(B123,'Base stats'!B:B,'Base stats'!AM:AM)=1,D123="sarg.alphaanimals"),0.5,1)/100,IF(_xlfn.XLOOKUP(B123,'Base stats'!B:B,'Base stats'!AM:AM)=1,0.001,0.025)),0.5)))</f>
        <v>0.05</v>
      </c>
      <c r="CA123" s="25" t="str">
        <f>IF(P123="Standard","No",MAX(0.001,MIN(MROUND(IF(OR(D123="sarg.alphaanimals",AND(BJ123="True",CC123="False")),POWER(10,3.47*LOG10(_xlfn.XLOOKUP(B123,'Base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806</v>
      </c>
      <c r="D124" s="28" t="s">
        <v>873</v>
      </c>
      <c r="E124" s="28" t="s">
        <v>674</v>
      </c>
      <c r="F124" s="28" t="s">
        <v>674</v>
      </c>
      <c r="G124" s="28" t="s">
        <v>674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stats'!AM:AM)=1,0.1,1)*IF(AND(_xlfn.XLOOKUP(B124,'Base stats'!B:B,'Base stats'!AM:AM)=1,D124="sarg.alphaanimals"),0.5,1)/100,IF(_xlfn.XLOOKUP(B124,'Base stats'!B:B,'Base stats'!AM:AM)=1,0.001,0.025)),0.5)))</f>
        <v>0.5</v>
      </c>
      <c r="CA124" s="25" t="str">
        <f>IF(P124="Standard","No",MAX(0.001,MIN(MROUND(IF(OR(D124="sarg.alphaanimals",AND(BJ124="True",CC124="False")),POWER(10,3.47*LOG10(_xlfn.XLOOKUP(B124,'Base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807</v>
      </c>
      <c r="D125" s="28" t="s">
        <v>873</v>
      </c>
      <c r="E125" s="28" t="s">
        <v>674</v>
      </c>
      <c r="F125" s="28" t="s">
        <v>674</v>
      </c>
      <c r="G125" s="28" t="s">
        <v>674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stats'!AM:AM)=1,0.1,1)*IF(AND(_xlfn.XLOOKUP(B125,'Base stats'!B:B,'Base stats'!AM:AM)=1,D125="sarg.alphaanimals"),0.5,1)/100,IF(_xlfn.XLOOKUP(B125,'Base stats'!B:B,'Base stats'!AM:AM)=1,0.001,0.025)),0.5)))</f>
        <v>0.15000000000000002</v>
      </c>
      <c r="CA125" s="25" t="str">
        <f>IF(P125="Standard","No",MAX(0.001,MIN(MROUND(IF(OR(D125="sarg.alphaanimals",AND(BJ125="True",CC125="False")),POWER(10,3.47*LOG10(_xlfn.XLOOKUP(B125,'Base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808</v>
      </c>
      <c r="D126" s="28" t="s">
        <v>873</v>
      </c>
      <c r="E126" s="28" t="s">
        <v>674</v>
      </c>
      <c r="F126" s="28" t="s">
        <v>674</v>
      </c>
      <c r="G126" s="28" t="s">
        <v>674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stats'!AM:AM)=1,0.1,1)*IF(AND(_xlfn.XLOOKUP(B126,'Base stats'!B:B,'Base stats'!AM:AM)=1,D126="sarg.alphaanimals"),0.5,1)/100,IF(_xlfn.XLOOKUP(B126,'Base stats'!B:B,'Base stats'!AM:AM)=1,0.001,0.025)),0.5)))</f>
        <v>0.375</v>
      </c>
      <c r="CA126" s="25" t="str">
        <f>IF(P126="Standard","No",MAX(0.001,MIN(MROUND(IF(OR(D126="sarg.alphaanimals",AND(BJ126="True",CC126="False")),POWER(10,3.47*LOG10(_xlfn.XLOOKUP(B126,'Base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809</v>
      </c>
      <c r="D127" s="28" t="s">
        <v>873</v>
      </c>
      <c r="E127" s="28" t="s">
        <v>785</v>
      </c>
      <c r="F127" s="28" t="s">
        <v>786</v>
      </c>
      <c r="G127" s="28" t="s">
        <v>674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Intermediate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AttackTarget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stats'!AM:AM)=1,0.1,1)*IF(AND(_xlfn.XLOOKUP(B127,'Base stats'!B:B,'Base stats'!AM:AM)=1,D127="sarg.alphaanimals"),0.5,1)/100,IF(_xlfn.XLOOKUP(B127,'Base stats'!B:B,'Base stats'!AM:AM)=1,0.001,0.025)),0.5)))</f>
        <v>0.32500000000000001</v>
      </c>
      <c r="CA127" s="25">
        <f>IF(P127="Standard","No",MAX(0.001,MIN(MROUND(IF(OR(D127="sarg.alphaanimals",AND(BJ127="True",CC127="False")),POWER(10,3.47*LOG10(_xlfn.XLOOKUP(B127,'Base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810</v>
      </c>
      <c r="D128" s="28" t="s">
        <v>873</v>
      </c>
      <c r="E128" s="28" t="s">
        <v>674</v>
      </c>
      <c r="F128" s="28" t="s">
        <v>674</v>
      </c>
      <c r="G128" s="28" t="s">
        <v>674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stats'!AM:AM)=1,0.1,1)*IF(AND(_xlfn.XLOOKUP(B128,'Base stats'!B:B,'Base stats'!AM:AM)=1,D128="sarg.alphaanimals"),0.5,1)/100,IF(_xlfn.XLOOKUP(B128,'Base stats'!B:B,'Base stats'!AM:AM)=1,0.001,0.025)),0.5)))</f>
        <v>4.1000000000000002E-2</v>
      </c>
      <c r="CA128" s="25" t="str">
        <f>IF(P128="Standard","No",MAX(0.001,MIN(MROUND(IF(OR(D128="sarg.alphaanimals",AND(BJ128="True",CC128="False")),POWER(10,3.47*LOG10(_xlfn.XLOOKUP(B128,'Base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811</v>
      </c>
      <c r="D129" s="28" t="s">
        <v>873</v>
      </c>
      <c r="E129" s="28" t="s">
        <v>674</v>
      </c>
      <c r="F129" s="28" t="s">
        <v>674</v>
      </c>
      <c r="G129" s="28" t="s">
        <v>674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stats'!AM:AM)=1,0.1,1)*IF(AND(_xlfn.XLOOKUP(B129,'Base stats'!B:B,'Base stats'!AM:AM)=1,D129="sarg.alphaanimals"),0.5,1)/100,IF(_xlfn.XLOOKUP(B129,'Base stats'!B:B,'Base stats'!AM:AM)=1,0.001,0.025)),0.5)))</f>
        <v>0.45</v>
      </c>
      <c r="CA129" s="25" t="str">
        <f>IF(P129="Standard","No",MAX(0.001,MIN(MROUND(IF(OR(D129="sarg.alphaanimals",AND(BJ129="True",CC129="False")),POWER(10,3.47*LOG10(_xlfn.XLOOKUP(B129,'Base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812</v>
      </c>
      <c r="D130" s="28" t="s">
        <v>873</v>
      </c>
      <c r="E130" s="28" t="s">
        <v>674</v>
      </c>
      <c r="F130" s="28" t="s">
        <v>674</v>
      </c>
      <c r="G130" s="28" t="s">
        <v>674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stats'!AM:AM)=1,0.1,1)*IF(AND(_xlfn.XLOOKUP(B130,'Base stats'!B:B,'Base stats'!AM:AM)=1,D130="sarg.alphaanimals"),0.5,1)/100,IF(_xlfn.XLOOKUP(B130,'Base stats'!B:B,'Base stats'!AM:AM)=1,0.001,0.025)),0.5)))</f>
        <v>0.25</v>
      </c>
      <c r="CA130" s="25" t="str">
        <f>IF(P130="Standard","No",MAX(0.001,MIN(MROUND(IF(OR(D130="sarg.alphaanimals",AND(BJ130="True",CC130="False")),POWER(10,3.47*LOG10(_xlfn.XLOOKUP(B130,'Base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813</v>
      </c>
      <c r="D131" s="28" t="s">
        <v>873</v>
      </c>
      <c r="E131" s="28" t="s">
        <v>674</v>
      </c>
      <c r="F131" s="28" t="s">
        <v>674</v>
      </c>
      <c r="G131" s="28" t="s">
        <v>674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6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6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6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6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6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6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stats'!AM:AM)=1,0.1,1)*IF(AND(_xlfn.XLOOKUP(B131,'Base stats'!B:B,'Base stats'!AM:AM)=1,D131="sarg.alphaanimals"),0.5,1)/100,IF(_xlfn.XLOOKUP(B131,'Base stats'!B:B,'Base stats'!AM:AM)=1,0.001,0.025)),0.5)))</f>
        <v>0.5</v>
      </c>
      <c r="CA131" s="25" t="str">
        <f>IF(P131="Standard","No",MAX(0.001,MIN(MROUND(IF(OR(D131="sarg.alphaanimals",AND(BJ131="True",CC131="False")),POWER(10,3.47*LOG10(_xlfn.XLOOKUP(B131,'Base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6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814</v>
      </c>
      <c r="D132" s="28" t="s">
        <v>873</v>
      </c>
      <c r="E132" s="28" t="s">
        <v>690</v>
      </c>
      <c r="F132" s="28" t="s">
        <v>691</v>
      </c>
      <c r="G132" s="28" t="s">
        <v>674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stats'!AM:AM)=1,0.1,1)*IF(AND(_xlfn.XLOOKUP(B132,'Base stats'!B:B,'Base stats'!AM:AM)=1,D132="sarg.alphaanimals"),0.5,1)/100,IF(_xlfn.XLOOKUP(B132,'Base stats'!B:B,'Base stats'!AM:AM)=1,0.001,0.025)),0.5)))</f>
        <v>0.05</v>
      </c>
      <c r="CA132" s="25" t="str">
        <f>IF(P132="Standard","No",MAX(0.001,MIN(MROUND(IF(OR(D132="sarg.alphaanimals",AND(BJ132="True",CC132="False")),POWER(10,3.47*LOG10(_xlfn.XLOOKUP(B132,'Base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815</v>
      </c>
      <c r="D133" s="28" t="s">
        <v>873</v>
      </c>
      <c r="E133" s="28" t="s">
        <v>674</v>
      </c>
      <c r="F133" s="28" t="s">
        <v>674</v>
      </c>
      <c r="G133" s="28" t="s">
        <v>674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stats'!AM:AM)=1,0.1,1)*IF(AND(_xlfn.XLOOKUP(B133,'Base stats'!B:B,'Base stats'!AM:AM)=1,D133="sarg.alphaanimals"),0.5,1)/100,IF(_xlfn.XLOOKUP(B133,'Base stats'!B:B,'Base stats'!AM:AM)=1,0.001,0.025)),0.5)))</f>
        <v>0.5</v>
      </c>
      <c r="CA133" s="25" t="str">
        <f>IF(P133="Standard","No",MAX(0.001,MIN(MROUND(IF(OR(D133="sarg.alphaanimals",AND(BJ133="True",CC133="False")),POWER(10,3.47*LOG10(_xlfn.XLOOKUP(B133,'Base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816</v>
      </c>
      <c r="D134" s="28" t="s">
        <v>873</v>
      </c>
      <c r="E134" s="28" t="s">
        <v>674</v>
      </c>
      <c r="F134" s="28" t="s">
        <v>674</v>
      </c>
      <c r="G134" s="28" t="s">
        <v>674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stats'!AM:AM)=1,0.1,1)*IF(AND(_xlfn.XLOOKUP(B134,'Base stats'!B:B,'Base stats'!AM:AM)=1,D134="sarg.alphaanimals"),0.5,1)/100,IF(_xlfn.XLOOKUP(B134,'Base stats'!B:B,'Base stats'!AM:AM)=1,0.001,0.025)),0.5)))</f>
        <v>0.27500000000000002</v>
      </c>
      <c r="CA134" s="25" t="str">
        <f>IF(P134="Standard","No",MAX(0.001,MIN(MROUND(IF(OR(D134="sarg.alphaanimals",AND(BJ134="True",CC134="False")),POWER(10,3.47*LOG10(_xlfn.XLOOKUP(B134,'Base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817</v>
      </c>
      <c r="D135" s="28" t="s">
        <v>873</v>
      </c>
      <c r="E135" s="28" t="s">
        <v>674</v>
      </c>
      <c r="F135" s="28" t="s">
        <v>674</v>
      </c>
      <c r="G135" s="28" t="s">
        <v>674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stats'!AM:AM)=1,0.1,1)*IF(AND(_xlfn.XLOOKUP(B135,'Base stats'!B:B,'Base stats'!AM:AM)=1,D135="sarg.alphaanimals"),0.5,1)/100,IF(_xlfn.XLOOKUP(B135,'Base stats'!B:B,'Base stats'!AM:AM)=1,0.001,0.025)),0.5)))</f>
        <v>0.15000000000000002</v>
      </c>
      <c r="CA135" s="25" t="str">
        <f>IF(P135="Standard","No",MAX(0.001,MIN(MROUND(IF(OR(D135="sarg.alphaanimals",AND(BJ135="True",CC135="False")),POWER(10,3.47*LOG10(_xlfn.XLOOKUP(B135,'Base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818</v>
      </c>
      <c r="D136" s="28" t="s">
        <v>873</v>
      </c>
      <c r="E136" s="28" t="s">
        <v>674</v>
      </c>
      <c r="F136" s="28" t="s">
        <v>674</v>
      </c>
      <c r="G136" s="28" t="s">
        <v>674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stats'!AM:AM)=1,0.1,1)*IF(AND(_xlfn.XLOOKUP(B136,'Base stats'!B:B,'Base stats'!AM:AM)=1,D136="sarg.alphaanimals"),0.5,1)/100,IF(_xlfn.XLOOKUP(B136,'Base stats'!B:B,'Base stats'!AM:AM)=1,0.001,0.025)),0.5)))</f>
        <v>0.2</v>
      </c>
      <c r="CA136" s="25" t="str">
        <f>IF(P136="Standard","No",MAX(0.001,MIN(MROUND(IF(OR(D136="sarg.alphaanimals",AND(BJ136="True",CC136="False")),POWER(10,3.47*LOG10(_xlfn.XLOOKUP(B136,'Base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819</v>
      </c>
      <c r="D137" s="28" t="s">
        <v>873</v>
      </c>
      <c r="E137" s="28" t="s">
        <v>674</v>
      </c>
      <c r="F137" s="28" t="s">
        <v>674</v>
      </c>
      <c r="G137" s="28" t="s">
        <v>674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stats'!AM:AM)=1,0.1,1)*IF(AND(_xlfn.XLOOKUP(B137,'Base stats'!B:B,'Base stats'!AM:AM)=1,D137="sarg.alphaanimals"),0.5,1)/100,IF(_xlfn.XLOOKUP(B137,'Base stats'!B:B,'Base stats'!AM:AM)=1,0.001,0.025)),0.5)))</f>
        <v>0.125</v>
      </c>
      <c r="CA137" s="25" t="str">
        <f>IF(P137="Standard","No",MAX(0.001,MIN(MROUND(IF(OR(D137="sarg.alphaanimals",AND(BJ137="True",CC137="False")),POWER(10,3.47*LOG10(_xlfn.XLOOKUP(B137,'Base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820</v>
      </c>
      <c r="D138" s="28" t="s">
        <v>873</v>
      </c>
      <c r="E138" s="28" t="s">
        <v>674</v>
      </c>
      <c r="F138" s="28" t="s">
        <v>674</v>
      </c>
      <c r="G138" s="28" t="s">
        <v>674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2225</v>
      </c>
      <c r="I138" s="2">
        <f>MROUND(ROUNDDOWN(_xlfn.XLOOKUP(B138,'Base stats'!B:B,'Base stats'!L:L)/3.6/(23.3/11),1),0.5)</f>
        <v>4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0.99</v>
      </c>
      <c r="K138" s="2">
        <f>ROUNDUP(AO138*_xlfn.XLOOKUP(_xlfn.XLOOKUP(B138,'Base stats'!B:B,'Base stats'!E:E),Groups!A:A,Groups!E:E),0)</f>
        <v>5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-40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32</v>
      </c>
      <c r="R138" s="7">
        <f>IF(Q138="No","No",MAX(1,MROUND(_xlfn.XLOOKUP(B138,'Base stats'!B:B,'Base stats'!C:C)^0.165,0.05)))</f>
        <v>3.85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55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3.1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46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2.5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40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4.5</v>
      </c>
      <c r="AP138" s="8">
        <f>MROUND(AO138*_xlfn.XLOOKUP(_xlfn.XLOOKUP(B138,'Base stats'!B:B,'Base stats'!E:E),Groups!A:A,Groups!AI:AI)*_xlfn.XLOOKUP(B138,'Base stats'!B:B,'Base stats'!Z:Z),0.05)</f>
        <v>5.4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2.5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40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15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2</v>
      </c>
      <c r="AU138" s="8">
        <f t="shared" si="15"/>
        <v>1</v>
      </c>
      <c r="AV138" s="8">
        <f>IFERROR(IFERROR(MROUND(_xlfn.XLOOKUP(B138,'Base stats'!B:B,'Base stats'!J:J),0.1),"Lay eggs"),"Cannot breed")</f>
        <v>2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 t="str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No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8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690</v>
      </c>
      <c r="BS138" s="8">
        <f t="shared" si="19"/>
        <v>2.9000000000000004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false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AnimalExotic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stats'!AM:AM)=1,0.1,1)*IF(AND(_xlfn.XLOOKUP(B138,'Base stats'!B:B,'Base stats'!AM:AM)=1,D138="sarg.alphaanimals"),0.5,1)/100,IF(_xlfn.XLOOKUP(B138,'Base stats'!B:B,'Base stats'!AM:AM)=1,0.001,0.025)),0.5)))</f>
        <v>4.0000000000000001E-3</v>
      </c>
      <c r="CA138" s="25" t="str">
        <f>IF(P138="Standard","No",MAX(0.001,MIN(MROUND(IF(OR(D138="sarg.alphaanimals",AND(BJ138="True",CC138="False")),POWER(10,3.47*LOG10(_xlfn.XLOOKUP(B138,'Base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True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893</v>
      </c>
      <c r="C139" s="28" t="s">
        <v>821</v>
      </c>
      <c r="D139" s="28" t="s">
        <v>873</v>
      </c>
      <c r="E139" s="28" t="s">
        <v>674</v>
      </c>
      <c r="F139" s="28" t="s">
        <v>674</v>
      </c>
      <c r="G139" s="28" t="s">
        <v>674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stats'!AM:AM)=1,0.1,1)*IF(AND(_xlfn.XLOOKUP(B139,'Base stats'!B:B,'Base stats'!AM:AM)=1,D139="sarg.alphaanimals"),0.5,1)/100,IF(_xlfn.XLOOKUP(B139,'Base stats'!B:B,'Base stats'!AM:AM)=1,0.001,0.025)),0.5)))</f>
        <v>7.5000000000000011E-2</v>
      </c>
      <c r="CA139" s="25" t="str">
        <f>IF(P139="Standard","No",MAX(0.001,MIN(MROUND(IF(OR(D139="sarg.alphaanimals",AND(BJ139="True",CC139="False")),POWER(10,3.47*LOG10(_xlfn.XLOOKUP(B139,'Base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894</v>
      </c>
      <c r="C140" s="28" t="s">
        <v>822</v>
      </c>
      <c r="D140" s="28" t="s">
        <v>873</v>
      </c>
      <c r="E140" s="28" t="s">
        <v>674</v>
      </c>
      <c r="F140" s="28" t="s">
        <v>674</v>
      </c>
      <c r="G140" s="28" t="s">
        <v>674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stats'!AM:AM)=1,0.1,1)*IF(AND(_xlfn.XLOOKUP(B140,'Base stats'!B:B,'Base stats'!AM:AM)=1,D140="sarg.alphaanimals"),0.5,1)/100,IF(_xlfn.XLOOKUP(B140,'Base stats'!B:B,'Base stats'!AM:AM)=1,0.001,0.025)),0.5)))</f>
        <v>0.125</v>
      </c>
      <c r="CA140" s="25" t="str">
        <f>IF(P140="Standard","No",MAX(0.001,MIN(MROUND(IF(OR(D140="sarg.alphaanimals",AND(BJ140="True",CC140="False")),POWER(10,3.47*LOG10(_xlfn.XLOOKUP(B140,'Base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895</v>
      </c>
      <c r="C141" s="28" t="s">
        <v>823</v>
      </c>
      <c r="D141" s="28" t="s">
        <v>873</v>
      </c>
      <c r="E141" s="28" t="s">
        <v>674</v>
      </c>
      <c r="F141" s="28" t="s">
        <v>674</v>
      </c>
      <c r="G141" s="28" t="s">
        <v>674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stats'!AM:AM)=1,0.1,1)*IF(AND(_xlfn.XLOOKUP(B141,'Base stats'!B:B,'Base stats'!AM:AM)=1,D141="sarg.alphaanimals"),0.5,1)/100,IF(_xlfn.XLOOKUP(B141,'Base stats'!B:B,'Base stats'!AM:AM)=1,0.001,0.025)),0.5)))</f>
        <v>7.5000000000000011E-2</v>
      </c>
      <c r="CA141" s="25" t="str">
        <f>IF(P141="Standard","No",MAX(0.001,MIN(MROUND(IF(OR(D141="sarg.alphaanimals",AND(BJ141="True",CC141="False")),POWER(10,3.47*LOG10(_xlfn.XLOOKUP(B141,'Base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896</v>
      </c>
      <c r="C142" s="28" t="s">
        <v>824</v>
      </c>
      <c r="D142" s="28" t="s">
        <v>873</v>
      </c>
      <c r="E142" s="28" t="s">
        <v>674</v>
      </c>
      <c r="F142" s="28" t="s">
        <v>674</v>
      </c>
      <c r="G142" s="28" t="s">
        <v>674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stats'!AM:AM)=1,0.1,1)*IF(AND(_xlfn.XLOOKUP(B142,'Base stats'!B:B,'Base stats'!AM:AM)=1,D142="sarg.alphaanimals"),0.5,1)/100,IF(_xlfn.XLOOKUP(B142,'Base stats'!B:B,'Base stats'!AM:AM)=1,0.001,0.025)),0.5)))</f>
        <v>7.5000000000000011E-2</v>
      </c>
      <c r="CA142" s="25" t="str">
        <f>IF(P142="Standard","No",MAX(0.001,MIN(MROUND(IF(OR(D142="sarg.alphaanimals",AND(BJ142="True",CC142="False")),POWER(10,3.47*LOG10(_xlfn.XLOOKUP(B142,'Base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897</v>
      </c>
      <c r="C143" s="28" t="s">
        <v>825</v>
      </c>
      <c r="D143" s="28" t="s">
        <v>873</v>
      </c>
      <c r="E143" s="28" t="s">
        <v>674</v>
      </c>
      <c r="F143" s="28" t="s">
        <v>674</v>
      </c>
      <c r="G143" s="28" t="s">
        <v>674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stats'!AM:AM)=1,0.1,1)*IF(AND(_xlfn.XLOOKUP(B143,'Base stats'!B:B,'Base stats'!AM:AM)=1,D143="sarg.alphaanimals"),0.5,1)/100,IF(_xlfn.XLOOKUP(B143,'Base stats'!B:B,'Base stats'!AM:AM)=1,0.001,0.025)),0.5)))</f>
        <v>7.5000000000000011E-2</v>
      </c>
      <c r="CA143" s="25" t="str">
        <f>IF(P143="Standard","No",MAX(0.001,MIN(MROUND(IF(OR(D143="sarg.alphaanimals",AND(BJ143="True",CC143="False")),POWER(10,3.47*LOG10(_xlfn.XLOOKUP(B143,'Base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898</v>
      </c>
      <c r="C144" s="28" t="s">
        <v>826</v>
      </c>
      <c r="D144" s="28" t="s">
        <v>873</v>
      </c>
      <c r="E144" s="28" t="s">
        <v>674</v>
      </c>
      <c r="F144" s="28" t="s">
        <v>674</v>
      </c>
      <c r="G144" s="28" t="s">
        <v>674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stats'!AM:AM)=1,0.1,1)*IF(AND(_xlfn.XLOOKUP(B144,'Base stats'!B:B,'Base stats'!AM:AM)=1,D144="sarg.alphaanimals"),0.5,1)/100,IF(_xlfn.XLOOKUP(B144,'Base stats'!B:B,'Base stats'!AM:AM)=1,0.001,0.025)),0.5)))</f>
        <v>0.05</v>
      </c>
      <c r="CA144" s="25" t="str">
        <f>IF(P144="Standard","No",MAX(0.001,MIN(MROUND(IF(OR(D144="sarg.alphaanimals",AND(BJ144="True",CC144="False")),POWER(10,3.47*LOG10(_xlfn.XLOOKUP(B144,'Base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899</v>
      </c>
      <c r="C145" s="28" t="s">
        <v>827</v>
      </c>
      <c r="D145" s="28" t="s">
        <v>873</v>
      </c>
      <c r="E145" s="28" t="s">
        <v>674</v>
      </c>
      <c r="F145" s="28" t="s">
        <v>674</v>
      </c>
      <c r="G145" s="28" t="s">
        <v>674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stats'!AM:AM)=1,0.1,1)*IF(AND(_xlfn.XLOOKUP(B145,'Base stats'!B:B,'Base stats'!AM:AM)=1,D145="sarg.alphaanimals"),0.5,1)/100,IF(_xlfn.XLOOKUP(B145,'Base stats'!B:B,'Base stats'!AM:AM)=1,0.001,0.025)),0.5)))</f>
        <v>7.5000000000000011E-2</v>
      </c>
      <c r="CA145" s="25" t="str">
        <f>IF(P145="Standard","No",MAX(0.001,MIN(MROUND(IF(OR(D145="sarg.alphaanimals",AND(BJ145="True",CC145="False")),POWER(10,3.47*LOG10(_xlfn.XLOOKUP(B145,'Base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900</v>
      </c>
      <c r="C146" s="28" t="s">
        <v>828</v>
      </c>
      <c r="D146" s="28" t="s">
        <v>873</v>
      </c>
      <c r="E146" s="28" t="s">
        <v>674</v>
      </c>
      <c r="F146" s="28" t="s">
        <v>674</v>
      </c>
      <c r="G146" s="28" t="s">
        <v>674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stats'!AM:AM)=1,0.1,1)*IF(AND(_xlfn.XLOOKUP(B146,'Base stats'!B:B,'Base stats'!AM:AM)=1,D146="sarg.alphaanimals"),0.5,1)/100,IF(_xlfn.XLOOKUP(B146,'Base stats'!B:B,'Base stats'!AM:AM)=1,0.001,0.025)),0.5)))</f>
        <v>0.1</v>
      </c>
      <c r="CA146" s="25" t="str">
        <f>IF(P146="Standard","No",MAX(0.001,MIN(MROUND(IF(OR(D146="sarg.alphaanimals",AND(BJ146="True",CC146="False")),POWER(10,3.47*LOG10(_xlfn.XLOOKUP(B146,'Base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901</v>
      </c>
      <c r="C147" s="28" t="s">
        <v>829</v>
      </c>
      <c r="D147" s="28" t="s">
        <v>873</v>
      </c>
      <c r="E147" s="28" t="s">
        <v>674</v>
      </c>
      <c r="F147" s="28" t="s">
        <v>674</v>
      </c>
      <c r="G147" s="28" t="s">
        <v>674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stats'!AM:AM)=1,0.1,1)*IF(AND(_xlfn.XLOOKUP(B147,'Base stats'!B:B,'Base stats'!AM:AM)=1,D147="sarg.alphaanimals"),0.5,1)/100,IF(_xlfn.XLOOKUP(B147,'Base stats'!B:B,'Base stats'!AM:AM)=1,0.001,0.025)),0.5)))</f>
        <v>0.05</v>
      </c>
      <c r="CA147" s="25" t="str">
        <f>IF(P147="Standard","No",MAX(0.001,MIN(MROUND(IF(OR(D147="sarg.alphaanimals",AND(BJ147="True",CC147="False")),POWER(10,3.47*LOG10(_xlfn.XLOOKUP(B147,'Base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902</v>
      </c>
      <c r="C148" s="28" t="s">
        <v>830</v>
      </c>
      <c r="D148" s="28" t="s">
        <v>873</v>
      </c>
      <c r="E148" s="28" t="s">
        <v>674</v>
      </c>
      <c r="F148" s="28" t="s">
        <v>674</v>
      </c>
      <c r="G148" s="28" t="s">
        <v>674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stats'!AM:AM)=1,0.1,1)*IF(AND(_xlfn.XLOOKUP(B148,'Base stats'!B:B,'Base stats'!AM:AM)=1,D148="sarg.alphaanimals"),0.5,1)/100,IF(_xlfn.XLOOKUP(B148,'Base stats'!B:B,'Base stats'!AM:AM)=1,0.001,0.025)),0.5)))</f>
        <v>0.1</v>
      </c>
      <c r="CA148" s="25" t="str">
        <f>IF(P148="Standard","No",MAX(0.001,MIN(MROUND(IF(OR(D148="sarg.alphaanimals",AND(BJ148="True",CC148="False")),POWER(10,3.47*LOG10(_xlfn.XLOOKUP(B148,'Base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903</v>
      </c>
      <c r="C149" s="28" t="s">
        <v>831</v>
      </c>
      <c r="D149" s="28" t="s">
        <v>873</v>
      </c>
      <c r="E149" s="28" t="s">
        <v>674</v>
      </c>
      <c r="F149" s="28" t="s">
        <v>674</v>
      </c>
      <c r="G149" s="28" t="s">
        <v>674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stats'!AM:AM)=1,0.1,1)*IF(AND(_xlfn.XLOOKUP(B149,'Base stats'!B:B,'Base stats'!AM:AM)=1,D149="sarg.alphaanimals"),0.5,1)/100,IF(_xlfn.XLOOKUP(B149,'Base stats'!B:B,'Base stats'!AM:AM)=1,0.001,0.025)),0.5)))</f>
        <v>7.5000000000000011E-2</v>
      </c>
      <c r="CA149" s="25" t="str">
        <f>IF(P149="Standard","No",MAX(0.001,MIN(MROUND(IF(OR(D149="sarg.alphaanimals",AND(BJ149="True",CC149="False")),POWER(10,3.47*LOG10(_xlfn.XLOOKUP(B149,'Base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904</v>
      </c>
      <c r="C150" s="28" t="s">
        <v>832</v>
      </c>
      <c r="D150" s="28" t="s">
        <v>873</v>
      </c>
      <c r="E150" s="28" t="s">
        <v>674</v>
      </c>
      <c r="F150" s="28" t="s">
        <v>674</v>
      </c>
      <c r="G150" s="28" t="s">
        <v>674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stats'!AM:AM)=1,0.1,1)*IF(AND(_xlfn.XLOOKUP(B150,'Base stats'!B:B,'Base stats'!AM:AM)=1,D150="sarg.alphaanimals"),0.5,1)/100,IF(_xlfn.XLOOKUP(B150,'Base stats'!B:B,'Base stats'!AM:AM)=1,0.001,0.025)),0.5)))</f>
        <v>0.1</v>
      </c>
      <c r="CA150" s="25" t="str">
        <f>IF(P150="Standard","No",MAX(0.001,MIN(MROUND(IF(OR(D150="sarg.alphaanimals",AND(BJ150="True",CC150="False")),POWER(10,3.47*LOG10(_xlfn.XLOOKUP(B150,'Base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905</v>
      </c>
      <c r="C151" s="28" t="s">
        <v>833</v>
      </c>
      <c r="D151" s="28" t="s">
        <v>873</v>
      </c>
      <c r="E151" s="28" t="s">
        <v>674</v>
      </c>
      <c r="F151" s="28" t="s">
        <v>674</v>
      </c>
      <c r="G151" s="28" t="s">
        <v>674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stats'!AM:AM)=1,0.1,1)*IF(AND(_xlfn.XLOOKUP(B151,'Base stats'!B:B,'Base stats'!AM:AM)=1,D151="sarg.alphaanimals"),0.5,1)/100,IF(_xlfn.XLOOKUP(B151,'Base stats'!B:B,'Base stats'!AM:AM)=1,0.001,0.025)),0.5)))</f>
        <v>0.1</v>
      </c>
      <c r="CA151" s="25" t="str">
        <f>IF(P151="Standard","No",MAX(0.001,MIN(MROUND(IF(OR(D151="sarg.alphaanimals",AND(BJ151="True",CC151="False")),POWER(10,3.47*LOG10(_xlfn.XLOOKUP(B151,'Base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906</v>
      </c>
      <c r="C152" s="28" t="s">
        <v>834</v>
      </c>
      <c r="D152" s="28" t="s">
        <v>873</v>
      </c>
      <c r="E152" s="28" t="s">
        <v>674</v>
      </c>
      <c r="F152" s="28" t="s">
        <v>674</v>
      </c>
      <c r="G152" s="28" t="s">
        <v>674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stats'!AM:AM)=1,0.1,1)*IF(AND(_xlfn.XLOOKUP(B152,'Base stats'!B:B,'Base stats'!AM:AM)=1,D152="sarg.alphaanimals"),0.5,1)/100,IF(_xlfn.XLOOKUP(B152,'Base stats'!B:B,'Base stats'!AM:AM)=1,0.001,0.025)),0.5)))</f>
        <v>0.1</v>
      </c>
      <c r="CA152" s="25" t="str">
        <f>IF(P152="Standard","No",MAX(0.001,MIN(MROUND(IF(OR(D152="sarg.alphaanimals",AND(BJ152="True",CC152="False")),POWER(10,3.47*LOG10(_xlfn.XLOOKUP(B152,'Base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907</v>
      </c>
      <c r="C153" s="28" t="s">
        <v>835</v>
      </c>
      <c r="D153" s="28" t="s">
        <v>873</v>
      </c>
      <c r="E153" s="28" t="s">
        <v>674</v>
      </c>
      <c r="F153" s="28" t="s">
        <v>674</v>
      </c>
      <c r="G153" s="28" t="s">
        <v>674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stats'!AM:AM)=1,0.1,1)*IF(AND(_xlfn.XLOOKUP(B153,'Base stats'!B:B,'Base stats'!AM:AM)=1,D153="sarg.alphaanimals"),0.5,1)/100,IF(_xlfn.XLOOKUP(B153,'Base stats'!B:B,'Base stats'!AM:AM)=1,0.001,0.025)),0.5)))</f>
        <v>0.1</v>
      </c>
      <c r="CA153" s="25" t="str">
        <f>IF(P153="Standard","No",MAX(0.001,MIN(MROUND(IF(OR(D153="sarg.alphaanimals",AND(BJ153="True",CC153="False")),POWER(10,3.47*LOG10(_xlfn.XLOOKUP(B153,'Base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908</v>
      </c>
      <c r="C154" s="28" t="s">
        <v>836</v>
      </c>
      <c r="D154" s="28" t="s">
        <v>873</v>
      </c>
      <c r="E154" s="28" t="s">
        <v>674</v>
      </c>
      <c r="F154" s="28" t="s">
        <v>674</v>
      </c>
      <c r="G154" s="28" t="s">
        <v>674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stats'!AM:AM)=1,0.1,1)*IF(AND(_xlfn.XLOOKUP(B154,'Base stats'!B:B,'Base stats'!AM:AM)=1,D154="sarg.alphaanimals"),0.5,1)/100,IF(_xlfn.XLOOKUP(B154,'Base stats'!B:B,'Base stats'!AM:AM)=1,0.001,0.025)),0.5)))</f>
        <v>0.1</v>
      </c>
      <c r="CA154" s="25" t="str">
        <f>IF(P154="Standard","No",MAX(0.001,MIN(MROUND(IF(OR(D154="sarg.alphaanimals",AND(BJ154="True",CC154="False")),POWER(10,3.47*LOG10(_xlfn.XLOOKUP(B154,'Base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909</v>
      </c>
      <c r="C155" s="28" t="s">
        <v>837</v>
      </c>
      <c r="D155" s="28" t="s">
        <v>873</v>
      </c>
      <c r="E155" s="28" t="s">
        <v>674</v>
      </c>
      <c r="F155" s="28" t="s">
        <v>674</v>
      </c>
      <c r="G155" s="28" t="s">
        <v>674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stats'!AM:AM)=1,0.1,1)*IF(AND(_xlfn.XLOOKUP(B155,'Base stats'!B:B,'Base stats'!AM:AM)=1,D155="sarg.alphaanimals"),0.5,1)/100,IF(_xlfn.XLOOKUP(B155,'Base stats'!B:B,'Base stats'!AM:AM)=1,0.001,0.025)),0.5)))</f>
        <v>0.1</v>
      </c>
      <c r="CA155" s="25" t="str">
        <f>IF(P155="Standard","No",MAX(0.001,MIN(MROUND(IF(OR(D155="sarg.alphaanimals",AND(BJ155="True",CC155="False")),POWER(10,3.47*LOG10(_xlfn.XLOOKUP(B155,'Base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910</v>
      </c>
      <c r="C156" s="28" t="s">
        <v>838</v>
      </c>
      <c r="D156" s="28" t="s">
        <v>873</v>
      </c>
      <c r="E156" s="28" t="s">
        <v>674</v>
      </c>
      <c r="F156" s="28" t="s">
        <v>674</v>
      </c>
      <c r="G156" s="28" t="s">
        <v>674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stats'!AM:AM)=1,0.1,1)*IF(AND(_xlfn.XLOOKUP(B156,'Base stats'!B:B,'Base stats'!AM:AM)=1,D156="sarg.alphaanimals"),0.5,1)/100,IF(_xlfn.XLOOKUP(B156,'Base stats'!B:B,'Base stats'!AM:AM)=1,0.001,0.025)),0.5)))</f>
        <v>0.1</v>
      </c>
      <c r="CA156" s="25" t="str">
        <f>IF(P156="Standard","No",MAX(0.001,MIN(MROUND(IF(OR(D156="sarg.alphaanimals",AND(BJ156="True",CC156="False")),POWER(10,3.47*LOG10(_xlfn.XLOOKUP(B156,'Base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911</v>
      </c>
      <c r="C157" s="28" t="s">
        <v>839</v>
      </c>
      <c r="D157" s="28" t="s">
        <v>873</v>
      </c>
      <c r="E157" s="28" t="s">
        <v>674</v>
      </c>
      <c r="F157" s="28" t="s">
        <v>674</v>
      </c>
      <c r="G157" s="28" t="s">
        <v>674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stats'!AM:AM)=1,0.1,1)*IF(AND(_xlfn.XLOOKUP(B157,'Base stats'!B:B,'Base stats'!AM:AM)=1,D157="sarg.alphaanimals"),0.5,1)/100,IF(_xlfn.XLOOKUP(B157,'Base stats'!B:B,'Base stats'!AM:AM)=1,0.001,0.025)),0.5)))</f>
        <v>0.1</v>
      </c>
      <c r="CA157" s="25" t="str">
        <f>IF(P157="Standard","No",MAX(0.001,MIN(MROUND(IF(OR(D157="sarg.alphaanimals",AND(BJ157="True",CC157="False")),POWER(10,3.47*LOG10(_xlfn.XLOOKUP(B157,'Base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912</v>
      </c>
      <c r="C158" s="28" t="s">
        <v>840</v>
      </c>
      <c r="D158" s="28" t="s">
        <v>873</v>
      </c>
      <c r="E158" s="28" t="s">
        <v>674</v>
      </c>
      <c r="F158" s="28" t="s">
        <v>674</v>
      </c>
      <c r="G158" s="28" t="s">
        <v>674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stats'!AM:AM)=1,0.1,1)*IF(AND(_xlfn.XLOOKUP(B158,'Base stats'!B:B,'Base stats'!AM:AM)=1,D158="sarg.alphaanimals"),0.5,1)/100,IF(_xlfn.XLOOKUP(B158,'Base stats'!B:B,'Base stats'!AM:AM)=1,0.001,0.025)),0.5)))</f>
        <v>0.1</v>
      </c>
      <c r="CA158" s="25" t="str">
        <f>IF(P158="Standard","No",MAX(0.001,MIN(MROUND(IF(OR(D158="sarg.alphaanimals",AND(BJ158="True",CC158="False")),POWER(10,3.47*LOG10(_xlfn.XLOOKUP(B158,'Base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913</v>
      </c>
      <c r="C159" s="28" t="s">
        <v>841</v>
      </c>
      <c r="D159" s="28" t="s">
        <v>873</v>
      </c>
      <c r="E159" s="28" t="s">
        <v>674</v>
      </c>
      <c r="F159" s="28" t="s">
        <v>674</v>
      </c>
      <c r="G159" s="28" t="s">
        <v>674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stats'!AM:AM)=1,0.1,1)*IF(AND(_xlfn.XLOOKUP(B159,'Base stats'!B:B,'Base stats'!AM:AM)=1,D159="sarg.alphaanimals"),0.5,1)/100,IF(_xlfn.XLOOKUP(B159,'Base stats'!B:B,'Base stats'!AM:AM)=1,0.001,0.025)),0.5)))</f>
        <v>0.1</v>
      </c>
      <c r="CA159" s="25" t="str">
        <f>IF(P159="Standard","No",MAX(0.001,MIN(MROUND(IF(OR(D159="sarg.alphaanimals",AND(BJ159="True",CC159="False")),POWER(10,3.47*LOG10(_xlfn.XLOOKUP(B159,'Base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842</v>
      </c>
      <c r="D160" s="28" t="s">
        <v>947</v>
      </c>
      <c r="E160" s="28" t="s">
        <v>674</v>
      </c>
      <c r="F160" s="28" t="s">
        <v>674</v>
      </c>
      <c r="G160" s="28" t="s">
        <v>674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stats'!AM:AM)=1,0.1,1)*IF(AND(_xlfn.XLOOKUP(B160,'Base stats'!B:B,'Base stats'!AM:AM)=1,D160="sarg.alphaanimals"),0.5,1)/100,IF(_xlfn.XLOOKUP(B160,'Base stats'!B:B,'Base stats'!AM:AM)=1,0.001,0.025)),0.5)))</f>
        <v>3.0000000000000001E-3</v>
      </c>
      <c r="CA160" s="25">
        <f>IF(P160="Standard","No",MAX(0.001,MIN(MROUND(IF(OR(D160="sarg.alphaanimals",AND(BJ160="True",CC160="False")),POWER(10,3.47*LOG10(_xlfn.XLOOKUP(B160,'Base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1117</v>
      </c>
      <c r="C161" s="28" t="s">
        <v>1118</v>
      </c>
      <c r="D161" s="28" t="s">
        <v>1119</v>
      </c>
      <c r="E161" s="28" t="s">
        <v>674</v>
      </c>
      <c r="F161" s="28" t="s">
        <v>674</v>
      </c>
      <c r="G161" s="28" t="s">
        <v>674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stats'!AM:AM)=1,0.1,1)*IF(AND(_xlfn.XLOOKUP(B161,'Base stats'!B:B,'Base stats'!AM:AM)=1,D161="sarg.alphaanimals"),0.5,1)/100,IF(_xlfn.XLOOKUP(B161,'Base stats'!B:B,'Base stats'!AM:AM)=1,0.001,0.025)),0.5)))</f>
        <v>5.0000000000000001E-3</v>
      </c>
      <c r="CA161" s="25" t="str">
        <f>IF(P161="Standard","No",MAX(0.001,MIN(MROUND(IF(OR(D161="sarg.alphaanimals",AND(BJ161="True",CC161="False")),POWER(10,3.47*LOG10(_xlfn.XLOOKUP(B161,'Base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1120</v>
      </c>
      <c r="C162" s="28" t="s">
        <v>1122</v>
      </c>
      <c r="D162" s="28" t="s">
        <v>1119</v>
      </c>
      <c r="E162" s="28" t="s">
        <v>674</v>
      </c>
      <c r="F162" s="28" t="s">
        <v>674</v>
      </c>
      <c r="G162" s="28" t="s">
        <v>674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stats'!AM:AM)=1,0.1,1)*IF(AND(_xlfn.XLOOKUP(B162,'Base stats'!B:B,'Base stats'!AM:AM)=1,D162="sarg.alphaanimals"),0.5,1)/100,IF(_xlfn.XLOOKUP(B162,'Base stats'!B:B,'Base stats'!AM:AM)=1,0.001,0.025)),0.5)))</f>
        <v>7.0000000000000007E-2</v>
      </c>
      <c r="CA162" s="25" t="str">
        <f>IF(P162="Standard","No",MAX(0.001,MIN(MROUND(IF(OR(D162="sarg.alphaanimals",AND(BJ162="True",CC162="False")),POWER(10,3.47*LOG10(_xlfn.XLOOKUP(B162,'Base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1124</v>
      </c>
      <c r="C163" s="28" t="s">
        <v>1125</v>
      </c>
      <c r="D163" s="28" t="s">
        <v>1119</v>
      </c>
      <c r="E163" s="28" t="s">
        <v>674</v>
      </c>
      <c r="F163" s="28" t="s">
        <v>674</v>
      </c>
      <c r="G163" s="28" t="s">
        <v>674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stats'!AM:AM)=1,0.1,1)*IF(AND(_xlfn.XLOOKUP(B163,'Base stats'!B:B,'Base stats'!AM:AM)=1,D163="sarg.alphaanimals"),0.5,1)/100,IF(_xlfn.XLOOKUP(B163,'Base stats'!B:B,'Base stats'!AM:AM)=1,0.001,0.025)),0.5)))</f>
        <v>2.1000000000000001E-2</v>
      </c>
      <c r="CA163" s="25" t="str">
        <f>IF(P163="Standard","No",MAX(0.001,MIN(MROUND(IF(OR(D163="sarg.alphaanimals",AND(BJ163="True",CC163="False")),POWER(10,3.47*LOG10(_xlfn.XLOOKUP(B163,'Base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1127</v>
      </c>
      <c r="C164" s="28" t="s">
        <v>1126</v>
      </c>
      <c r="D164" s="28" t="s">
        <v>1119</v>
      </c>
      <c r="E164" s="28" t="s">
        <v>674</v>
      </c>
      <c r="F164" s="28" t="s">
        <v>674</v>
      </c>
      <c r="G164" s="28" t="s">
        <v>674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stats'!AM:AM)=1,0.1,1)*IF(AND(_xlfn.XLOOKUP(B164,'Base stats'!B:B,'Base stats'!AM:AM)=1,D164="sarg.alphaanimals"),0.5,1)/100,IF(_xlfn.XLOOKUP(B164,'Base stats'!B:B,'Base stats'!AM:AM)=1,0.001,0.025)),0.5)))</f>
        <v>0.04</v>
      </c>
      <c r="CA164" s="25" t="str">
        <f>IF(P164="Standard","No",MAX(0.001,MIN(MROUND(IF(OR(D164="sarg.alphaanimals",AND(BJ164="True",CC164="False")),POWER(10,3.47*LOG10(_xlfn.XLOOKUP(B164,'Base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1129</v>
      </c>
      <c r="C165" s="28" t="s">
        <v>1128</v>
      </c>
      <c r="D165" s="28" t="s">
        <v>1119</v>
      </c>
      <c r="E165" s="28" t="s">
        <v>674</v>
      </c>
      <c r="F165" s="28" t="s">
        <v>674</v>
      </c>
      <c r="G165" s="28" t="s">
        <v>674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stats'!AM:AM)=1,0.1,1)*IF(AND(_xlfn.XLOOKUP(B165,'Base stats'!B:B,'Base stats'!AM:AM)=1,D165="sarg.alphaanimals"),0.5,1)/100,IF(_xlfn.XLOOKUP(B165,'Base stats'!B:B,'Base stats'!AM:AM)=1,0.001,0.025)),0.5)))</f>
        <v>3.4000000000000002E-2</v>
      </c>
      <c r="CA165" s="25" t="str">
        <f>IF(P165="Standard","No",MAX(0.001,MIN(MROUND(IF(OR(D165="sarg.alphaanimals",AND(BJ165="True",CC165="False")),POWER(10,3.47*LOG10(_xlfn.XLOOKUP(B165,'Base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1131</v>
      </c>
      <c r="C166" s="28" t="s">
        <v>1130</v>
      </c>
      <c r="D166" s="28" t="s">
        <v>1119</v>
      </c>
      <c r="E166" s="28" t="s">
        <v>674</v>
      </c>
      <c r="F166" s="28" t="s">
        <v>674</v>
      </c>
      <c r="G166" s="28" t="s">
        <v>674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stats'!AM:AM)=1,0.1,1)*IF(AND(_xlfn.XLOOKUP(B166,'Base stats'!B:B,'Base stats'!AM:AM)=1,D166="sarg.alphaanimals"),0.5,1)/100,IF(_xlfn.XLOOKUP(B166,'Base stats'!B:B,'Base stats'!AM:AM)=1,0.001,0.025)),0.5)))</f>
        <v>4.3000000000000003E-2</v>
      </c>
      <c r="CA166" s="25" t="str">
        <f>IF(P166="Standard","No",MAX(0.001,MIN(MROUND(IF(OR(D166="sarg.alphaanimals",AND(BJ166="True",CC166="False")),POWER(10,3.47*LOG10(_xlfn.XLOOKUP(B166,'Base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1169</v>
      </c>
      <c r="C167" s="28" t="s">
        <v>1171</v>
      </c>
      <c r="D167" s="28" t="s">
        <v>1172</v>
      </c>
      <c r="E167" s="28" t="s">
        <v>1173</v>
      </c>
      <c r="F167" s="28" t="s">
        <v>1174</v>
      </c>
      <c r="G167" s="28" t="s">
        <v>674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Zoology_DraftControl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stats'!AM:AM)=1,0.1,1)*IF(AND(_xlfn.XLOOKUP(B167,'Base stats'!B:B,'Base stats'!AM:AM)=1,D167="sarg.alphaanimals"),0.5,1)/100,IF(_xlfn.XLOOKUP(B167,'Base stats'!B:B,'Base stats'!AM:AM)=1,0.001,0.025)),0.5)))</f>
        <v>2.5000000000000001E-2</v>
      </c>
      <c r="CA167" s="25">
        <f>IF(P167="Standard","No",MAX(0.001,MIN(MROUND(IF(OR(D167="sarg.alphaanimals",AND(BJ167="True",CC167="False")),POWER(10,3.47*LOG10(_xlfn.XLOOKUP(B167,'Base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1767</v>
      </c>
      <c r="C168" s="28" t="s">
        <v>1768</v>
      </c>
      <c r="D168" s="28" t="s">
        <v>1172</v>
      </c>
      <c r="E168" s="28" t="s">
        <v>1173</v>
      </c>
      <c r="F168" s="28" t="s">
        <v>1174</v>
      </c>
      <c r="G168" s="28" t="s">
        <v>674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ref="AN168" si="21">IF(BJ168="false","No",MROUND(AO168*5+15*1,5))</f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ref="AU168" si="22">IF(AT168="No","No",IFERROR(MROUND(AT168/2,0.05),"Unknown"))</f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ref="AW168" si="23">IF(BT168="No","false","true")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ref="BL168" si="24">IF(BI168&lt;&gt;"None",1,0)</f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ref="BN168" si="25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Zoology_DraftControl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ref="BS168" si="26">MROUND(AO168 * 0.2 + AQ168 * 0.8,0.05)</f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stats'!AM:AM)=1,0.1,1)*IF(AND(_xlfn.XLOOKUP(B168,'Base stats'!B:B,'Base stats'!AM:AM)=1,D168="sarg.alphaanimals"),0.5,1)/100,IF(_xlfn.XLOOKUP(B168,'Base stats'!B:B,'Base stats'!AM:AM)=1,0.001,0.025)),0.5)))</f>
        <v>0.05</v>
      </c>
      <c r="CA168" s="25">
        <f>IF(P168="Standard","No",MAX(0.001,MIN(MROUND(IF(OR(D168="sarg.alphaanimals",AND(BJ168="True",CC168="False")),POWER(10,3.47*LOG10(_xlfn.XLOOKUP(B168,'Base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" si="27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1188</v>
      </c>
      <c r="C169" s="28" t="s">
        <v>1189</v>
      </c>
      <c r="D169" s="28" t="s">
        <v>1172</v>
      </c>
      <c r="E169" s="28" t="s">
        <v>1173</v>
      </c>
      <c r="F169" s="28" t="s">
        <v>1174</v>
      </c>
      <c r="G169" s="28" t="s">
        <v>674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Zoology_DraftControl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stats'!AM:AM)=1,0.1,1)*IF(AND(_xlfn.XLOOKUP(B169,'Base stats'!B:B,'Base stats'!AM:AM)=1,D169="sarg.alphaanimals"),0.5,1)/100,IF(_xlfn.XLOOKUP(B169,'Base stats'!B:B,'Base stats'!AM:AM)=1,0.001,0.025)),0.5)))</f>
        <v>0.1</v>
      </c>
      <c r="CA169" s="25">
        <f>IF(P169="Standard","No",MAX(0.001,MIN(MROUND(IF(OR(D169="sarg.alphaanimals",AND(BJ169="True",CC169="False")),POWER(10,3.47*LOG10(_xlfn.XLOOKUP(B169,'Base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1176</v>
      </c>
      <c r="C170" s="28" t="s">
        <v>1179</v>
      </c>
      <c r="D170" s="28" t="s">
        <v>1172</v>
      </c>
      <c r="E170" s="28" t="s">
        <v>1173</v>
      </c>
      <c r="F170" s="28" t="s">
        <v>1174</v>
      </c>
      <c r="G170" s="28" t="s">
        <v>674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Zoology_DraftControl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stats'!AM:AM)=1,0.1,1)*IF(AND(_xlfn.XLOOKUP(B170,'Base stats'!B:B,'Base stats'!AM:AM)=1,D170="sarg.alphaanimals"),0.5,1)/100,IF(_xlfn.XLOOKUP(B170,'Base stats'!B:B,'Base stats'!AM:AM)=1,0.001,0.025)),0.5)))</f>
        <v>0.05</v>
      </c>
      <c r="CA170" s="25">
        <f>IF(P170="Standard","No",MAX(0.001,MIN(MROUND(IF(OR(D170="sarg.alphaanimals",AND(BJ170="True",CC170="False")),POWER(10,3.47*LOG10(_xlfn.XLOOKUP(B170,'Base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1773</v>
      </c>
      <c r="C171" s="28" t="s">
        <v>1774</v>
      </c>
      <c r="D171" s="28" t="s">
        <v>1172</v>
      </c>
      <c r="E171" s="28" t="s">
        <v>1173</v>
      </c>
      <c r="F171" s="28" t="s">
        <v>1174</v>
      </c>
      <c r="G171" s="28" t="s">
        <v>674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ref="AN171" si="28">IF(BJ171="false","No",MROUND(AO171*5+15*1,5))</f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ref="AU171" si="29">IF(AT171="No","No",IFERROR(MROUND(AT171/2,0.05),"Unknown"))</f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ref="AW171" si="3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ref="BL171" si="31">IF(BI171&lt;&gt;"None",1,0)</f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ref="BN171" si="3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Zoology_DraftControl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ref="BS171" si="33">MROUND(AO171 * 0.2 + AQ171 * 0.8,0.05)</f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stats'!AM:AM)=1,0.1,1)*IF(AND(_xlfn.XLOOKUP(B171,'Base stats'!B:B,'Base stats'!AM:AM)=1,D171="sarg.alphaanimals"),0.5,1)/100,IF(_xlfn.XLOOKUP(B171,'Base stats'!B:B,'Base stats'!AM:AM)=1,0.001,0.025)),0.5)))</f>
        <v>0.2</v>
      </c>
      <c r="CA171" s="25">
        <f>IF(P171="Standard","No",MAX(0.001,MIN(MROUND(IF(OR(D171="sarg.alphaanimals",AND(BJ171="True",CC171="False")),POWER(10,3.47*LOG10(_xlfn.XLOOKUP(B171,'Base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34">IF(J171&gt;0.95,"True","False")</f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1178</v>
      </c>
      <c r="C172" s="28" t="s">
        <v>1180</v>
      </c>
      <c r="D172" s="28" t="s">
        <v>1172</v>
      </c>
      <c r="E172" s="28" t="s">
        <v>1173</v>
      </c>
      <c r="F172" s="28" t="s">
        <v>1174</v>
      </c>
      <c r="G172" s="28" t="s">
        <v>674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Zoology_DraftControl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stats'!AM:AM)=1,0.1,1)*IF(AND(_xlfn.XLOOKUP(B172,'Base stats'!B:B,'Base stats'!AM:AM)=1,D172="sarg.alphaanimals"),0.5,1)/100,IF(_xlfn.XLOOKUP(B172,'Base stats'!B:B,'Base stats'!AM:AM)=1,0.001,0.025)),0.5)))</f>
        <v>0.2</v>
      </c>
      <c r="CA172" s="25">
        <f>IF(P172="Standard","No",MAX(0.001,MIN(MROUND(IF(OR(D172="sarg.alphaanimals",AND(BJ172="True",CC172="False")),POWER(10,3.47*LOG10(_xlfn.XLOOKUP(B172,'Base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1192</v>
      </c>
      <c r="C173" s="28" t="s">
        <v>1194</v>
      </c>
      <c r="D173" s="28" t="s">
        <v>1195</v>
      </c>
      <c r="E173" s="28" t="s">
        <v>674</v>
      </c>
      <c r="F173" s="28" t="s">
        <v>674</v>
      </c>
      <c r="G173" s="28" t="s">
        <v>674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stats'!AM:AM)=1,0.1,1)*IF(AND(_xlfn.XLOOKUP(B173,'Base stats'!B:B,'Base stats'!AM:AM)=1,D173="sarg.alphaanimals"),0.5,1)/100,IF(_xlfn.XLOOKUP(B173,'Base stats'!B:B,'Base stats'!AM:AM)=1,0.001,0.025)),0.5)))</f>
        <v>1.6E-2</v>
      </c>
      <c r="CA173" s="25" t="str">
        <f>IF(P173="Standard","No",MAX(0.001,MIN(MROUND(IF(OR(D173="sarg.alphaanimals",AND(BJ173="True",CC173="False")),POWER(10,3.47*LOG10(_xlfn.XLOOKUP(B173,'Base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1205</v>
      </c>
      <c r="B174" s="6" t="s">
        <v>1214</v>
      </c>
      <c r="C174" s="28" t="s">
        <v>1196</v>
      </c>
      <c r="D174" s="28" t="s">
        <v>1195</v>
      </c>
      <c r="E174" s="28" t="s">
        <v>674</v>
      </c>
      <c r="F174" s="28" t="s">
        <v>674</v>
      </c>
      <c r="G174" s="28" t="s">
        <v>674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0.05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stats'!AM:AM)=1,0.1,1)*IF(AND(_xlfn.XLOOKUP(B174,'Base stats'!B:B,'Base stats'!AM:AM)=1,D174="sarg.alphaanimals"),0.5,1)/100,IF(_xlfn.XLOOKUP(B174,'Base stats'!B:B,'Base stats'!AM:AM)=1,0.001,0.025)),0.5)))</f>
        <v>1.3000000000000001E-2</v>
      </c>
      <c r="CA174" s="25" t="str">
        <f>IF(P174="Standard","No",MAX(0.001,MIN(MROUND(IF(OR(D174="sarg.alphaanimals",AND(BJ174="True",CC174="False")),POWER(10,3.47*LOG10(_xlfn.XLOOKUP(B174,'Base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1206</v>
      </c>
      <c r="B175" s="6" t="s">
        <v>1215</v>
      </c>
      <c r="C175" s="28" t="s">
        <v>1197</v>
      </c>
      <c r="D175" s="28" t="s">
        <v>1195</v>
      </c>
      <c r="E175" s="28" t="s">
        <v>674</v>
      </c>
      <c r="F175" s="28" t="s">
        <v>674</v>
      </c>
      <c r="G175" s="28" t="s">
        <v>674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425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70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stats'!AM:AM)=1,0.1,1)*IF(AND(_xlfn.XLOOKUP(B175,'Base stats'!B:B,'Base stats'!AM:AM)=1,D175="sarg.alphaanimals"),0.5,1)/100,IF(_xlfn.XLOOKUP(B175,'Base stats'!B:B,'Base stats'!AM:AM)=1,0.001,0.025)),0.5)))</f>
        <v>2.3E-2</v>
      </c>
      <c r="CA175" s="25" t="str">
        <f>IF(P175="Standard","No",MAX(0.001,MIN(MROUND(IF(OR(D175="sarg.alphaanimals",AND(BJ175="True",CC175="False")),POWER(10,3.47*LOG10(_xlfn.XLOOKUP(B175,'Base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1207</v>
      </c>
      <c r="B176" s="6" t="s">
        <v>1216</v>
      </c>
      <c r="C176" s="28" t="s">
        <v>1198</v>
      </c>
      <c r="D176" s="28" t="s">
        <v>1195</v>
      </c>
      <c r="E176" s="28" t="s">
        <v>676</v>
      </c>
      <c r="F176" s="28" t="s">
        <v>677</v>
      </c>
      <c r="G176" s="28" t="s">
        <v>674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stats'!AM:AM)=1,0.1,1)*IF(AND(_xlfn.XLOOKUP(B176,'Base stats'!B:B,'Base stats'!AM:AM)=1,D176="sarg.alphaanimals"),0.5,1)/100,IF(_xlfn.XLOOKUP(B176,'Base stats'!B:B,'Base stats'!AM:AM)=1,0.001,0.025)),0.5)))</f>
        <v>1.8000000000000002E-2</v>
      </c>
      <c r="CA176" s="25" t="str">
        <f>IF(P176="Standard","No",MAX(0.001,MIN(MROUND(IF(OR(D176="sarg.alphaanimals",AND(BJ176="True",CC176="False")),POWER(10,3.47*LOG10(_xlfn.XLOOKUP(B176,'Base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1208</v>
      </c>
      <c r="B177" s="6" t="s">
        <v>1217</v>
      </c>
      <c r="C177" s="28" t="s">
        <v>1199</v>
      </c>
      <c r="D177" s="28" t="s">
        <v>1195</v>
      </c>
      <c r="E177" s="28" t="s">
        <v>674</v>
      </c>
      <c r="F177" s="28" t="s">
        <v>674</v>
      </c>
      <c r="G177" s="28" t="s">
        <v>674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stats'!AM:AM)=1,0.1,1)*IF(AND(_xlfn.XLOOKUP(B177,'Base stats'!B:B,'Base stats'!AM:AM)=1,D177="sarg.alphaanimals"),0.5,1)/100,IF(_xlfn.XLOOKUP(B177,'Base stats'!B:B,'Base stats'!AM:AM)=1,0.001,0.025)),0.5)))</f>
        <v>1.6E-2</v>
      </c>
      <c r="CA177" s="25" t="str">
        <f>IF(P177="Standard","No",MAX(0.001,MIN(MROUND(IF(OR(D177="sarg.alphaanimals",AND(BJ177="True",CC177="False")),POWER(10,3.47*LOG10(_xlfn.XLOOKUP(B177,'Base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1209</v>
      </c>
      <c r="B178" s="6" t="s">
        <v>1218</v>
      </c>
      <c r="C178" s="28" t="s">
        <v>1200</v>
      </c>
      <c r="D178" s="28" t="s">
        <v>1195</v>
      </c>
      <c r="E178" s="28" t="s">
        <v>674</v>
      </c>
      <c r="F178" s="28" t="s">
        <v>677</v>
      </c>
      <c r="G178" s="28" t="s">
        <v>674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stats'!AM:AM)=1,0.1,1)*IF(AND(_xlfn.XLOOKUP(B178,'Base stats'!B:B,'Base stats'!AM:AM)=1,D178="sarg.alphaanimals"),0.5,1)/100,IF(_xlfn.XLOOKUP(B178,'Base stats'!B:B,'Base stats'!AM:AM)=1,0.001,0.025)),0.5)))</f>
        <v>4.1000000000000002E-2</v>
      </c>
      <c r="CA178" s="25" t="str">
        <f>IF(P178="Standard","No",MAX(0.001,MIN(MROUND(IF(OR(D178="sarg.alphaanimals",AND(BJ178="True",CC178="False")),POWER(10,3.47*LOG10(_xlfn.XLOOKUP(B178,'Base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1210</v>
      </c>
      <c r="B179" s="6" t="s">
        <v>1219</v>
      </c>
      <c r="C179" s="28" t="s">
        <v>1201</v>
      </c>
      <c r="D179" s="28" t="s">
        <v>1195</v>
      </c>
      <c r="E179" s="28" t="s">
        <v>674</v>
      </c>
      <c r="F179" s="28" t="s">
        <v>674</v>
      </c>
      <c r="G179" s="28" t="s">
        <v>674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stats'!AM:AM)=1,0.1,1)*IF(AND(_xlfn.XLOOKUP(B179,'Base stats'!B:B,'Base stats'!AM:AM)=1,D179="sarg.alphaanimals"),0.5,1)/100,IF(_xlfn.XLOOKUP(B179,'Base stats'!B:B,'Base stats'!AM:AM)=1,0.001,0.025)),0.5)))</f>
        <v>9.0000000000000011E-3</v>
      </c>
      <c r="CA179" s="25" t="str">
        <f>IF(P179="Standard","No",MAX(0.001,MIN(MROUND(IF(OR(D179="sarg.alphaanimals",AND(BJ179="True",CC179="False")),POWER(10,3.47*LOG10(_xlfn.XLOOKUP(B179,'Base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1211</v>
      </c>
      <c r="B180" s="6" t="s">
        <v>1220</v>
      </c>
      <c r="C180" s="28" t="s">
        <v>1202</v>
      </c>
      <c r="D180" s="28" t="s">
        <v>1195</v>
      </c>
      <c r="E180" s="28" t="s">
        <v>674</v>
      </c>
      <c r="F180" s="28" t="s">
        <v>674</v>
      </c>
      <c r="G180" s="28" t="s">
        <v>674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stats'!AM:AM)=1,0.1,1)*IF(AND(_xlfn.XLOOKUP(B180,'Base stats'!B:B,'Base stats'!AM:AM)=1,D180="sarg.alphaanimals"),0.5,1)/100,IF(_xlfn.XLOOKUP(B180,'Base stats'!B:B,'Base stats'!AM:AM)=1,0.001,0.025)),0.5)))</f>
        <v>7.0000000000000001E-3</v>
      </c>
      <c r="CA180" s="25" t="str">
        <f>IF(P180="Standard","No",MAX(0.001,MIN(MROUND(IF(OR(D180="sarg.alphaanimals",AND(BJ180="True",CC180="False")),POWER(10,3.47*LOG10(_xlfn.XLOOKUP(B180,'Base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1212</v>
      </c>
      <c r="B181" s="6" t="s">
        <v>1221</v>
      </c>
      <c r="C181" s="28" t="s">
        <v>1203</v>
      </c>
      <c r="D181" s="28" t="s">
        <v>1195</v>
      </c>
      <c r="E181" s="28" t="s">
        <v>674</v>
      </c>
      <c r="F181" s="28" t="s">
        <v>674</v>
      </c>
      <c r="G181" s="28" t="s">
        <v>674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450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10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90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stats'!AM:AM)=1,0.1,1)*IF(AND(_xlfn.XLOOKUP(B181,'Base stats'!B:B,'Base stats'!AM:AM)=1,D181="sarg.alphaanimals"),0.5,1)/100,IF(_xlfn.XLOOKUP(B181,'Base stats'!B:B,'Base stats'!AM:AM)=1,0.001,0.025)),0.5)))</f>
        <v>7.0000000000000001E-3</v>
      </c>
      <c r="CA181" s="25" t="str">
        <f>IF(P181="Standard","No",MAX(0.001,MIN(MROUND(IF(OR(D181="sarg.alphaanimals",AND(BJ181="True",CC181="False")),POWER(10,3.47*LOG10(_xlfn.XLOOKUP(B181,'Base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1213</v>
      </c>
      <c r="B182" s="6" t="s">
        <v>1230</v>
      </c>
      <c r="C182" s="28" t="s">
        <v>1204</v>
      </c>
      <c r="D182" s="28" t="s">
        <v>1195</v>
      </c>
      <c r="E182" s="28" t="s">
        <v>674</v>
      </c>
      <c r="F182" s="28" t="s">
        <v>674</v>
      </c>
      <c r="G182" s="28" t="s">
        <v>674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stats'!AM:AM)=1,0.1,1)*IF(AND(_xlfn.XLOOKUP(B182,'Base stats'!B:B,'Base stats'!AM:AM)=1,D182="sarg.alphaanimals"),0.5,1)/100,IF(_xlfn.XLOOKUP(B182,'Base stats'!B:B,'Base stats'!AM:AM)=1,0.001,0.025)),0.5)))</f>
        <v>0.03</v>
      </c>
      <c r="CA182" s="25" t="str">
        <f>IF(P182="Standard","No",MAX(0.001,MIN(MROUND(IF(OR(D182="sarg.alphaanimals",AND(BJ182="True",CC182="False")),POWER(10,3.47*LOG10(_xlfn.XLOOKUP(B182,'Base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1240</v>
      </c>
      <c r="D183" s="28" t="s">
        <v>1195</v>
      </c>
      <c r="E183" s="28" t="s">
        <v>674</v>
      </c>
      <c r="F183" s="28" t="s">
        <v>674</v>
      </c>
      <c r="G183" s="28" t="s">
        <v>1234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stats'!AM:AM)=1,0.1,1)*IF(AND(_xlfn.XLOOKUP(B183,'Base stats'!B:B,'Base stats'!AM:AM)=1,D183="sarg.alphaanimals"),0.5,1)/100,IF(_xlfn.XLOOKUP(B183,'Base stats'!B:B,'Base stats'!AM:AM)=1,0.001,0.025)),0.5)))</f>
        <v>1.9E-2</v>
      </c>
      <c r="CA183" s="25" t="str">
        <f>IF(P183="Standard","No",MAX(0.001,MIN(MROUND(IF(OR(D183="sarg.alphaanimals",AND(BJ183="True",CC183="False")),POWER(10,3.47*LOG10(_xlfn.XLOOKUP(B183,'Base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1242</v>
      </c>
      <c r="D184" s="28" t="s">
        <v>1119</v>
      </c>
      <c r="E184" s="28" t="s">
        <v>674</v>
      </c>
      <c r="F184" s="28" t="s">
        <v>674</v>
      </c>
      <c r="G184" s="28" t="s">
        <v>1234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stats'!AM:AM)=1,0.1,1)*IF(AND(_xlfn.XLOOKUP(B184,'Base stats'!B:B,'Base stats'!AM:AM)=1,D184="sarg.alphaanimals"),0.5,1)/100,IF(_xlfn.XLOOKUP(B184,'Base stats'!B:B,'Base stats'!AM:AM)=1,0.001,0.025)),0.5)))</f>
        <v>0.5</v>
      </c>
      <c r="CA184" s="25" t="str">
        <f>IF(P184="Standard","No",MAX(0.001,MIN(MROUND(IF(OR(D184="sarg.alphaanimals",AND(BJ184="True",CC184="False")),POWER(10,3.47*LOG10(_xlfn.XLOOKUP(B184,'Base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1241</v>
      </c>
      <c r="D185" s="28" t="s">
        <v>1119</v>
      </c>
      <c r="E185" s="28" t="s">
        <v>674</v>
      </c>
      <c r="F185" s="28" t="s">
        <v>674</v>
      </c>
      <c r="G185" s="28" t="s">
        <v>1234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stats'!AM:AM)=1,0.1,1)*IF(AND(_xlfn.XLOOKUP(B185,'Base stats'!B:B,'Base stats'!AM:AM)=1,D185="sarg.alphaanimals"),0.5,1)/100,IF(_xlfn.XLOOKUP(B185,'Base stats'!B:B,'Base stats'!AM:AM)=1,0.001,0.025)),0.5)))</f>
        <v>0.32500000000000001</v>
      </c>
      <c r="CA185" s="25" t="str">
        <f>IF(P185="Standard","No",MAX(0.001,MIN(MROUND(IF(OR(D185="sarg.alphaanimals",AND(BJ185="True",CC185="False")),POWER(10,3.47*LOG10(_xlfn.XLOOKUP(B185,'Base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1243</v>
      </c>
      <c r="D186" s="28" t="s">
        <v>1119</v>
      </c>
      <c r="E186" s="28" t="s">
        <v>674</v>
      </c>
      <c r="F186" s="28" t="s">
        <v>674</v>
      </c>
      <c r="G186" s="28" t="s">
        <v>1234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stats'!AM:AM)=1,0.1,1)*IF(AND(_xlfn.XLOOKUP(B186,'Base stats'!B:B,'Base stats'!AM:AM)=1,D186="sarg.alphaanimals"),0.5,1)/100,IF(_xlfn.XLOOKUP(B186,'Base stats'!B:B,'Base stats'!AM:AM)=1,0.001,0.025)),0.5)))</f>
        <v>0.42500000000000004</v>
      </c>
      <c r="CA186" s="25" t="str">
        <f>IF(P186="Standard","No",MAX(0.001,MIN(MROUND(IF(OR(D186="sarg.alphaanimals",AND(BJ186="True",CC186="False")),POWER(10,3.47*LOG10(_xlfn.XLOOKUP(B186,'Base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1233</v>
      </c>
      <c r="D187" s="28" t="s">
        <v>873</v>
      </c>
      <c r="E187" s="28" t="s">
        <v>674</v>
      </c>
      <c r="F187" s="28" t="s">
        <v>691</v>
      </c>
      <c r="G187" s="28" t="s">
        <v>1234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stats'!AM:AM)=1,0.1,1)*IF(AND(_xlfn.XLOOKUP(B187,'Base stats'!B:B,'Base stats'!AM:AM)=1,D187="sarg.alphaanimals"),0.5,1)/100,IF(_xlfn.XLOOKUP(B187,'Base stats'!B:B,'Base stats'!AM:AM)=1,0.001,0.025)),0.5)))</f>
        <v>0.05</v>
      </c>
      <c r="CA187" s="25" t="str">
        <f>IF(P187="Standard","No",MAX(0.001,MIN(MROUND(IF(OR(D187="sarg.alphaanimals",AND(BJ187="True",CC187="False")),POWER(10,3.47*LOG10(_xlfn.XLOOKUP(B187,'Base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1235</v>
      </c>
      <c r="D188" s="28" t="s">
        <v>873</v>
      </c>
      <c r="E188" s="28" t="s">
        <v>674</v>
      </c>
      <c r="F188" s="28" t="s">
        <v>674</v>
      </c>
      <c r="G188" s="28" t="s">
        <v>1234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stats'!AM:AM)=1,0.1,1)*IF(AND(_xlfn.XLOOKUP(B188,'Base stats'!B:B,'Base stats'!AM:AM)=1,D188="sarg.alphaanimals"),0.5,1)/100,IF(_xlfn.XLOOKUP(B188,'Base stats'!B:B,'Base stats'!AM:AM)=1,0.001,0.025)),0.5)))</f>
        <v>0.17500000000000002</v>
      </c>
      <c r="CA188" s="25" t="str">
        <f>IF(P188="Standard","No",MAX(0.001,MIN(MROUND(IF(OR(D188="sarg.alphaanimals",AND(BJ188="True",CC188="False")),POWER(10,3.47*LOG10(_xlfn.XLOOKUP(B188,'Base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1236</v>
      </c>
      <c r="D189" s="28" t="s">
        <v>873</v>
      </c>
      <c r="E189" s="28" t="s">
        <v>674</v>
      </c>
      <c r="F189" s="28" t="s">
        <v>674</v>
      </c>
      <c r="G189" s="28" t="s">
        <v>1234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stats'!AM:AM)=1,0.1,1)*IF(AND(_xlfn.XLOOKUP(B189,'Base stats'!B:B,'Base stats'!AM:AM)=1,D189="sarg.alphaanimals"),0.5,1)/100,IF(_xlfn.XLOOKUP(B189,'Base stats'!B:B,'Base stats'!AM:AM)=1,0.001,0.025)),0.5)))</f>
        <v>0.15000000000000002</v>
      </c>
      <c r="CA189" s="25" t="str">
        <f>IF(P189="Standard","No",MAX(0.001,MIN(MROUND(IF(OR(D189="sarg.alphaanimals",AND(BJ189="True",CC189="False")),POWER(10,3.47*LOG10(_xlfn.XLOOKUP(B189,'Base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1237</v>
      </c>
      <c r="D190" s="28" t="s">
        <v>873</v>
      </c>
      <c r="E190" s="28" t="s">
        <v>674</v>
      </c>
      <c r="F190" s="28" t="s">
        <v>674</v>
      </c>
      <c r="G190" s="28" t="s">
        <v>1234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stats'!AM:AM)=1,0.1,1)*IF(AND(_xlfn.XLOOKUP(B190,'Base stats'!B:B,'Base stats'!AM:AM)=1,D190="sarg.alphaanimals"),0.5,1)/100,IF(_xlfn.XLOOKUP(B190,'Base stats'!B:B,'Base stats'!AM:AM)=1,0.001,0.025)),0.5)))</f>
        <v>0.15000000000000002</v>
      </c>
      <c r="CA190" s="25" t="str">
        <f>IF(P190="Standard","No",MAX(0.001,MIN(MROUND(IF(OR(D190="sarg.alphaanimals",AND(BJ190="True",CC190="False")),POWER(10,3.47*LOG10(_xlfn.XLOOKUP(B190,'Base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1238</v>
      </c>
      <c r="D191" s="28" t="s">
        <v>873</v>
      </c>
      <c r="E191" s="28" t="s">
        <v>674</v>
      </c>
      <c r="F191" s="28" t="s">
        <v>674</v>
      </c>
      <c r="G191" s="28" t="s">
        <v>1234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stats'!AM:AM)=1,0.1,1)*IF(AND(_xlfn.XLOOKUP(B191,'Base stats'!B:B,'Base stats'!AM:AM)=1,D191="sarg.alphaanimals"),0.5,1)/100,IF(_xlfn.XLOOKUP(B191,'Base stats'!B:B,'Base stats'!AM:AM)=1,0.001,0.025)),0.5)))</f>
        <v>0.30000000000000004</v>
      </c>
      <c r="CA191" s="25" t="str">
        <f>IF(P191="Standard","No",MAX(0.001,MIN(MROUND(IF(OR(D191="sarg.alphaanimals",AND(BJ191="True",CC191="False")),POWER(10,3.47*LOG10(_xlfn.XLOOKUP(B191,'Base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1239</v>
      </c>
      <c r="D192" s="28" t="s">
        <v>873</v>
      </c>
      <c r="E192" s="28" t="s">
        <v>674</v>
      </c>
      <c r="F192" s="28" t="s">
        <v>674</v>
      </c>
      <c r="G192" s="28" t="s">
        <v>1234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stats'!AM:AM)=1,0.1,1)*IF(AND(_xlfn.XLOOKUP(B192,'Base stats'!B:B,'Base stats'!AM:AM)=1,D192="sarg.alphaanimals"),0.5,1)/100,IF(_xlfn.XLOOKUP(B192,'Base stats'!B:B,'Base stats'!AM:AM)=1,0.001,0.025)),0.5)))</f>
        <v>0.17500000000000002</v>
      </c>
      <c r="CA192" s="25" t="str">
        <f>IF(P192="Standard","No",MAX(0.001,MIN(MROUND(IF(OR(D192="sarg.alphaanimals",AND(BJ192="True",CC192="False")),POWER(10,3.47*LOG10(_xlfn.XLOOKUP(B192,'Base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1244</v>
      </c>
      <c r="D193" s="28" t="s">
        <v>873</v>
      </c>
      <c r="E193" s="28" t="s">
        <v>674</v>
      </c>
      <c r="F193" s="28" t="s">
        <v>677</v>
      </c>
      <c r="G193" s="28" t="s">
        <v>1234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stats'!AM:AM)=1,0.1,1)*IF(AND(_xlfn.XLOOKUP(B193,'Base stats'!B:B,'Base stats'!AM:AM)=1,D193="sarg.alphaanimals"),0.5,1)/100,IF(_xlfn.XLOOKUP(B193,'Base stats'!B:B,'Base stats'!AM:AM)=1,0.001,0.025)),0.5)))</f>
        <v>0.25</v>
      </c>
      <c r="CA193" s="25" t="str">
        <f>IF(P193="Standard","No",MAX(0.001,MIN(MROUND(IF(OR(D193="sarg.alphaanimals",AND(BJ193="True",CC193="False")),POWER(10,3.47*LOG10(_xlfn.XLOOKUP(B193,'Base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1245</v>
      </c>
      <c r="D194" s="28" t="s">
        <v>873</v>
      </c>
      <c r="E194" s="28" t="s">
        <v>674</v>
      </c>
      <c r="F194" s="28" t="s">
        <v>674</v>
      </c>
      <c r="G194" s="28" t="s">
        <v>1234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0.1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0.3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stats'!AM:AM)=1,0.1,1)*IF(AND(_xlfn.XLOOKUP(B194,'Base stats'!B:B,'Base stats'!AM:AM)=1,D194="sarg.alphaanimals"),0.5,1)/100,IF(_xlfn.XLOOKUP(B194,'Base stats'!B:B,'Base stats'!AM:AM)=1,0.001,0.025)),0.5)))</f>
        <v>0.125</v>
      </c>
      <c r="CA194" s="25" t="str">
        <f>IF(P194="Standard","No",MAX(0.001,MIN(MROUND(IF(OR(D194="sarg.alphaanimals",AND(BJ194="True",CC194="False")),POWER(10,3.47*LOG10(_xlfn.XLOOKUP(B194,'Base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1284</v>
      </c>
      <c r="D195" s="28" t="s">
        <v>873</v>
      </c>
      <c r="E195" s="28" t="s">
        <v>674</v>
      </c>
      <c r="F195" s="28" t="s">
        <v>674</v>
      </c>
      <c r="G195" s="28" t="s">
        <v>1234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si="14"/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si="15"/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si="16"/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si="17"/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si="18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si="19"/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stats'!AM:AM)=1,0.1,1)*IF(AND(_xlfn.XLOOKUP(B195,'Base stats'!B:B,'Base stats'!AM:AM)=1,D195="sarg.alphaanimals"),0.5,1)/100,IF(_xlfn.XLOOKUP(B195,'Base stats'!B:B,'Base stats'!AM:AM)=1,0.001,0.025)),0.5)))</f>
        <v>7.5000000000000011E-2</v>
      </c>
      <c r="CA195" s="25" t="str">
        <f>IF(P195="Standard","No",MAX(0.001,MIN(MROUND(IF(OR(D195="sarg.alphaanimals",AND(BJ195="True",CC195="False")),POWER(10,3.47*LOG10(_xlfn.XLOOKUP(B195,'Base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20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1246</v>
      </c>
      <c r="D196" s="28" t="s">
        <v>873</v>
      </c>
      <c r="E196" s="28" t="s">
        <v>674</v>
      </c>
      <c r="F196" s="28" t="s">
        <v>674</v>
      </c>
      <c r="G196" s="28" t="s">
        <v>1234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14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15"/>
        <v>0.2</v>
      </c>
      <c r="AV196" s="8">
        <f>IFERROR(IFERROR(MROUND(_xlfn.XLOOKUP(B196,'Base stats'!B:B,'Base stats'!J:J),0.1),"Lay eggs"),"Cannot breed")</f>
        <v>1</v>
      </c>
      <c r="AW196" s="2" t="str">
        <f t="shared" si="16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17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18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19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stats'!AM:AM)=1,0.1,1)*IF(AND(_xlfn.XLOOKUP(B196,'Base stats'!B:B,'Base stats'!AM:AM)=1,D196="sarg.alphaanimals"),0.5,1)/100,IF(_xlfn.XLOOKUP(B196,'Base stats'!B:B,'Base stats'!AM:AM)=1,0.001,0.025)),0.5)))</f>
        <v>0.05</v>
      </c>
      <c r="CA196" s="25" t="str">
        <f>IF(P196="Standard","No",MAX(0.001,MIN(MROUND(IF(OR(D196="sarg.alphaanimals",AND(BJ196="True",CC196="False")),POWER(10,3.47*LOG10(_xlfn.XLOOKUP(B196,'Base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0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1247</v>
      </c>
      <c r="D197" s="28" t="s">
        <v>873</v>
      </c>
      <c r="E197" s="28" t="s">
        <v>674</v>
      </c>
      <c r="F197" s="28" t="s">
        <v>674</v>
      </c>
      <c r="G197" s="28" t="s">
        <v>1234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ref="AN197:AN260" si="35">IF(BJ197="false","No",MROUND(AO197*5+15*1,5))</f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ref="AU197:AU260" si="36">IF(AT197="No","No",IFERROR(MROUND(AT197/2,0.05),"Unknown"))</f>
        <v>0.4</v>
      </c>
      <c r="AV197" s="8">
        <f>IFERROR(IFERROR(MROUND(_xlfn.XLOOKUP(B197,'Base stats'!B:B,'Base stats'!J:J),0.1),"Lay eggs"),"Cannot breed")</f>
        <v>1</v>
      </c>
      <c r="AW197" s="2" t="str">
        <f t="shared" ref="AW197:AW260" si="37">IF(BT197="No","false","true")</f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ref="BL197:BL260" si="38">IF(BI197&lt;&gt;"None",1,0)</f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ref="BN197:BN260" si="39">IF(OR(BM197&lt;&gt;"No",BQ197=1),"true","false")</f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stats'!AN202="Standard",_xlfn.XLOOKUP(_xlfn.XLOOKUP(B197,'Base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ref="BS197:BS260" si="40">MROUND(AO197 * 0.2 + AQ197 * 0.8,0.05)</f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stats'!AM:AM)=1,0.1,1)*IF(AND(_xlfn.XLOOKUP(B197,'Base stats'!B:B,'Base stats'!AM:AM)=1,D197="sarg.alphaanimals"),0.5,1)/100,IF(_xlfn.XLOOKUP(B197,'Base stats'!B:B,'Base stats'!AM:AM)=1,0.001,0.025)),0.5)))</f>
        <v>0.125</v>
      </c>
      <c r="CA197" s="25" t="str">
        <f>IF(P197="Standard","No",MAX(0.001,MIN(MROUND(IF(OR(D197="sarg.alphaanimals",AND(BJ197="True",CC197="False")),POWER(10,3.47*LOG10(_xlfn.XLOOKUP(B197,'Base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ref="CD197:CD260" si="41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1248</v>
      </c>
      <c r="D198" s="28" t="s">
        <v>873</v>
      </c>
      <c r="E198" s="28" t="s">
        <v>674</v>
      </c>
      <c r="F198" s="28" t="s">
        <v>674</v>
      </c>
      <c r="G198" s="28" t="s">
        <v>1234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35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36"/>
        <v>0.2</v>
      </c>
      <c r="AV198" s="8">
        <f>IFERROR(IFERROR(MROUND(_xlfn.XLOOKUP(B198,'Base stats'!B:B,'Base stats'!J:J),0.1),"Lay eggs"),"Cannot breed")</f>
        <v>1</v>
      </c>
      <c r="AW198" s="2" t="str">
        <f t="shared" si="37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38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39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stats'!AN203="Standard",_xlfn.XLOOKUP(_xlfn.XLOOKUP(B198,'Base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40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stats'!AM:AM)=1,0.1,1)*IF(AND(_xlfn.XLOOKUP(B198,'Base stats'!B:B,'Base stats'!AM:AM)=1,D198="sarg.alphaanimals"),0.5,1)/100,IF(_xlfn.XLOOKUP(B198,'Base stats'!B:B,'Base stats'!AM:AM)=1,0.001,0.025)),0.5)))</f>
        <v>0.30000000000000004</v>
      </c>
      <c r="CA198" s="25" t="str">
        <f>IF(P198="Standard","No",MAX(0.001,MIN(MROUND(IF(OR(D198="sarg.alphaanimals",AND(BJ198="True",CC198="False")),POWER(10,3.47*LOG10(_xlfn.XLOOKUP(B198,'Base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41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1288</v>
      </c>
      <c r="C199" s="28" t="s">
        <v>1286</v>
      </c>
      <c r="D199" s="28" t="s">
        <v>1287</v>
      </c>
      <c r="E199" s="28" t="s">
        <v>674</v>
      </c>
      <c r="F199" s="28" t="s">
        <v>674</v>
      </c>
      <c r="G199" s="28" t="s">
        <v>674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35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36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37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38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39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stats'!AN204="Standard",_xlfn.XLOOKUP(_xlfn.XLOOKUP(B199,'Base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40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stats'!AM:AM)=1,0.1,1)*IF(AND(_xlfn.XLOOKUP(B199,'Base stats'!B:B,'Base stats'!AM:AM)=1,D199="sarg.alphaanimals"),0.5,1)/100,IF(_xlfn.XLOOKUP(B199,'Base stats'!B:B,'Base stats'!AM:AM)=1,0.001,0.025)),0.5)))</f>
        <v>No</v>
      </c>
      <c r="CA199" s="25">
        <f>IF(P199="Standard","No",MAX(0.001,MIN(MROUND(IF(OR(D199="sarg.alphaanimals",AND(BJ199="True",CC199="False")),POWER(10,3.47*LOG10(_xlfn.XLOOKUP(B199,'Base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41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1292</v>
      </c>
      <c r="C200" s="28" t="s">
        <v>1290</v>
      </c>
      <c r="D200" s="28" t="s">
        <v>1287</v>
      </c>
      <c r="E200" s="28" t="s">
        <v>1289</v>
      </c>
      <c r="F200" s="28" t="s">
        <v>674</v>
      </c>
      <c r="G200" s="28" t="s">
        <v>674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35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36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37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38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39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stats'!AN269="Standard",_xlfn.XLOOKUP(_xlfn.XLOOKUP(B200,'Base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40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stats'!AM:AM)=1,0.1,1)*IF(AND(_xlfn.XLOOKUP(B200,'Base stats'!B:B,'Base stats'!AM:AM)=1,D200="sarg.alphaanimals"),0.5,1)/100,IF(_xlfn.XLOOKUP(B200,'Base stats'!B:B,'Base stats'!AM:AM)=1,0.001,0.025)),0.5)))</f>
        <v>No</v>
      </c>
      <c r="CA200" s="25">
        <f>IF(P200="Standard","No",MAX(0.001,MIN(MROUND(IF(OR(D200="sarg.alphaanimals",AND(BJ200="True",CC200="False")),POWER(10,3.47*LOG10(_xlfn.XLOOKUP(B200,'Base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41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1294</v>
      </c>
      <c r="C201" s="28" t="s">
        <v>1293</v>
      </c>
      <c r="D201" s="28" t="s">
        <v>1287</v>
      </c>
      <c r="E201" s="28" t="s">
        <v>674</v>
      </c>
      <c r="F201" s="28" t="s">
        <v>674</v>
      </c>
      <c r="G201" s="28" t="s">
        <v>674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35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36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37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38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39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stats'!AN270="Standard",_xlfn.XLOOKUP(_xlfn.XLOOKUP(B201,'Base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40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stats'!AM:AM)=1,0.1,1)*IF(AND(_xlfn.XLOOKUP(B201,'Base stats'!B:B,'Base stats'!AM:AM)=1,D201="sarg.alphaanimals"),0.5,1)/100,IF(_xlfn.XLOOKUP(B201,'Base stats'!B:B,'Base stats'!AM:AM)=1,0.001,0.025)),0.5)))</f>
        <v>No</v>
      </c>
      <c r="CA201" s="25">
        <f>IF(P201="Standard","No",MAX(0.001,MIN(MROUND(IF(OR(D201="sarg.alphaanimals",AND(BJ201="True",CC201="False")),POWER(10,3.47*LOG10(_xlfn.XLOOKUP(B201,'Base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41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1296</v>
      </c>
      <c r="C202" s="28" t="s">
        <v>1297</v>
      </c>
      <c r="D202" s="28" t="s">
        <v>1287</v>
      </c>
      <c r="E202" s="28" t="s">
        <v>674</v>
      </c>
      <c r="F202" s="28" t="s">
        <v>674</v>
      </c>
      <c r="G202" s="28" t="s">
        <v>674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35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36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37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38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39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stats'!AN205="Standard",_xlfn.XLOOKUP(_xlfn.XLOOKUP(B202,'Base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40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stats'!AM:AM)=1,0.1,1)*IF(AND(_xlfn.XLOOKUP(B202,'Base stats'!B:B,'Base stats'!AM:AM)=1,D202="sarg.alphaanimals"),0.5,1)/100,IF(_xlfn.XLOOKUP(B202,'Base stats'!B:B,'Base stats'!AM:AM)=1,0.001,0.025)),0.5)))</f>
        <v>No</v>
      </c>
      <c r="CA202" s="25">
        <f>IF(P202="Standard","No",MAX(0.001,MIN(MROUND(IF(OR(D202="sarg.alphaanimals",AND(BJ202="True",CC202="False")),POWER(10,3.47*LOG10(_xlfn.XLOOKUP(B202,'Base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41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1301</v>
      </c>
      <c r="C203" s="28" t="s">
        <v>1300</v>
      </c>
      <c r="D203" s="28" t="s">
        <v>1287</v>
      </c>
      <c r="E203" s="28" t="s">
        <v>674</v>
      </c>
      <c r="F203" s="28" t="s">
        <v>674</v>
      </c>
      <c r="G203" s="28" t="s">
        <v>674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35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36"/>
        <v>0.4</v>
      </c>
      <c r="AV203" s="8">
        <f>IFERROR(IFERROR(MROUND(_xlfn.XLOOKUP(B203,'Base stats'!B:B,'Base stats'!J:J),0.1),"Lay eggs"),"Cannot breed")</f>
        <v>2</v>
      </c>
      <c r="AW203" s="2" t="str">
        <f t="shared" si="37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38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39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stats'!AN206="Standard",_xlfn.XLOOKUP(_xlfn.XLOOKUP(B203,'Base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40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stats'!AM:AM)=1,0.1,1)*IF(AND(_xlfn.XLOOKUP(B203,'Base stats'!B:B,'Base stats'!AM:AM)=1,D203="sarg.alphaanimals"),0.5,1)/100,IF(_xlfn.XLOOKUP(B203,'Base stats'!B:B,'Base stats'!AM:AM)=1,0.001,0.025)),0.5)))</f>
        <v>No</v>
      </c>
      <c r="CA203" s="25">
        <f>IF(P203="Standard","No",MAX(0.001,MIN(MROUND(IF(OR(D203="sarg.alphaanimals",AND(BJ203="True",CC203="False")),POWER(10,3.47*LOG10(_xlfn.XLOOKUP(B203,'Base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41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1303</v>
      </c>
      <c r="C204" s="28" t="s">
        <v>1302</v>
      </c>
      <c r="D204" s="28" t="s">
        <v>1287</v>
      </c>
      <c r="E204" s="28" t="s">
        <v>674</v>
      </c>
      <c r="F204" s="28" t="s">
        <v>674</v>
      </c>
      <c r="G204" s="28" t="s">
        <v>674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35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36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37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38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39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stats'!AN311="Standard",_xlfn.XLOOKUP(_xlfn.XLOOKUP(B204,'Base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40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stats'!AM:AM)=1,0.1,1)*IF(AND(_xlfn.XLOOKUP(B204,'Base stats'!B:B,'Base stats'!AM:AM)=1,D204="sarg.alphaanimals"),0.5,1)/100,IF(_xlfn.XLOOKUP(B204,'Base stats'!B:B,'Base stats'!AM:AM)=1,0.001,0.025)),0.5)))</f>
        <v>No</v>
      </c>
      <c r="CA204" s="25">
        <f>IF(P204="Standard","No",MAX(0.001,MIN(MROUND(IF(OR(D204="sarg.alphaanimals",AND(BJ204="True",CC204="False")),POWER(10,3.47*LOG10(_xlfn.XLOOKUP(B204,'Base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41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1304</v>
      </c>
      <c r="C205" s="28" t="s">
        <v>1305</v>
      </c>
      <c r="D205" s="28" t="s">
        <v>1287</v>
      </c>
      <c r="E205" s="28" t="s">
        <v>674</v>
      </c>
      <c r="F205" s="28" t="s">
        <v>674</v>
      </c>
      <c r="G205" s="28" t="s">
        <v>674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35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36"/>
        <v>0.2</v>
      </c>
      <c r="AV205" s="8">
        <f>IFERROR(IFERROR(MROUND(_xlfn.XLOOKUP(B205,'Base stats'!B:B,'Base stats'!J:J),0.1),"Lay eggs"),"Cannot breed")</f>
        <v>3</v>
      </c>
      <c r="AW205" s="2" t="str">
        <f t="shared" si="37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38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39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stats'!AN231="Standard",_xlfn.XLOOKUP(_xlfn.XLOOKUP(B205,'Base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40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stats'!AM:AM)=1,0.1,1)*IF(AND(_xlfn.XLOOKUP(B205,'Base stats'!B:B,'Base stats'!AM:AM)=1,D205="sarg.alphaanimals"),0.5,1)/100,IF(_xlfn.XLOOKUP(B205,'Base stats'!B:B,'Base stats'!AM:AM)=1,0.001,0.025)),0.5)))</f>
        <v>No</v>
      </c>
      <c r="CA205" s="25">
        <f>IF(P205="Standard","No",MAX(0.001,MIN(MROUND(IF(OR(D205="sarg.alphaanimals",AND(BJ205="True",CC205="False")),POWER(10,3.47*LOG10(_xlfn.XLOOKUP(B205,'Base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41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1307</v>
      </c>
      <c r="C206" s="28" t="s">
        <v>1306</v>
      </c>
      <c r="D206" s="28" t="s">
        <v>1287</v>
      </c>
      <c r="E206" s="28" t="s">
        <v>1289</v>
      </c>
      <c r="F206" s="28" t="s">
        <v>674</v>
      </c>
      <c r="G206" s="28" t="s">
        <v>674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950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35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36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37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Intermediate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38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39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AttackTarget, AttackTarget</v>
      </c>
      <c r="BQ206" s="25" t="str">
        <f>IF(
   AND(
      'Base stats'!AN289="Standard",_xlfn.XLOOKUP(_xlfn.XLOOKUP(B206,'Base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40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stats'!AM:AM)=1,0.1,1)*IF(AND(_xlfn.XLOOKUP(B206,'Base stats'!B:B,'Base stats'!AM:AM)=1,D206="sarg.alphaanimals"),0.5,1)/100,IF(_xlfn.XLOOKUP(B206,'Base stats'!B:B,'Base stats'!AM:AM)=1,0.001,0.025)),0.5)))</f>
        <v>No</v>
      </c>
      <c r="CA206" s="25">
        <f>IF(P206="Standard","No",MAX(0.001,MIN(MROUND(IF(OR(D206="sarg.alphaanimals",AND(BJ206="True",CC206="False")),POWER(10,3.47*LOG10(_xlfn.XLOOKUP(B206,'Base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41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Bone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1308</v>
      </c>
      <c r="C207" s="28" t="s">
        <v>1313</v>
      </c>
      <c r="D207" s="28" t="s">
        <v>1287</v>
      </c>
      <c r="E207" s="28" t="s">
        <v>674</v>
      </c>
      <c r="F207" s="28" t="s">
        <v>674</v>
      </c>
      <c r="G207" s="28" t="s">
        <v>674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35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36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37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38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39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stats'!AN278="Standard",_xlfn.XLOOKUP(_xlfn.XLOOKUP(B207,'Base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135</v>
      </c>
      <c r="BS207" s="8">
        <f t="shared" si="40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stats'!AM:AM)=1,0.1,1)*IF(AND(_xlfn.XLOOKUP(B207,'Base stats'!B:B,'Base stats'!AM:AM)=1,D207="sarg.alphaanimals"),0.5,1)/100,IF(_xlfn.XLOOKUP(B207,'Base stats'!B:B,'Base stats'!AM:AM)=1,0.001,0.025)),0.5)))</f>
        <v>No</v>
      </c>
      <c r="CA207" s="25">
        <f>IF(P207="Standard","No",MAX(0.001,MIN(MROUND(IF(OR(D207="sarg.alphaanimals",AND(BJ207="True",CC207="False")),POWER(10,3.47*LOG10(_xlfn.XLOOKUP(B207,'Base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41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1309</v>
      </c>
      <c r="C208" s="28" t="s">
        <v>1312</v>
      </c>
      <c r="D208" s="28" t="s">
        <v>1287</v>
      </c>
      <c r="E208" s="28" t="s">
        <v>674</v>
      </c>
      <c r="F208" s="28" t="s">
        <v>674</v>
      </c>
      <c r="G208" s="28" t="s">
        <v>674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35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36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37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38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39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stats'!AN219="Standard",_xlfn.XLOOKUP(_xlfn.XLOOKUP(B208,'Base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40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stats'!AM:AM)=1,0.1,1)*IF(AND(_xlfn.XLOOKUP(B208,'Base stats'!B:B,'Base stats'!AM:AM)=1,D208="sarg.alphaanimals"),0.5,1)/100,IF(_xlfn.XLOOKUP(B208,'Base stats'!B:B,'Base stats'!AM:AM)=1,0.001,0.025)),0.5)))</f>
        <v>No</v>
      </c>
      <c r="CA208" s="25">
        <f>IF(P208="Standard","No",MAX(0.001,MIN(MROUND(IF(OR(D208="sarg.alphaanimals",AND(BJ208="True",CC208="False")),POWER(10,3.47*LOG10(_xlfn.XLOOKUP(B208,'Base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41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1310</v>
      </c>
      <c r="C209" s="28" t="s">
        <v>1311</v>
      </c>
      <c r="D209" s="28" t="s">
        <v>1287</v>
      </c>
      <c r="E209" s="28" t="s">
        <v>674</v>
      </c>
      <c r="F209" s="28" t="s">
        <v>674</v>
      </c>
      <c r="G209" s="28" t="s">
        <v>674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35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36"/>
        <v>0.2</v>
      </c>
      <c r="AV209" s="8">
        <f>IFERROR(IFERROR(MROUND(_xlfn.XLOOKUP(B209,'Base stats'!B:B,'Base stats'!J:J),0.1),"Lay eggs"),"Cannot breed")</f>
        <v>1</v>
      </c>
      <c r="AW209" s="2" t="str">
        <f t="shared" si="37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38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39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stats'!AN218="Standard",_xlfn.XLOOKUP(_xlfn.XLOOKUP(B209,'Base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40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stats'!AM:AM)=1,0.1,1)*IF(AND(_xlfn.XLOOKUP(B209,'Base stats'!B:B,'Base stats'!AM:AM)=1,D209="sarg.alphaanimals"),0.5,1)/100,IF(_xlfn.XLOOKUP(B209,'Base stats'!B:B,'Base stats'!AM:AM)=1,0.001,0.025)),0.5)))</f>
        <v>No</v>
      </c>
      <c r="CA209" s="25">
        <f>IF(P209="Standard","No",MAX(0.001,MIN(MROUND(IF(OR(D209="sarg.alphaanimals",AND(BJ209="True",CC209="False")),POWER(10,3.47*LOG10(_xlfn.XLOOKUP(B209,'Base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41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1338</v>
      </c>
      <c r="B210" s="6" t="str">
        <f>_xlfn.XLOOKUP(A210,'Base stats'!A:A,'Base stats'!B:B)</f>
        <v>Acanthamoeba gigantea (small)</v>
      </c>
      <c r="C210" s="28" t="s">
        <v>1335</v>
      </c>
      <c r="D210" s="28" t="s">
        <v>1348</v>
      </c>
      <c r="E210" s="28" t="s">
        <v>674</v>
      </c>
      <c r="F210" s="28" t="s">
        <v>674</v>
      </c>
      <c r="G210" s="28" t="s">
        <v>674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35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arms</v>
      </c>
      <c r="AM210" s="7" t="str">
        <f>IF(AI210="No","No",_xlfn.XLOOKUP(_xlfn.XLOOKUP(B210,'Base stats'!B:B,'Base stats'!E:E),Groups!A:A,Groups!AH:AH))</f>
        <v>Blunt</v>
      </c>
      <c r="AN210" s="2" t="str">
        <f t="shared" si="35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36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37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38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39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stats'!AN256="Standard",_xlfn.XLOOKUP(_xlfn.XLOOKUP(B210,'Base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40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/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stats'!AM:AM)=1,0.1,1)*IF(AND(_xlfn.XLOOKUP(B210,'Base stats'!B:B,'Base stats'!AM:AM)=1,D210="sarg.alphaanimals"),0.5,1)/100,IF(_xlfn.XLOOKUP(B210,'Base stats'!B:B,'Base stats'!AM:AM)=1,0.001,0.025)),0.5)))</f>
        <v>4.0000000000000001E-3</v>
      </c>
      <c r="CA210" s="25" t="str">
        <f>IF(P210="Standard","No",MAX(0.001,MIN(MROUND(IF(OR(D210="sarg.alphaanimals",AND(BJ210="True",CC210="False")),POWER(10,3.47*LOG10(_xlfn.XLOOKUP(B210,'Base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41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1339</v>
      </c>
      <c r="B211" s="6" t="str">
        <f>_xlfn.XLOOKUP(A211,'Base stats'!A:A,'Base stats'!B:B)</f>
        <v>Acanthamoeba gigantea (large)</v>
      </c>
      <c r="C211" s="28" t="s">
        <v>1336</v>
      </c>
      <c r="D211" s="28" t="s">
        <v>1348</v>
      </c>
      <c r="E211" s="28" t="s">
        <v>674</v>
      </c>
      <c r="F211" s="28" t="s">
        <v>674</v>
      </c>
      <c r="G211" s="28" t="s">
        <v>674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200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arms</v>
      </c>
      <c r="AM211" s="7" t="str">
        <f>IF(AI211="No","No",_xlfn.XLOOKUP(_xlfn.XLOOKUP(B211,'Base stats'!B:B,'Base stats'!E:E),Groups!A:A,Groups!AH:AH))</f>
        <v>Blunt</v>
      </c>
      <c r="AN211" s="2" t="str">
        <f t="shared" si="35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36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37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38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39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stats'!AN224="Standard",_xlfn.XLOOKUP(_xlfn.XLOOKUP(B211,'Base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40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stats'!AM:AM)=1,0.1,1)*IF(AND(_xlfn.XLOOKUP(B211,'Base stats'!B:B,'Base stats'!AM:AM)=1,D211="sarg.alphaanimals"),0.5,1)/100,IF(_xlfn.XLOOKUP(B211,'Base stats'!B:B,'Base stats'!AM:AM)=1,0.001,0.025)),0.5)))</f>
        <v>3.0000000000000001E-3</v>
      </c>
      <c r="CA211" s="25" t="str">
        <f>IF(P211="Standard","No",MAX(0.001,MIN(MROUND(IF(OR(D211="sarg.alphaanimals",AND(BJ211="True",CC211="False")),POWER(10,3.47*LOG10(_xlfn.XLOOKUP(B211,'Base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41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1340</v>
      </c>
      <c r="B212" s="6" t="str">
        <f>_xlfn.XLOOKUP(A212,'Base stats'!A:A,'Base stats'!B:B)</f>
        <v>Acanthamoeba gigantea (huge)</v>
      </c>
      <c r="C212" s="28" t="s">
        <v>1337</v>
      </c>
      <c r="D212" s="28" t="s">
        <v>1348</v>
      </c>
      <c r="E212" s="28" t="s">
        <v>674</v>
      </c>
      <c r="F212" s="28" t="s">
        <v>674</v>
      </c>
      <c r="G212" s="28" t="s">
        <v>674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625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arms</v>
      </c>
      <c r="AM212" s="7" t="str">
        <f>IF(AI212="No","No",_xlfn.XLOOKUP(_xlfn.XLOOKUP(B212,'Base stats'!B:B,'Base stats'!E:E),Groups!A:A,Groups!AH:AH))</f>
        <v>Blunt</v>
      </c>
      <c r="AN212" s="2" t="str">
        <f t="shared" si="35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36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37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38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39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stats'!AN226="Standard",_xlfn.XLOOKUP(_xlfn.XLOOKUP(B212,'Base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40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stats'!AM:AM)=1,0.1,1)*IF(AND(_xlfn.XLOOKUP(B212,'Base stats'!B:B,'Base stats'!AM:AM)=1,D212="sarg.alphaanimals"),0.5,1)/100,IF(_xlfn.XLOOKUP(B212,'Base stats'!B:B,'Base stats'!AM:AM)=1,0.001,0.025)),0.5)))</f>
        <v>2E-3</v>
      </c>
      <c r="CA212" s="25" t="str">
        <f>IF(P212="Standard","No",MAX(0.001,MIN(MROUND(IF(OR(D212="sarg.alphaanimals",AND(BJ212="True",CC212="False")),POWER(10,3.47*LOG10(_xlfn.XLOOKUP(B212,'Base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41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1344</v>
      </c>
      <c r="B213" s="6" t="str">
        <f>_xlfn.XLOOKUP(A213,'Base stats'!A:A,'Base stats'!B:B)</f>
        <v>Pterodyna aeria</v>
      </c>
      <c r="C213" s="28" t="s">
        <v>1347</v>
      </c>
      <c r="D213" s="28" t="s">
        <v>1348</v>
      </c>
      <c r="E213" s="28" t="s">
        <v>674</v>
      </c>
      <c r="F213" s="28" t="s">
        <v>674</v>
      </c>
      <c r="G213" s="28" t="s">
        <v>674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35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 t="str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No</v>
      </c>
      <c r="AE213" s="7" t="str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No</v>
      </c>
      <c r="AF213" s="7" t="str">
        <f>IF(AD213="No","No",_xlfn.XLOOKUP(_xlfn.XLOOKUP(B213,'Base stats'!B:B,'Base stats'!E:E),Groups!A:A,Groups!AA:AA))</f>
        <v>No</v>
      </c>
      <c r="AG213" s="7" t="str">
        <f>IF(AD213="No","No",_xlfn.XLOOKUP(_xlfn.XLOOKUP(B213,'Base stats'!B:B,'Base stats'!E:E),Groups!A:A,Groups!AB:AB))</f>
        <v>No</v>
      </c>
      <c r="AH213" s="7" t="str">
        <f>IF(AD213="No","No",_xlfn.XLOOKUP(_xlfn.XLOOKUP(B213,'Base stats'!B:B,'Base stats'!E:E),Groups!A:A,Groups!AC:AC))</f>
        <v>No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35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36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37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Jellyfish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38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39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stats'!AN308="Standard",_xlfn.XLOOKUP(_xlfn.XLOOKUP(B213,'Base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40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/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stats'!AM:AM)=1,0.1,1)*IF(AND(_xlfn.XLOOKUP(B213,'Base stats'!B:B,'Base stats'!AM:AM)=1,D213="sarg.alphaanimals"),0.5,1)/100,IF(_xlfn.XLOOKUP(B213,'Base stats'!B:B,'Base stats'!AM:AM)=1,0.001,0.025)),0.5)))</f>
        <v>2E-3</v>
      </c>
      <c r="CA213" s="25" t="str">
        <f>IF(P213="Standard","No",MAX(0.001,MIN(MROUND(IF(OR(D213="sarg.alphaanimals",AND(BJ213="True",CC213="False")),POWER(10,3.47*LOG10(_xlfn.XLOOKUP(B213,'Base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41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1345</v>
      </c>
      <c r="B214" s="6" t="str">
        <f>_xlfn.XLOOKUP(A214,'Base stats'!A:A,'Base stats'!B:B)</f>
        <v>Pterodyna aeria (colossal)</v>
      </c>
      <c r="C214" s="28" t="s">
        <v>1346</v>
      </c>
      <c r="D214" s="28" t="s">
        <v>1348</v>
      </c>
      <c r="E214" s="28" t="s">
        <v>674</v>
      </c>
      <c r="F214" s="28" t="s">
        <v>674</v>
      </c>
      <c r="G214" s="28" t="s">
        <v>674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450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 t="str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No</v>
      </c>
      <c r="AE214" s="7" t="str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No</v>
      </c>
      <c r="AF214" s="7" t="str">
        <f>IF(AD214="No","No",_xlfn.XLOOKUP(_xlfn.XLOOKUP(B214,'Base stats'!B:B,'Base stats'!E:E),Groups!A:A,Groups!AA:AA))</f>
        <v>No</v>
      </c>
      <c r="AG214" s="7" t="str">
        <f>IF(AD214="No","No",_xlfn.XLOOKUP(_xlfn.XLOOKUP(B214,'Base stats'!B:B,'Base stats'!E:E),Groups!A:A,Groups!AB:AB))</f>
        <v>No</v>
      </c>
      <c r="AH214" s="7" t="str">
        <f>IF(AD214="No","No",_xlfn.XLOOKUP(_xlfn.XLOOKUP(B214,'Base stats'!B:B,'Base stats'!E:E),Groups!A:A,Groups!AC:AC))</f>
        <v>No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35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36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37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Jellyfish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38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39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stats'!AN228="Standard",_xlfn.XLOOKUP(_xlfn.XLOOKUP(B214,'Base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160</v>
      </c>
      <c r="BS214" s="8">
        <f t="shared" si="40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stats'!AM:AM)=1,0.1,1)*IF(AND(_xlfn.XLOOKUP(B214,'Base stats'!B:B,'Base stats'!AM:AM)=1,D214="sarg.alphaanimals"),0.5,1)/100,IF(_xlfn.XLOOKUP(B214,'Base stats'!B:B,'Base stats'!AM:AM)=1,0.001,0.025)),0.5)))</f>
        <v>1E-3</v>
      </c>
      <c r="CA214" s="25" t="str">
        <f>IF(P214="Standard","No",MAX(0.001,MIN(MROUND(IF(OR(D214="sarg.alphaanimals",AND(BJ214="True",CC214="False")),POWER(10,3.47*LOG10(_xlfn.XLOOKUP(B214,'Base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41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1491</v>
      </c>
      <c r="B215" s="6" t="str">
        <f>_xlfn.XLOOKUP(A215,'Base stats'!A:A,'Base stats'!B:B)</f>
        <v>Pterodyna aeria (infected)</v>
      </c>
      <c r="C215" s="28" t="s">
        <v>1492</v>
      </c>
      <c r="D215" s="28" t="s">
        <v>1348</v>
      </c>
      <c r="E215" s="28" t="s">
        <v>674</v>
      </c>
      <c r="F215" s="28" t="s">
        <v>674</v>
      </c>
      <c r="G215" s="28" t="s">
        <v>674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 t="str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No</v>
      </c>
      <c r="AE215" s="7" t="str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No</v>
      </c>
      <c r="AF215" s="7" t="str">
        <f>IF(AD215="No","No",_xlfn.XLOOKUP(_xlfn.XLOOKUP(B215,'Base stats'!B:B,'Base stats'!E:E),Groups!A:A,Groups!AA:AA))</f>
        <v>No</v>
      </c>
      <c r="AG215" s="7" t="str">
        <f>IF(AD215="No","No",_xlfn.XLOOKUP(_xlfn.XLOOKUP(B215,'Base stats'!B:B,'Base stats'!E:E),Groups!A:A,Groups!AB:AB))</f>
        <v>No</v>
      </c>
      <c r="AH215" s="7" t="str">
        <f>IF(AD215="No","No",_xlfn.XLOOKUP(_xlfn.XLOOKUP(B215,'Base stats'!B:B,'Base stats'!E:E),Groups!A:A,Groups!AC:AC))</f>
        <v>No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35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36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37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Jellyfish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38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39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stats'!AN240="Standard",_xlfn.XLOOKUP(_xlfn.XLOOKUP(B215,'Base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40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stats'!AM:AM)=1,0.1,1)*IF(AND(_xlfn.XLOOKUP(B215,'Base stats'!B:B,'Base stats'!AM:AM)=1,D215="sarg.alphaanimals"),0.5,1)/100,IF(_xlfn.XLOOKUP(B215,'Base stats'!B:B,'Base stats'!AM:AM)=1,0.001,0.025)),0.5)))</f>
        <v>2E-3</v>
      </c>
      <c r="CA215" s="25" t="str">
        <f>IF(P215="Standard","No",MAX(0.001,MIN(MROUND(IF(OR(D215="sarg.alphaanimals",AND(BJ215="True",CC215="False")),POWER(10,3.47*LOG10(_xlfn.XLOOKUP(B215,'Base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41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1350</v>
      </c>
      <c r="B216" s="6" t="str">
        <f>_xlfn.XLOOKUP(A216,'Base stats'!A:A,'Base stats'!B:B)</f>
        <v>Mycopion sylvestris</v>
      </c>
      <c r="C216" s="28" t="s">
        <v>1349</v>
      </c>
      <c r="D216" s="28" t="s">
        <v>1348</v>
      </c>
      <c r="E216" s="28" t="s">
        <v>674</v>
      </c>
      <c r="F216" s="28" t="s">
        <v>674</v>
      </c>
      <c r="G216" s="28" t="s">
        <v>674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>IF(BJ216="false","No",MROUND(AO216*5+15*1,5))</f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>IF(AT216="No","No",IFERROR(MROUND(AT216/2,0.05),"Unknown"))</f>
        <v>0.2</v>
      </c>
      <c r="AV216" s="8" t="str">
        <f>IFERROR(IFERROR(MROUND(_xlfn.XLOOKUP(B216,'Base stats'!B:B,'Base stats'!J:J),0.1),"Lay eggs"),"Cannot breed")</f>
        <v>Lay eggs</v>
      </c>
      <c r="AW216" s="2" t="str">
        <f>IF(BT216="No","false","true")</f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>IF(BI216&lt;&gt;"None",1,0)</f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>IF(OR(BM216&lt;&gt;"No",BQ216=1),"true","false")</f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stats'!AN241="Standard",_xlfn.XLOOKUP(_xlfn.XLOOKUP(B216,'Base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>MROUND(AO216 * 0.2 + AQ216 * 0.8,0.05)</f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/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stats'!AM:AM)=1,0.1,1)*IF(AND(_xlfn.XLOOKUP(B216,'Base stats'!B:B,'Base stats'!AM:AM)=1,D216="sarg.alphaanimals"),0.5,1)/100,IF(_xlfn.XLOOKUP(B216,'Base stats'!B:B,'Base stats'!AM:AM)=1,0.001,0.025)),0.5)))</f>
        <v>4.0000000000000001E-3</v>
      </c>
      <c r="CA216" s="25" t="str">
        <f>IF(P216="Standard","No",MAX(0.001,MIN(MROUND(IF(OR(D216="sarg.alphaanimals",AND(BJ216="True",CC216="False")),POWER(10,3.47*LOG10(_xlfn.XLOOKUP(B216,'Base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>IF(J216&gt;0.95,"True","False")</f>
        <v>False</v>
      </c>
      <c r="CE216" s="25" t="str">
        <f>IF(_xlfn.XLOOKUP(_xlfn.XLOOKUP(B216,'Base stats'!B:B,'Base stats'!E:E),Groups!A:A,Groups!AX:AX),"True","False")</f>
        <v>False</v>
      </c>
      <c r="CF216" s="25" t="str">
        <f>IF(_xlfn.XLOOKUP(_xlfn.XLOOKUP(B216,'Base stats'!B:B,'Base stats'!E:E),Groups!A:A,Groups!AY:AY),"True","False")</f>
        <v>False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1352</v>
      </c>
      <c r="B217" s="6" t="str">
        <f>_xlfn.XLOOKUP(A217,'Base stats'!A:A,'Base stats'!B:B)</f>
        <v>Mycopodium sylvestris</v>
      </c>
      <c r="C217" s="28" t="s">
        <v>1351</v>
      </c>
      <c r="D217" s="28" t="s">
        <v>1348</v>
      </c>
      <c r="E217" s="28" t="s">
        <v>674</v>
      </c>
      <c r="F217" s="28" t="s">
        <v>674</v>
      </c>
      <c r="G217" s="28" t="s">
        <v>674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>IF(BJ217="false","No",MROUND(AO217*5+15*1,5))</f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>IF(AT217="No","No",IFERROR(MROUND(AT217/2,0.05),"Unknown"))</f>
        <v>0.5</v>
      </c>
      <c r="AV217" s="8" t="str">
        <f>IFERROR(IFERROR(MROUND(_xlfn.XLOOKUP(B217,'Base stats'!B:B,'Base stats'!J:J),0.1),"Lay eggs"),"Cannot breed")</f>
        <v>Lay eggs</v>
      </c>
      <c r="AW217" s="2" t="str">
        <f>IF(BT217="No","false","true")</f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>IF(BI217&lt;&gt;"None",1,0)</f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>IF(OR(BM217&lt;&gt;"No",BQ217=1),"true","false")</f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stats'!AN242="Standard",_xlfn.XLOOKUP(_xlfn.XLOOKUP(B217,'Base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>MROUND(AO217 * 0.2 + AQ217 * 0.8,0.05)</f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/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stats'!AM:AM)=1,0.1,1)*IF(AND(_xlfn.XLOOKUP(B217,'Base stats'!B:B,'Base stats'!AM:AM)=1,D217="sarg.alphaanimals"),0.5,1)/100,IF(_xlfn.XLOOKUP(B217,'Base stats'!B:B,'Base stats'!AM:AM)=1,0.001,0.025)),0.5)))</f>
        <v>2E-3</v>
      </c>
      <c r="CA217" s="25" t="str">
        <f>IF(P217="Standard","No",MAX(0.001,MIN(MROUND(IF(OR(D217="sarg.alphaanimals",AND(BJ217="True",CC217="False")),POWER(10,3.47*LOG10(_xlfn.XLOOKUP(B217,'Base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>IF(J217&gt;0.95,"True","False")</f>
        <v>False</v>
      </c>
      <c r="CE217" s="25" t="str">
        <f>IF(_xlfn.XLOOKUP(_xlfn.XLOOKUP(B217,'Base stats'!B:B,'Base stats'!E:E),Groups!A:A,Groups!AX:AX),"True","False")</f>
        <v>False</v>
      </c>
      <c r="CF217" s="25" t="str">
        <f>IF(_xlfn.XLOOKUP(_xlfn.XLOOKUP(B217,'Base stats'!B:B,'Base stats'!E:E),Groups!A:A,Groups!AY:AY),"True","False")</f>
        <v>False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1354</v>
      </c>
      <c r="B218" s="6" t="str">
        <f>_xlfn.XLOOKUP(A218,'Base stats'!A:A,'Base stats'!B:B)</f>
        <v>Angelis luminata</v>
      </c>
      <c r="C218" s="28" t="s">
        <v>1355</v>
      </c>
      <c r="D218" s="28" t="s">
        <v>1348</v>
      </c>
      <c r="E218" s="28" t="s">
        <v>1754</v>
      </c>
      <c r="F218" s="28" t="s">
        <v>674</v>
      </c>
      <c r="G218" s="28" t="s">
        <v>674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35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35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36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37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BeetleLike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38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39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stats'!AN236="Standard",_xlfn.XLOOKUP(_xlfn.XLOOKUP(B218,'Base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40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/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stats'!AM:AM)=1,0.1,1)*IF(AND(_xlfn.XLOOKUP(B218,'Base stats'!B:B,'Base stats'!AM:AM)=1,D218="sarg.alphaanimals"),0.5,1)/100,IF(_xlfn.XLOOKUP(B218,'Base stats'!B:B,'Base stats'!AM:AM)=1,0.001,0.025)),0.5)))</f>
        <v>3.0000000000000001E-3</v>
      </c>
      <c r="CA218" s="25" t="str">
        <f>IF(P218="Standard","No",MAX(0.001,MIN(MROUND(IF(OR(D218="sarg.alphaanimals",AND(BJ218="True",CC218="False")),POWER(10,3.47*LOG10(_xlfn.XLOOKUP(B218,'Base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41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1353</v>
      </c>
      <c r="B219" s="6" t="str">
        <f>_xlfn.XLOOKUP(A219,'Base stats'!A:A,'Base stats'!B:B)</f>
        <v>Angelis luminata (larva)</v>
      </c>
      <c r="C219" s="28" t="s">
        <v>1356</v>
      </c>
      <c r="D219" s="28" t="s">
        <v>1348</v>
      </c>
      <c r="E219" s="28" t="s">
        <v>1754</v>
      </c>
      <c r="F219" s="28" t="s">
        <v>674</v>
      </c>
      <c r="G219" s="28" t="s">
        <v>674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0.45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50</v>
      </c>
      <c r="N219" s="8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0.15000000000000002</v>
      </c>
      <c r="O219" s="8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0.05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2</v>
      </c>
      <c r="AE219" s="7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1.2</v>
      </c>
      <c r="AF219" s="7" t="str">
        <f>IF(AD219="No","No",_xlfn.XLOOKUP(_xlfn.XLOOKUP(B219,'Base stats'!B:B,'Base stats'!E:E),Groups!A:A,Groups!AA:AA))</f>
        <v>Mouth</v>
      </c>
      <c r="AG219" s="7" t="str">
        <f>IF(AD219="No","No",_xlfn.XLOOKUP(_xlfn.XLOOKUP(B219,'Base stats'!B:B,'Base stats'!E:E),Groups!A:A,Groups!AB:AB))</f>
        <v>mandibles</v>
      </c>
      <c r="AH219" s="7" t="str">
        <f>IF(AD219="No","No",_xlfn.XLOOKUP(_xlfn.XLOOKUP(B219,'Base stats'!B:B,'Base stats'!E:E),Groups!A:A,Groups!AC:AC))</f>
        <v>Bite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35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36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37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 t="str">
        <f>IF(_xlfn.XLOOKUP(_xlfn.XLOOKUP(B219,'Base stats'!B:B,'Base stats'!E:E),Groups!A:A,Groups!D:D)=1,MROUND((1-J219)*5+1,2)*IF(J219&lt;=0.4,2,1),"No")</f>
        <v>No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Larva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Intermediate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38"/>
        <v>1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39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stats'!AN237="Standard",_xlfn.XLOOKUP(_xlfn.XLOOKUP(B219,'Base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40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/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stats'!AM:AM)=1,0.1,1)*IF(AND(_xlfn.XLOOKUP(B219,'Base stats'!B:B,'Base stats'!AM:AM)=1,D219="sarg.alphaanimals"),0.5,1)/100,IF(_xlfn.XLOOKUP(B219,'Base stats'!B:B,'Base stats'!AM:AM)=1,0.001,0.025)),0.5)))</f>
        <v>1.0999999999999999E-2</v>
      </c>
      <c r="CA219" s="25" t="str">
        <f>IF(P219="Standard","No",MAX(0.001,MIN(MROUND(IF(OR(D219="sarg.alphaanimals",AND(BJ219="True",CC219="False")),POWER(10,3.47*LOG10(_xlfn.XLOOKUP(B219,'Base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41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1358</v>
      </c>
      <c r="B220" s="6" t="str">
        <f>_xlfn.XLOOKUP(A220,'Base stats'!A:A,'Base stats'!B:B)</f>
        <v>Colossus animae</v>
      </c>
      <c r="C220" s="28" t="s">
        <v>1357</v>
      </c>
      <c r="D220" s="28" t="s">
        <v>1348</v>
      </c>
      <c r="E220" s="28" t="s">
        <v>674</v>
      </c>
      <c r="F220" s="28" t="s">
        <v>674</v>
      </c>
      <c r="G220" s="28" t="s">
        <v>674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35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35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36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37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0.3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38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39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stats'!AN212="Standard",_xlfn.XLOOKUP(_xlfn.XLOOKUP(B220,'Base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40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/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stats'!AM:AM)=1,0.1,1)*IF(AND(_xlfn.XLOOKUP(B220,'Base stats'!B:B,'Base stats'!AM:AM)=1,D220="sarg.alphaanimals"),0.5,1)/100,IF(_xlfn.XLOOKUP(B220,'Base stats'!B:B,'Base stats'!AM:AM)=1,0.001,0.025)),0.5)))</f>
        <v>2E-3</v>
      </c>
      <c r="CA220" s="25" t="str">
        <f>IF(P220="Standard","No",MAX(0.001,MIN(MROUND(IF(OR(D220="sarg.alphaanimals",AND(BJ220="True",CC220="False")),POWER(10,3.47*LOG10(_xlfn.XLOOKUP(B220,'Base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41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1360</v>
      </c>
      <c r="B221" s="6" t="str">
        <f>_xlfn.XLOOKUP(A221,'Base stats'!A:A,'Base stats'!B:B)</f>
        <v>Araneodraco animalis</v>
      </c>
      <c r="C221" s="28" t="s">
        <v>1359</v>
      </c>
      <c r="D221" s="28" t="s">
        <v>1348</v>
      </c>
      <c r="E221" s="28" t="s">
        <v>1754</v>
      </c>
      <c r="F221" s="28" t="s">
        <v>674</v>
      </c>
      <c r="G221" s="28" t="s">
        <v>674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35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36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37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0.3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38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39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stats'!AN290="Standard",_xlfn.XLOOKUP(_xlfn.XLOOKUP(B221,'Base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40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stats'!AM:AM)=1,0.1,1)*IF(AND(_xlfn.XLOOKUP(B221,'Base stats'!B:B,'Base stats'!AM:AM)=1,D221="sarg.alphaanimals"),0.5,1)/100,IF(_xlfn.XLOOKUP(B221,'Base stats'!B:B,'Base stats'!AM:AM)=1,0.001,0.025)),0.5)))</f>
        <v>2E-3</v>
      </c>
      <c r="CA221" s="25" t="str">
        <f>IF(P221="Standard","No",MAX(0.001,MIN(MROUND(IF(OR(D221="sarg.alphaanimals",AND(BJ221="True",CC221="False")),POWER(10,3.47*LOG10(_xlfn.XLOOKUP(B221,'Base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41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1361</v>
      </c>
      <c r="B222" s="6" t="str">
        <f>_xlfn.XLOOKUP(A222,'Base stats'!A:A,'Base stats'!B:B)</f>
        <v>Vulpes animalis</v>
      </c>
      <c r="C222" s="28" t="s">
        <v>1362</v>
      </c>
      <c r="D222" s="28" t="s">
        <v>1348</v>
      </c>
      <c r="E222" s="28" t="s">
        <v>674</v>
      </c>
      <c r="F222" s="28" t="s">
        <v>738</v>
      </c>
      <c r="G222" s="28" t="s">
        <v>674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-20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35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36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37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38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39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stats'!AN248="Standard",_xlfn.XLOOKUP(_xlfn.XLOOKUP(B222,'Base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40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/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stats'!AM:AM)=1,0.1,1)*IF(AND(_xlfn.XLOOKUP(B222,'Base stats'!B:B,'Base stats'!AM:AM)=1,D222="sarg.alphaanimals"),0.5,1)/100,IF(_xlfn.XLOOKUP(B222,'Base stats'!B:B,'Base stats'!AM:AM)=1,0.001,0.025)),0.5)))</f>
        <v>4.0000000000000001E-3</v>
      </c>
      <c r="CA222" s="25" t="str">
        <f>IF(P222="Standard","No",MAX(0.001,MIN(MROUND(IF(OR(D222="sarg.alphaanimals",AND(BJ222="True",CC222="False")),POWER(10,3.47*LOG10(_xlfn.XLOOKUP(B222,'Base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41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1363</v>
      </c>
      <c r="B223" s="6" t="str">
        <f>_xlfn.XLOOKUP(A223,'Base stats'!A:A,'Base stats'!B:B)</f>
        <v>Panthera glacialis</v>
      </c>
      <c r="C223" s="28" t="s">
        <v>1364</v>
      </c>
      <c r="D223" s="28" t="s">
        <v>1348</v>
      </c>
      <c r="E223" s="28" t="s">
        <v>674</v>
      </c>
      <c r="F223" s="28" t="s">
        <v>674</v>
      </c>
      <c r="G223" s="28" t="s">
        <v>674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1175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-30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14</v>
      </c>
      <c r="R223" s="7">
        <f>IF(Q223="No","No",MAX(1,MROUND(_xlfn.XLOOKUP(B223,'Base stats'!B:B,'Base stats'!C:C)^0.165,0.05)))</f>
        <v>2.6500000000000004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25.5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1.85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21.5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1.7000000000000002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35"/>
        <v>30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2.5</v>
      </c>
      <c r="AP223" s="8">
        <f>MROUND(AO223*_xlfn.XLOOKUP(_xlfn.XLOOKUP(B223,'Base stats'!B:B,'Base stats'!E:E),Groups!A:A,Groups!AI:AI)*_xlfn.XLOOKUP(B223,'Base stats'!B:B,'Base stats'!Z:Z),0.05)</f>
        <v>3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1.05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36"/>
        <v>0.2</v>
      </c>
      <c r="AV223" s="8">
        <f>IFERROR(IFERROR(MROUND(_xlfn.XLOOKUP(B223,'Base stats'!B:B,'Base stats'!J:J),0.1),"Lay eggs"),"Cannot breed")</f>
        <v>3</v>
      </c>
      <c r="AW223" s="2" t="str">
        <f t="shared" si="37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4.5</v>
      </c>
      <c r="BL223" s="2">
        <f t="shared" si="38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39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stats'!AN221="Standard",_xlfn.XLOOKUP(_xlfn.XLOOKUP(B223,'Base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315</v>
      </c>
      <c r="BS223" s="8">
        <f t="shared" si="40"/>
        <v>1.35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/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stats'!AM:AM)=1,0.1,1)*IF(AND(_xlfn.XLOOKUP(B223,'Base stats'!B:B,'Base stats'!AM:AM)=1,D223="sarg.alphaanimals"),0.5,1)/100,IF(_xlfn.XLOOKUP(B223,'Base stats'!B:B,'Base stats'!AM:AM)=1,0.001,0.025)),0.5)))</f>
        <v>2E-3</v>
      </c>
      <c r="CA223" s="25" t="str">
        <f>IF(P223="Standard","No",MAX(0.001,MIN(MROUND(IF(OR(D223="sarg.alphaanimals",AND(BJ223="True",CC223="False")),POWER(10,3.47*LOG10(_xlfn.XLOOKUP(B223,'Base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41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1365</v>
      </c>
      <c r="B224" s="6" t="str">
        <f>_xlfn.XLOOKUP(A224,'Base stats'!A:A,'Base stats'!B:B)</f>
        <v>Speculum vividum</v>
      </c>
      <c r="C224" s="28" t="s">
        <v>1366</v>
      </c>
      <c r="D224" s="28" t="s">
        <v>1348</v>
      </c>
      <c r="E224" s="28" t="s">
        <v>1754</v>
      </c>
      <c r="F224" s="28" t="s">
        <v>674</v>
      </c>
      <c r="G224" s="28" t="s">
        <v>674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LeftPincer, RightPincer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35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36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37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ScorpionLike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0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38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39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stats'!AN222="Standard",_xlfn.XLOOKUP(_xlfn.XLOOKUP(B224,'Base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40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stats'!AM:AM)=1,0.1,1)*IF(AND(_xlfn.XLOOKUP(B224,'Base stats'!B:B,'Base stats'!AM:AM)=1,D224="sarg.alphaanimals"),0.5,1)/100,IF(_xlfn.XLOOKUP(B224,'Base stats'!B:B,'Base stats'!AM:AM)=1,0.001,0.025)),0.5)))</f>
        <v>2E-3</v>
      </c>
      <c r="CA224" s="25" t="str">
        <f>IF(P224="Standard","No",MAX(0.001,MIN(MROUND(IF(OR(D224="sarg.alphaanimals",AND(BJ224="True",CC224="False")),POWER(10,3.47*LOG10(_xlfn.XLOOKUP(B224,'Base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41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1497</v>
      </c>
      <c r="B225" s="6" t="str">
        <f>_xlfn.XLOOKUP(A225,'Base stats'!A:A,'Base stats'!B:B)</f>
        <v>Speculum vividum (larva)</v>
      </c>
      <c r="C225" s="28" t="s">
        <v>1498</v>
      </c>
      <c r="D225" s="28" t="s">
        <v>1348</v>
      </c>
      <c r="E225" s="28" t="s">
        <v>1754</v>
      </c>
      <c r="F225" s="28" t="s">
        <v>674</v>
      </c>
      <c r="G225" s="28" t="s">
        <v>674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150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50</v>
      </c>
      <c r="N225" s="8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0.30000000000000004</v>
      </c>
      <c r="O225" s="8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0.1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6.5</v>
      </c>
      <c r="AE225" s="7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1.75</v>
      </c>
      <c r="AF225" s="7" t="str">
        <f>IF(AD225="No","No",_xlfn.XLOOKUP(_xlfn.XLOOKUP(B225,'Base stats'!B:B,'Base stats'!E:E),Groups!A:A,Groups!AA:AA))</f>
        <v>Mouth</v>
      </c>
      <c r="AG225" s="7" t="str">
        <f>IF(AD225="No","No",_xlfn.XLOOKUP(_xlfn.XLOOKUP(B225,'Base stats'!B:B,'Base stats'!E:E),Groups!A:A,Groups!AB:AB))</f>
        <v>mandibles</v>
      </c>
      <c r="AH225" s="7" t="str">
        <f>IF(AD225="No","No",_xlfn.XLOOKUP(_xlfn.XLOOKUP(B225,'Base stats'!B:B,'Base stats'!E:E),Groups!A:A,Groups!AC:AC))</f>
        <v>Bite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35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36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37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 t="str">
        <f>IF(_xlfn.XLOOKUP(_xlfn.XLOOKUP(B225,'Base stats'!B:B,'Base stats'!E:E),Groups!A:A,Groups!D:D)=1,MROUND((1-J225)*5+1,2)*IF(J225&lt;=0.4,2,1),"No")</f>
        <v>No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Larva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Intermediate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38"/>
        <v>1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39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stats'!AN223="Standard",_xlfn.XLOOKUP(_xlfn.XLOOKUP(B225,'Base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50</v>
      </c>
      <c r="BS225" s="8">
        <f t="shared" si="40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/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stats'!AM:AM)=1,0.1,1)*IF(AND(_xlfn.XLOOKUP(B225,'Base stats'!B:B,'Base stats'!AM:AM)=1,D225="sarg.alphaanimals"),0.5,1)/100,IF(_xlfn.XLOOKUP(B225,'Base stats'!B:B,'Base stats'!AM:AM)=1,0.001,0.025)),0.5)))</f>
        <v>4.0000000000000001E-3</v>
      </c>
      <c r="CA225" s="25" t="str">
        <f>IF(P225="Standard","No",MAX(0.001,MIN(MROUND(IF(OR(D225="sarg.alphaanimals",AND(BJ225="True",CC225="False")),POWER(10,3.47*LOG10(_xlfn.XLOOKUP(B225,'Base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41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1367</v>
      </c>
      <c r="B226" s="6" t="str">
        <f>_xlfn.XLOOKUP(A226,'Base stats'!A:A,'Base stats'!B:B)</f>
        <v>Sylphalis borealis</v>
      </c>
      <c r="C226" s="28" t="s">
        <v>1368</v>
      </c>
      <c r="D226" s="28" t="s">
        <v>1348</v>
      </c>
      <c r="E226" s="28" t="s">
        <v>674</v>
      </c>
      <c r="F226" s="28" t="s">
        <v>674</v>
      </c>
      <c r="G226" s="28" t="s">
        <v>674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35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36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37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BeetleLike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38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39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stats'!AN262="Standard",_xlfn.XLOOKUP(_xlfn.XLOOKUP(B226,'Base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40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stats'!AM:AM)=1,0.1,1)*IF(AND(_xlfn.XLOOKUP(B226,'Base stats'!B:B,'Base stats'!AM:AM)=1,D226="sarg.alphaanimals"),0.5,1)/100,IF(_xlfn.XLOOKUP(B226,'Base stats'!B:B,'Base stats'!AM:AM)=1,0.001,0.025)),0.5)))</f>
        <v>3.0000000000000001E-3</v>
      </c>
      <c r="CA226" s="25" t="str">
        <f>IF(P226="Standard","No",MAX(0.001,MIN(MROUND(IF(OR(D226="sarg.alphaanimals",AND(BJ226="True",CC226="False")),POWER(10,3.47*LOG10(_xlfn.XLOOKUP(B226,'Base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41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1369</v>
      </c>
      <c r="B227" s="6" t="str">
        <f>_xlfn.XLOOKUP(A227,'Base stats'!A:A,'Base stats'!B:B)</f>
        <v>Echidna projectilis</v>
      </c>
      <c r="C227" s="28" t="s">
        <v>1370</v>
      </c>
      <c r="D227" s="28" t="s">
        <v>1348</v>
      </c>
      <c r="E227" s="28" t="s">
        <v>1754</v>
      </c>
      <c r="F227" s="28" t="s">
        <v>674</v>
      </c>
      <c r="G227" s="28" t="s">
        <v>674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350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>
        <f>_xlfn.XLOOKUP(B227,'Base stats'!B:B,'Base stats'!R:R)</f>
        <v>1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35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36"/>
        <v>0.2</v>
      </c>
      <c r="AV227" s="8">
        <f>IFERROR(IFERROR(MROUND(_xlfn.XLOOKUP(B227,'Base stats'!B:B,'Base stats'!J:J),0.1),"Lay eggs"),"Cannot breed")</f>
        <v>5</v>
      </c>
      <c r="AW227" s="2" t="str">
        <f t="shared" si="37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Intermediate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38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39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AttackTarget, AttackTarget</v>
      </c>
      <c r="BQ227" s="25" t="str">
        <f>IF(
   AND(
      'Base stats'!AN292="Standard",_xlfn.XLOOKUP(_xlfn.XLOOKUP(B227,'Base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40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/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stats'!AM:AM)=1,0.1,1)*IF(AND(_xlfn.XLOOKUP(B227,'Base stats'!B:B,'Base stats'!AM:AM)=1,D227="sarg.alphaanimals"),0.5,1)/100,IF(_xlfn.XLOOKUP(B227,'Base stats'!B:B,'Base stats'!AM:AM)=1,0.001,0.025)),0.5)))</f>
        <v>3.0000000000000001E-3</v>
      </c>
      <c r="CA227" s="25">
        <f>IF(P227="Standard","No",MAX(0.001,MIN(MROUND(IF(OR(D227="sarg.alphaanimals",AND(BJ227="True",CC227="False")),POWER(10,3.47*LOG10(_xlfn.XLOOKUP(B227,'Base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6.0000000000000001E-3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41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Bone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1371</v>
      </c>
      <c r="B228" s="6" t="str">
        <f>_xlfn.XLOOKUP(A228,'Base stats'!A:A,'Base stats'!B:B)</f>
        <v>Cimex titanus</v>
      </c>
      <c r="C228" s="28" t="s">
        <v>1372</v>
      </c>
      <c r="D228" s="28" t="s">
        <v>1348</v>
      </c>
      <c r="E228" s="28" t="s">
        <v>1754</v>
      </c>
      <c r="F228" s="28" t="s">
        <v>674</v>
      </c>
      <c r="G228" s="28" t="s">
        <v>674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1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35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36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37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1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38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39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stats'!AN225="Standard",_xlfn.XLOOKUP(_xlfn.XLOOKUP(B228,'Base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40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/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stats'!AM:AM)=1,0.1,1)*IF(AND(_xlfn.XLOOKUP(B228,'Base stats'!B:B,'Base stats'!AM:AM)=1,D228="sarg.alphaanimals"),0.5,1)/100,IF(_xlfn.XLOOKUP(B228,'Base stats'!B:B,'Base stats'!AM:AM)=1,0.001,0.025)),0.5)))</f>
        <v>3.0000000000000001E-3</v>
      </c>
      <c r="CA228" s="25">
        <f>IF(P228="Standard","No",MAX(0.001,MIN(MROUND(IF(OR(D228="sarg.alphaanimals",AND(BJ228="True",CC228="False")),POWER(10,3.47*LOG10(_xlfn.XLOOKUP(B228,'Base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6.0000000000000001E-3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41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1373</v>
      </c>
      <c r="B229" s="6" t="str">
        <f>_xlfn.XLOOKUP(A229,'Base stats'!A:A,'Base stats'!B:B)</f>
        <v>Behemoth giganteus</v>
      </c>
      <c r="C229" s="28" t="s">
        <v>1374</v>
      </c>
      <c r="D229" s="28" t="s">
        <v>1348</v>
      </c>
      <c r="E229" s="28" t="s">
        <v>674</v>
      </c>
      <c r="F229" s="28" t="s">
        <v>674</v>
      </c>
      <c r="G229" s="28" t="s">
        <v>674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FrontLeftClaws, FrontRightClaws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35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0.95000000000000007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36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37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&lt;li&gt;Iguana&lt;/li&gt;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0.3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38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39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stats'!AN238="Standard",_xlfn.XLOOKUP(_xlfn.XLOOKUP(B229,'Base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40"/>
        <v>1.9500000000000002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/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stats'!AM:AM)=1,0.1,1)*IF(AND(_xlfn.XLOOKUP(B229,'Base stats'!B:B,'Base stats'!AM:AM)=1,D229="sarg.alphaanimals"),0.5,1)/100,IF(_xlfn.XLOOKUP(B229,'Base stats'!B:B,'Base stats'!AM:AM)=1,0.001,0.025)),0.5)))</f>
        <v>2E-3</v>
      </c>
      <c r="CA229" s="25" t="str">
        <f>IF(P229="Standard","No",MAX(0.001,MIN(MROUND(IF(OR(D229="sarg.alphaanimals",AND(BJ229="True",CC229="False")),POWER(10,3.47*LOG10(_xlfn.XLOOKUP(B229,'Base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True</v>
      </c>
      <c r="CD229" s="25" t="str">
        <f t="shared" si="41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False</v>
      </c>
      <c r="CG229" s="25" t="str">
        <f>IF(_xlfn.XLOOKUP(_xlfn.XLOOKUP(B229,'Base stats'!B:B,'Base stats'!E:E),Groups!A:A,Groups!AW:AW),"True","False")</f>
        <v>False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1463</v>
      </c>
      <c r="B230" s="6" t="str">
        <f>_xlfn.XLOOKUP(A230,'Base stats'!A:A,'Base stats'!B:B)</f>
        <v>Arthrocolossus behemoth</v>
      </c>
      <c r="C230" s="28" t="s">
        <v>1464</v>
      </c>
      <c r="D230" s="28" t="s">
        <v>1348</v>
      </c>
      <c r="E230" s="28" t="s">
        <v>674</v>
      </c>
      <c r="F230" s="28" t="s">
        <v>674</v>
      </c>
      <c r="G230" s="28" t="s">
        <v>674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35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35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36"/>
        <v>0.4</v>
      </c>
      <c r="AV230" s="8">
        <f>IFERROR(IFERROR(MROUND(_xlfn.XLOOKUP(B230,'Base stats'!B:B,'Base stats'!J:J),0.1),"Lay eggs"),"Cannot breed")</f>
        <v>1</v>
      </c>
      <c r="AW230" s="2" t="str">
        <f t="shared" si="37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Snake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38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39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stats'!AN227="Standard",_xlfn.XLOOKUP(_xlfn.XLOOKUP(B230,'Base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40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false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/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stats'!AM:AM)=1,0.1,1)*IF(AND(_xlfn.XLOOKUP(B230,'Base stats'!B:B,'Base stats'!AM:AM)=1,D230="sarg.alphaanimals"),0.5,1)/100,IF(_xlfn.XLOOKUP(B230,'Base stats'!B:B,'Base stats'!AM:AM)=1,0.001,0.025)),0.5)))</f>
        <v>2E-3</v>
      </c>
      <c r="CA230" s="25" t="str">
        <f>IF(P230="Standard","No",MAX(0.001,MIN(MROUND(IF(OR(D230="sarg.alphaanimals",AND(BJ230="True",CC230="False")),POWER(10,3.47*LOG10(_xlfn.XLOOKUP(B230,'Base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41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1375</v>
      </c>
      <c r="B231" s="6" t="str">
        <f>_xlfn.XLOOKUP(A231,'Base stats'!A:A,'Base stats'!B:B)</f>
        <v>Titanocoleus niger</v>
      </c>
      <c r="C231" s="28" t="s">
        <v>1376</v>
      </c>
      <c r="D231" s="28" t="s">
        <v>1348</v>
      </c>
      <c r="E231" s="28" t="s">
        <v>1755</v>
      </c>
      <c r="F231" s="28" t="s">
        <v>674</v>
      </c>
      <c r="G231" s="28" t="s">
        <v>674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35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36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37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38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39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stats'!AN305="Standard",_xlfn.XLOOKUP(_xlfn.XLOOKUP(B231,'Base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40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stats'!AM:AM)=1,0.1,1)*IF(AND(_xlfn.XLOOKUP(B231,'Base stats'!B:B,'Base stats'!AM:AM)=1,D231="sarg.alphaanimals"),0.5,1)/100,IF(_xlfn.XLOOKUP(B231,'Base stats'!B:B,'Base stats'!AM:AM)=1,0.001,0.025)),0.5)))</f>
        <v>4.0000000000000001E-3</v>
      </c>
      <c r="CA231" s="25">
        <f>IF(P231="Standard","No",MAX(0.001,MIN(MROUND(IF(OR(D231="sarg.alphaanimals",AND(BJ231="True",CC231="False")),POWER(10,3.47*LOG10(_xlfn.XLOOKUP(B231,'Base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8.0000000000000002E-3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41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1377</v>
      </c>
      <c r="B232" s="6" t="str">
        <f>_xlfn.XLOOKUP(A232,'Base stats'!A:A,'Base stats'!B:B)</f>
        <v>Cryptomorphus niger</v>
      </c>
      <c r="C232" s="28" t="s">
        <v>1378</v>
      </c>
      <c r="D232" s="28" t="s">
        <v>1348</v>
      </c>
      <c r="E232" s="28" t="s">
        <v>1755</v>
      </c>
      <c r="F232" s="28" t="s">
        <v>674</v>
      </c>
      <c r="G232" s="28" t="s">
        <v>674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35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36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37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38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39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stats'!AN283="Standard",_xlfn.XLOOKUP(_xlfn.XLOOKUP(B232,'Base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40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stats'!AM:AM)=1,0.1,1)*IF(AND(_xlfn.XLOOKUP(B232,'Base stats'!B:B,'Base stats'!AM:AM)=1,D232="sarg.alphaanimals"),0.5,1)/100,IF(_xlfn.XLOOKUP(B232,'Base stats'!B:B,'Base stats'!AM:AM)=1,0.001,0.025)),0.5)))</f>
        <v>3.0000000000000001E-3</v>
      </c>
      <c r="CA232" s="25">
        <f>IF(P232="Standard","No",MAX(0.001,MIN(MROUND(IF(OR(D232="sarg.alphaanimals",AND(BJ232="True",CC232="False")),POWER(10,3.47*LOG10(_xlfn.XLOOKUP(B232,'Base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5.0000000000000001E-3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41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1379</v>
      </c>
      <c r="B233" s="6" t="str">
        <f>_xlfn.XLOOKUP(A233,'Base stats'!A:A,'Base stats'!B:B)</f>
        <v>Gigarachne niger</v>
      </c>
      <c r="C233" s="28" t="s">
        <v>1380</v>
      </c>
      <c r="D233" s="28" t="s">
        <v>1348</v>
      </c>
      <c r="E233" s="28" t="s">
        <v>1755</v>
      </c>
      <c r="F233" s="28" t="s">
        <v>674</v>
      </c>
      <c r="G233" s="28" t="s">
        <v>674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35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36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37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38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39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AttackTarget, AttackTarget</v>
      </c>
      <c r="BQ233" s="25" t="str">
        <f>IF(
   AND(
      'Base stats'!AN249="Standard",_xlfn.XLOOKUP(_xlfn.XLOOKUP(B233,'Base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40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stats'!AM:AM)=1,0.1,1)*IF(AND(_xlfn.XLOOKUP(B233,'Base stats'!B:B,'Base stats'!AM:AM)=1,D233="sarg.alphaanimals"),0.5,1)/100,IF(_xlfn.XLOOKUP(B233,'Base stats'!B:B,'Base stats'!AM:AM)=1,0.001,0.025)),0.5)))</f>
        <v>2E-3</v>
      </c>
      <c r="CA233" s="25">
        <f>IF(P233="Standard","No",MAX(0.001,MIN(MROUND(IF(OR(D233="sarg.alphaanimals",AND(BJ233="True",CC233="False")),POWER(10,3.47*LOG10(_xlfn.XLOOKUP(B233,'Base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5.0000000000000001E-3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41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1381</v>
      </c>
      <c r="B234" s="6" t="str">
        <f>_xlfn.XLOOKUP(A234,'Base stats'!A:A,'Base stats'!B:B)</f>
        <v>Araneodraco glacialis</v>
      </c>
      <c r="C234" s="28" t="s">
        <v>1382</v>
      </c>
      <c r="D234" s="28" t="s">
        <v>1348</v>
      </c>
      <c r="E234" s="28" t="s">
        <v>1754</v>
      </c>
      <c r="F234" s="28" t="s">
        <v>674</v>
      </c>
      <c r="G234" s="28" t="s">
        <v>674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35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35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36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37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0.3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38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39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stats'!AN277="Standard",_xlfn.XLOOKUP(_xlfn.XLOOKUP(B234,'Base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40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/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stats'!AM:AM)=1,0.1,1)*IF(AND(_xlfn.XLOOKUP(B234,'Base stats'!B:B,'Base stats'!AM:AM)=1,D234="sarg.alphaanimals"),0.5,1)/100,IF(_xlfn.XLOOKUP(B234,'Base stats'!B:B,'Base stats'!AM:AM)=1,0.001,0.025)),0.5)))</f>
        <v>2E-3</v>
      </c>
      <c r="CA234" s="25" t="str">
        <f>IF(P234="Standard","No",MAX(0.001,MIN(MROUND(IF(OR(D234="sarg.alphaanimals",AND(BJ234="True",CC234="False")),POWER(10,3.47*LOG10(_xlfn.XLOOKUP(B234,'Base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41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1383</v>
      </c>
      <c r="B235" s="6" t="str">
        <f>_xlfn.XLOOKUP(A235,'Base stats'!A:A,'Base stats'!B:B)</f>
        <v>Araneodraco glacialis (clutch mother)</v>
      </c>
      <c r="C235" s="28" t="s">
        <v>1384</v>
      </c>
      <c r="D235" s="28" t="s">
        <v>1348</v>
      </c>
      <c r="E235" s="28" t="s">
        <v>1754</v>
      </c>
      <c r="F235" s="28" t="s">
        <v>674</v>
      </c>
      <c r="G235" s="28" t="s">
        <v>674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1300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1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35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 t="str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No</v>
      </c>
      <c r="AU235" s="8" t="str">
        <f t="shared" si="36"/>
        <v>No</v>
      </c>
      <c r="AV235" s="8" t="str">
        <f>IFERROR(IFERROR(MROUND(_xlfn.XLOOKUP(B235,'Base stats'!B:B,'Base stats'!J:J),0.1),"Lay eggs"),"Cannot breed")</f>
        <v>Lay eggs</v>
      </c>
      <c r="AW235" s="2" t="str">
        <f t="shared" si="37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0.3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38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39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stats'!AN313="Standard",_xlfn.XLOOKUP(_xlfn.XLOOKUP(B235,'Base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40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false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AnimalExotic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stats'!AM:AM)=1,0.1,1)*IF(AND(_xlfn.XLOOKUP(B235,'Base stats'!B:B,'Base stats'!AM:AM)=1,D235="sarg.alphaanimals"),0.5,1)/100,IF(_xlfn.XLOOKUP(B235,'Base stats'!B:B,'Base stats'!AM:AM)=1,0.001,0.025)),0.5)))</f>
        <v>2E-3</v>
      </c>
      <c r="CA235" s="25" t="str">
        <f>IF(P235="Standard","No",MAX(0.001,MIN(MROUND(IF(OR(D235="sarg.alphaanimals",AND(BJ235="True",CC235="False")),POWER(10,3.47*LOG10(_xlfn.XLOOKUP(B235,'Base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41"/>
        <v>True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1385</v>
      </c>
      <c r="B236" s="6" t="str">
        <f>_xlfn.XLOOKUP(A236,'Base stats'!A:A,'Base stats'!B:B)</f>
        <v>Caridea sanguinea</v>
      </c>
      <c r="C236" s="28" t="s">
        <v>1386</v>
      </c>
      <c r="D236" s="28" t="s">
        <v>1348</v>
      </c>
      <c r="E236" s="28" t="s">
        <v>674</v>
      </c>
      <c r="F236" s="28" t="s">
        <v>674</v>
      </c>
      <c r="G236" s="28" t="s">
        <v>674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35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FrontLeftPaw, FrontRightPaw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35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36"/>
        <v>0.2</v>
      </c>
      <c r="AV236" s="8">
        <f>IFERROR(IFERROR(MROUND(_xlfn.XLOOKUP(B236,'Base stats'!B:B,'Base stats'!J:J),0.1),"Lay eggs"),"Cannot breed")</f>
        <v>4</v>
      </c>
      <c r="AW236" s="2" t="str">
        <f t="shared" si="37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0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38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39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stats'!AN302="Standard",_xlfn.XLOOKUP(_xlfn.XLOOKUP(B236,'Base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40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/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stats'!AM:AM)=1,0.1,1)*IF(AND(_xlfn.XLOOKUP(B236,'Base stats'!B:B,'Base stats'!AM:AM)=1,D236="sarg.alphaanimals"),0.5,1)/100,IF(_xlfn.XLOOKUP(B236,'Base stats'!B:B,'Base stats'!AM:AM)=1,0.001,0.025)),0.5)))</f>
        <v>3.0000000000000001E-3</v>
      </c>
      <c r="CA236" s="25" t="str">
        <f>IF(P236="Standard","No",MAX(0.001,MIN(MROUND(IF(OR(D236="sarg.alphaanimals",AND(BJ236="True",CC236="False")),POWER(10,3.47*LOG10(_xlfn.XLOOKUP(B236,'Base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41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1387</v>
      </c>
      <c r="B237" s="6" t="str">
        <f>_xlfn.XLOOKUP(A237,'Base stats'!A:A,'Base stats'!B:B)</f>
        <v>Bombos vivificalis</v>
      </c>
      <c r="C237" s="28" t="s">
        <v>1388</v>
      </c>
      <c r="D237" s="28" t="s">
        <v>1348</v>
      </c>
      <c r="E237" s="28" t="s">
        <v>674</v>
      </c>
      <c r="F237" s="28" t="s">
        <v>674</v>
      </c>
      <c r="G237" s="28" t="s">
        <v>674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35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36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37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38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39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stats'!AN326="Standard",_xlfn.XLOOKUP(_xlfn.XLOOKUP(B237,'Base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40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stats'!AM:AM)=1,0.1,1)*IF(AND(_xlfn.XLOOKUP(B237,'Base stats'!B:B,'Base stats'!AM:AM)=1,D237="sarg.alphaanimals"),0.5,1)/100,IF(_xlfn.XLOOKUP(B237,'Base stats'!B:B,'Base stats'!AM:AM)=1,0.001,0.025)),0.5)))</f>
        <v>2E-3</v>
      </c>
      <c r="CA237" s="25" t="str">
        <f>IF(P237="Standard","No",MAX(0.001,MIN(MROUND(IF(OR(D237="sarg.alphaanimals",AND(BJ237="True",CC237="False")),POWER(10,3.47*LOG10(_xlfn.XLOOKUP(B237,'Base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41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1389</v>
      </c>
      <c r="B238" s="6" t="str">
        <f>_xlfn.XLOOKUP(A238,'Base stats'!A:A,'Base stats'!B:B)</f>
        <v>Megacancer petreus</v>
      </c>
      <c r="C238" s="28" t="s">
        <v>1390</v>
      </c>
      <c r="D238" s="28" t="s">
        <v>1348</v>
      </c>
      <c r="E238" s="28" t="s">
        <v>674</v>
      </c>
      <c r="F238" s="28" t="s">
        <v>674</v>
      </c>
      <c r="G238" s="28" t="s">
        <v>674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1275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35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89.5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4.8000000000000007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35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36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37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0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38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39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stats'!AN295="Standard",_xlfn.XLOOKUP(_xlfn.XLOOKUP(B238,'Base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755</v>
      </c>
      <c r="BS238" s="8">
        <f t="shared" si="40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/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stats'!AM:AM)=1,0.1,1)*IF(AND(_xlfn.XLOOKUP(B238,'Base stats'!B:B,'Base stats'!AM:AM)=1,D238="sarg.alphaanimals"),0.5,1)/100,IF(_xlfn.XLOOKUP(B238,'Base stats'!B:B,'Base stats'!AM:AM)=1,0.001,0.025)),0.5)))</f>
        <v>2E-3</v>
      </c>
      <c r="CA238" s="25" t="str">
        <f>IF(P238="Standard","No",MAX(0.001,MIN(MROUND(IF(OR(D238="sarg.alphaanimals",AND(BJ238="True",CC238="False")),POWER(10,3.47*LOG10(_xlfn.XLOOKUP(B238,'Base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41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Flesh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1391</v>
      </c>
      <c r="B239" s="6" t="str">
        <f>_xlfn.XLOOKUP(A239,'Base stats'!A:A,'Base stats'!B:B)</f>
        <v>Bombus militaris</v>
      </c>
      <c r="C239" s="28" t="s">
        <v>1392</v>
      </c>
      <c r="D239" s="28" t="s">
        <v>1348</v>
      </c>
      <c r="E239" s="28" t="s">
        <v>1754</v>
      </c>
      <c r="F239" s="28" t="s">
        <v>674</v>
      </c>
      <c r="G239" s="28" t="s">
        <v>674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35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LeftPincer, RightPincer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35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36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37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CarnivoreAnimal,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ScorpionLike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0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38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39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stats'!AN207="Standard",_xlfn.XLOOKUP(_xlfn.XLOOKUP(B239,'Base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40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/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stats'!AM:AM)=1,0.1,1)*IF(AND(_xlfn.XLOOKUP(B239,'Base stats'!B:B,'Base stats'!AM:AM)=1,D239="sarg.alphaanimals"),0.5,1)/100,IF(_xlfn.XLOOKUP(B239,'Base stats'!B:B,'Base stats'!AM:AM)=1,0.001,0.025)),0.5)))</f>
        <v>4.0000000000000001E-3</v>
      </c>
      <c r="CA239" s="25" t="str">
        <f>IF(P239="Standard","No",MAX(0.001,MIN(MROUND(IF(OR(D239="sarg.alphaanimals",AND(BJ239="True",CC239="False")),POWER(10,3.47*LOG10(_xlfn.XLOOKUP(B239,'Base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41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1393</v>
      </c>
      <c r="B240" s="6" t="str">
        <f>_xlfn.XLOOKUP(A240,'Base stats'!A:A,'Base stats'!B:B)</f>
        <v>Bombus militaris (hierophant)</v>
      </c>
      <c r="C240" s="28" t="s">
        <v>1394</v>
      </c>
      <c r="D240" s="28" t="s">
        <v>1348</v>
      </c>
      <c r="E240" s="28" t="s">
        <v>1754</v>
      </c>
      <c r="F240" s="28" t="s">
        <v>674</v>
      </c>
      <c r="G240" s="28" t="s">
        <v>674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35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LeftPincer, RightPincer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35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36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37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CarnivoreAnimal,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ScorpionLike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0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38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39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stats'!AN208="Standard",_xlfn.XLOOKUP(_xlfn.XLOOKUP(B240,'Base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40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/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stats'!AM:AM)=1,0.1,1)*IF(AND(_xlfn.XLOOKUP(B240,'Base stats'!B:B,'Base stats'!AM:AM)=1,D240="sarg.alphaanimals"),0.5,1)/100,IF(_xlfn.XLOOKUP(B240,'Base stats'!B:B,'Base stats'!AM:AM)=1,0.001,0.025)),0.5)))</f>
        <v>4.0000000000000001E-3</v>
      </c>
      <c r="CA240" s="25" t="str">
        <f>IF(P240="Standard","No",MAX(0.001,MIN(MROUND(IF(OR(D240="sarg.alphaanimals",AND(BJ240="True",CC240="False")),POWER(10,3.47*LOG10(_xlfn.XLOOKUP(B240,'Base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41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1395</v>
      </c>
      <c r="B241" s="6" t="str">
        <f>_xlfn.XLOOKUP(A241,'Base stats'!A:A,'Base stats'!B:B)</f>
        <v>Bombus militaris (queen)</v>
      </c>
      <c r="C241" s="28" t="s">
        <v>1396</v>
      </c>
      <c r="D241" s="28" t="s">
        <v>1348</v>
      </c>
      <c r="E241" s="28" t="s">
        <v>1754</v>
      </c>
      <c r="F241" s="28" t="s">
        <v>674</v>
      </c>
      <c r="G241" s="28" t="s">
        <v>674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LeftPincer, RightPincer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35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36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37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CarnivoreAnimal,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ScorpionLike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0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38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39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stats'!AN234="Standard",_xlfn.XLOOKUP(_xlfn.XLOOKUP(B241,'Base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40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stats'!AM:AM)=1,0.1,1)*IF(AND(_xlfn.XLOOKUP(B241,'Base stats'!B:B,'Base stats'!AM:AM)=1,D241="sarg.alphaanimals"),0.5,1)/100,IF(_xlfn.XLOOKUP(B241,'Base stats'!B:B,'Base stats'!AM:AM)=1,0.001,0.025)),0.5)))</f>
        <v>3.0000000000000001E-3</v>
      </c>
      <c r="CA241" s="25" t="str">
        <f>IF(P241="Standard","No",MAX(0.001,MIN(MROUND(IF(OR(D241="sarg.alphaanimals",AND(BJ241="True",CC241="False")),POWER(10,3.47*LOG10(_xlfn.XLOOKUP(B241,'Base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41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1397</v>
      </c>
      <c r="B242" s="6" t="str">
        <f>_xlfn.XLOOKUP(A242,'Base stats'!A:A,'Base stats'!B:B)</f>
        <v>Hystrix succulentis</v>
      </c>
      <c r="C242" s="28" t="s">
        <v>1398</v>
      </c>
      <c r="D242" s="28" t="s">
        <v>1348</v>
      </c>
      <c r="E242" s="28" t="s">
        <v>674</v>
      </c>
      <c r="F242" s="28" t="s">
        <v>674</v>
      </c>
      <c r="G242" s="28" t="s">
        <v>674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35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35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36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37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38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39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stats'!AN235="Standard",_xlfn.XLOOKUP(_xlfn.XLOOKUP(B242,'Base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40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/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stats'!AM:AM)=1,0.1,1)*IF(AND(_xlfn.XLOOKUP(B242,'Base stats'!B:B,'Base stats'!AM:AM)=1,D242="sarg.alphaanimals"),0.5,1)/100,IF(_xlfn.XLOOKUP(B242,'Base stats'!B:B,'Base stats'!AM:AM)=1,0.001,0.025)),0.5)))</f>
        <v>4.0000000000000001E-3</v>
      </c>
      <c r="CA242" s="25" t="str">
        <f>IF(P242="Standard","No",MAX(0.001,MIN(MROUND(IF(OR(D242="sarg.alphaanimals",AND(BJ242="True",CC242="False")),POWER(10,3.47*LOG10(_xlfn.XLOOKUP(B242,'Base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41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1399</v>
      </c>
      <c r="B243" s="6" t="str">
        <f>_xlfn.XLOOKUP(A243,'Base stats'!A:A,'Base stats'!B:B)</f>
        <v>Bos chamaeleon</v>
      </c>
      <c r="C243" s="28" t="s">
        <v>1400</v>
      </c>
      <c r="D243" s="28" t="s">
        <v>1348</v>
      </c>
      <c r="E243" s="28" t="s">
        <v>674</v>
      </c>
      <c r="F243" s="28" t="s">
        <v>674</v>
      </c>
      <c r="G243" s="28" t="s">
        <v>674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-35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35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35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36"/>
        <v>0.2</v>
      </c>
      <c r="AV243" s="8">
        <f>IFERROR(IFERROR(MROUND(_xlfn.XLOOKUP(B243,'Base stats'!B:B,'Base stats'!J:J),0.1),"Lay eggs"),"Cannot breed")</f>
        <v>1</v>
      </c>
      <c r="AW243" s="2" t="str">
        <f t="shared" si="37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38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39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stats'!AN319="Standard",_xlfn.XLOOKUP(_xlfn.XLOOKUP(B243,'Base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40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/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stats'!AM:AM)=1,0.1,1)*IF(AND(_xlfn.XLOOKUP(B243,'Base stats'!B:B,'Base stats'!AM:AM)=1,D243="sarg.alphaanimals"),0.5,1)/100,IF(_xlfn.XLOOKUP(B243,'Base stats'!B:B,'Base stats'!AM:AM)=1,0.001,0.025)),0.5)))</f>
        <v>2E-3</v>
      </c>
      <c r="CA243" s="25" t="str">
        <f>IF(P243="Standard","No",MAX(0.001,MIN(MROUND(IF(OR(D243="sarg.alphaanimals",AND(BJ243="True",CC243="False")),POWER(10,3.47*LOG10(_xlfn.XLOOKUP(B243,'Base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41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1401</v>
      </c>
      <c r="B244" s="6" t="str">
        <f>_xlfn.XLOOKUP(A244,'Base stats'!A:A,'Base stats'!B:B)</f>
        <v>Formica chemurgica</v>
      </c>
      <c r="C244" s="28" t="s">
        <v>1402</v>
      </c>
      <c r="D244" s="28" t="s">
        <v>1348</v>
      </c>
      <c r="E244" s="28" t="s">
        <v>1754</v>
      </c>
      <c r="F244" s="28" t="s">
        <v>674</v>
      </c>
      <c r="G244" s="28" t="s">
        <v>674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850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35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36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37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OmnivoreRoughAnimal, OvivoreAnimal</v>
      </c>
      <c r="AZ244" s="2">
        <f>IF(_xlfn.XLOOKUP(_xlfn.XLOOKUP(B244,'Base stats'!B:B,'Base stats'!E:E),Groups!A:A,Groups!D:D)=1,MROUND((1-J244)*5+1,2)*IF(J244&lt;=0.4,2,1),"No")</f>
        <v>2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1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None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38"/>
        <v>0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39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stats'!AN316="Standard",_xlfn.XLOOKUP(_xlfn.XLOOKUP(B244,'Base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40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/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stats'!AM:AM)=1,0.1,1)*IF(AND(_xlfn.XLOOKUP(B244,'Base stats'!B:B,'Base stats'!AM:AM)=1,D244="sarg.alphaanimals"),0.5,1)/100,IF(_xlfn.XLOOKUP(B244,'Base stats'!B:B,'Base stats'!AM:AM)=1,0.001,0.025)),0.5)))</f>
        <v>1E-3</v>
      </c>
      <c r="CA244" s="25" t="str">
        <f>IF(P244="Standard","No",MAX(0.001,MIN(MROUND(IF(OR(D244="sarg.alphaanimals",AND(BJ244="True",CC244="False")),POWER(10,3.47*LOG10(_xlfn.XLOOKUP(B244,'Base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41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Bone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1403</v>
      </c>
      <c r="B245" s="6" t="str">
        <f>_xlfn.XLOOKUP(A245,'Base stats'!A:A,'Base stats'!B:B)</f>
        <v>Araneodraco ignis</v>
      </c>
      <c r="C245" s="28" t="s">
        <v>1404</v>
      </c>
      <c r="D245" s="28" t="s">
        <v>1348</v>
      </c>
      <c r="E245" s="28" t="s">
        <v>1754</v>
      </c>
      <c r="F245" s="28" t="s">
        <v>674</v>
      </c>
      <c r="G245" s="28" t="s">
        <v>674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35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35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36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37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0.3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38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39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stats'!AN209="Standard",_xlfn.XLOOKUP(_xlfn.XLOOKUP(B245,'Base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40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/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stats'!AM:AM)=1,0.1,1)*IF(AND(_xlfn.XLOOKUP(B245,'Base stats'!B:B,'Base stats'!AM:AM)=1,D245="sarg.alphaanimals"),0.5,1)/100,IF(_xlfn.XLOOKUP(B245,'Base stats'!B:B,'Base stats'!AM:AM)=1,0.001,0.025)),0.5)))</f>
        <v>2E-3</v>
      </c>
      <c r="CA245" s="25" t="str">
        <f>IF(P245="Standard","No",MAX(0.001,MIN(MROUND(IF(OR(D245="sarg.alphaanimals",AND(BJ245="True",CC245="False")),POWER(10,3.47*LOG10(_xlfn.XLOOKUP(B245,'Base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41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1405</v>
      </c>
      <c r="B246" s="6" t="str">
        <f>_xlfn.XLOOKUP(A246,'Base stats'!A:A,'Base stats'!B:B)</f>
        <v>Coleoptera crepusculi</v>
      </c>
      <c r="C246" s="28" t="s">
        <v>1406</v>
      </c>
      <c r="D246" s="28" t="s">
        <v>1348</v>
      </c>
      <c r="E246" s="28" t="s">
        <v>1754</v>
      </c>
      <c r="F246" s="28" t="s">
        <v>674</v>
      </c>
      <c r="G246" s="28" t="s">
        <v>674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35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36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37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OmnivoreRoughAnimal, OvivoreAnimal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1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38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39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stats'!AN210="Standard",_xlfn.XLOOKUP(_xlfn.XLOOKUP(B246,'Base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40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/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stats'!AM:AM)=1,0.1,1)*IF(AND(_xlfn.XLOOKUP(B246,'Base stats'!B:B,'Base stats'!AM:AM)=1,D246="sarg.alphaanimals"),0.5,1)/100,IF(_xlfn.XLOOKUP(B246,'Base stats'!B:B,'Base stats'!AM:AM)=1,0.001,0.025)),0.5)))</f>
        <v>2E-3</v>
      </c>
      <c r="CA246" s="25" t="str">
        <f>IF(P246="Standard","No",MAX(0.001,MIN(MROUND(IF(OR(D246="sarg.alphaanimals",AND(BJ246="True",CC246="False")),POWER(10,3.47*LOG10(_xlfn.XLOOKUP(B246,'Base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41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Bone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1407</v>
      </c>
      <c r="B247" s="6" t="str">
        <f>_xlfn.XLOOKUP(A247,'Base stats'!A:A,'Base stats'!B:B)</f>
        <v>Anolis audiens</v>
      </c>
      <c r="C247" s="28" t="s">
        <v>1408</v>
      </c>
      <c r="D247" s="28" t="s">
        <v>1348</v>
      </c>
      <c r="E247" s="28" t="s">
        <v>674</v>
      </c>
      <c r="F247" s="28" t="s">
        <v>674</v>
      </c>
      <c r="G247" s="28" t="s">
        <v>674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35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14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35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36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37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38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39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stats'!AN264="Standard",_xlfn.XLOOKUP(_xlfn.XLOOKUP(B247,'Base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160</v>
      </c>
      <c r="BS247" s="8">
        <f t="shared" si="40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/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stats'!AM:AM)=1,0.1,1)*IF(AND(_xlfn.XLOOKUP(B247,'Base stats'!B:B,'Base stats'!AM:AM)=1,D247="sarg.alphaanimals"),0.5,1)/100,IF(_xlfn.XLOOKUP(B247,'Base stats'!B:B,'Base stats'!AM:AM)=1,0.001,0.025)),0.5)))</f>
        <v>3.0000000000000001E-3</v>
      </c>
      <c r="CA247" s="25" t="str">
        <f>IF(P247="Standard","No",MAX(0.001,MIN(MROUND(IF(OR(D247="sarg.alphaanimals",AND(BJ247="True",CC247="False")),POWER(10,3.47*LOG10(_xlfn.XLOOKUP(B247,'Base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41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Flesh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1411</v>
      </c>
      <c r="B248" s="6" t="str">
        <f>_xlfn.XLOOKUP(A248,'Base stats'!A:A,'Base stats'!B:B)</f>
        <v>Caracal crystallinus</v>
      </c>
      <c r="C248" s="28" t="s">
        <v>1412</v>
      </c>
      <c r="D248" s="28" t="s">
        <v>1348</v>
      </c>
      <c r="E248" s="28" t="s">
        <v>674</v>
      </c>
      <c r="F248" s="28" t="s">
        <v>674</v>
      </c>
      <c r="G248" s="28" t="s">
        <v>674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40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35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36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37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38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39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stats'!AN286="Standard",_xlfn.XLOOKUP(_xlfn.XLOOKUP(B248,'Base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40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/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stats'!AM:AM)=1,0.1,1)*IF(AND(_xlfn.XLOOKUP(B248,'Base stats'!B:B,'Base stats'!AM:AM)=1,D248="sarg.alphaanimals"),0.5,1)/100,IF(_xlfn.XLOOKUP(B248,'Base stats'!B:B,'Base stats'!AM:AM)=1,0.001,0.025)),0.5)))</f>
        <v>4.0000000000000001E-3</v>
      </c>
      <c r="CA248" s="25" t="str">
        <f>IF(P248="Standard","No",MAX(0.001,MIN(MROUND(IF(OR(D248="sarg.alphaanimals",AND(BJ248="True",CC248="False")),POWER(10,3.47*LOG10(_xlfn.XLOOKUP(B248,'Base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41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1409</v>
      </c>
      <c r="B249" s="6" t="str">
        <f>_xlfn.XLOOKUP(A249,'Base stats'!A:A,'Base stats'!B:B)</f>
        <v>Acarus crystallis</v>
      </c>
      <c r="C249" s="28" t="s">
        <v>1410</v>
      </c>
      <c r="D249" s="28" t="s">
        <v>1348</v>
      </c>
      <c r="E249" s="28" t="s">
        <v>674</v>
      </c>
      <c r="F249" s="28" t="s">
        <v>674</v>
      </c>
      <c r="G249" s="28" t="s">
        <v>674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100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35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1.9000000000000001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35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36"/>
        <v>0.2</v>
      </c>
      <c r="AV249" s="8">
        <f>IFERROR(IFERROR(MROUND(_xlfn.XLOOKUP(B249,'Base stats'!B:B,'Base stats'!J:J),0.1),"Lay eggs"),"Cannot breed")</f>
        <v>2</v>
      </c>
      <c r="AW249" s="2" t="str">
        <f t="shared" si="37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0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38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39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stats'!AN266="Standard",_xlfn.XLOOKUP(_xlfn.XLOOKUP(B249,'Base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60</v>
      </c>
      <c r="BS249" s="8">
        <f t="shared" si="40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/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stats'!AM:AM)=1,0.1,1)*IF(AND(_xlfn.XLOOKUP(B249,'Base stats'!B:B,'Base stats'!AM:AM)=1,D249="sarg.alphaanimals"),0.5,1)/100,IF(_xlfn.XLOOKUP(B249,'Base stats'!B:B,'Base stats'!AM:AM)=1,0.001,0.025)),0.5)))</f>
        <v>4.0000000000000001E-3</v>
      </c>
      <c r="CA249" s="25" t="str">
        <f>IF(P249="Standard","No",MAX(0.001,MIN(MROUND(IF(OR(D249="sarg.alphaanimals",AND(BJ249="True",CC249="False")),POWER(10,3.47*LOG10(_xlfn.XLOOKUP(B249,'Base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41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Flesh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1415</v>
      </c>
      <c r="B250" s="6" t="str">
        <f>_xlfn.XLOOKUP(A250,'Base stats'!A:A,'Base stats'!B:B)</f>
        <v>Bestia nigra</v>
      </c>
      <c r="C250" s="28" t="s">
        <v>1416</v>
      </c>
      <c r="D250" s="28" t="s">
        <v>1348</v>
      </c>
      <c r="E250" s="28" t="s">
        <v>674</v>
      </c>
      <c r="F250" s="28" t="s">
        <v>674</v>
      </c>
      <c r="G250" s="28" t="s">
        <v>674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1225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35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16</v>
      </c>
      <c r="AE250" s="7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2.2000000000000002</v>
      </c>
      <c r="AF250" s="7" t="str">
        <f>IF(AD250="No","No",_xlfn.XLOOKUP(_xlfn.XLOOKUP(B250,'Base stats'!B:B,'Base stats'!E:E),Groups!A:A,Groups!AA:AA))</f>
        <v>Teeth</v>
      </c>
      <c r="AG250" s="7" t="str">
        <f>IF(AD250="No","No",_xlfn.XLOOKUP(_xlfn.XLOOKUP(B250,'Base stats'!B:B,'Base stats'!E:E),Groups!A:A,Groups!AB:AB))</f>
        <v>teeth</v>
      </c>
      <c r="AH250" s="7" t="str">
        <f>IF(AD250="No","No",_xlfn.XLOOKUP(_xlfn.XLOOKUP(B250,'Base stats'!B:B,'Base stats'!E:E),Groups!A:A,Groups!AC:AC))</f>
        <v>Bite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35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36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37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QuadrupedAnimalWithHoovesTailAndHorn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38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39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stats'!AN232="Standard",_xlfn.XLOOKUP(_xlfn.XLOOKUP(B250,'Base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340</v>
      </c>
      <c r="BS250" s="8">
        <f t="shared" si="40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/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stats'!AM:AM)=1,0.1,1)*IF(AND(_xlfn.XLOOKUP(B250,'Base stats'!B:B,'Base stats'!AM:AM)=1,D250="sarg.alphaanimals"),0.5,1)/100,IF(_xlfn.XLOOKUP(B250,'Base stats'!B:B,'Base stats'!AM:AM)=1,0.001,0.025)),0.5)))</f>
        <v>2E-3</v>
      </c>
      <c r="CA250" s="25" t="str">
        <f>IF(P250="Standard","No",MAX(0.001,MIN(MROUND(IF(OR(D250="sarg.alphaanimals",AND(BJ250="True",CC250="False")),POWER(10,3.47*LOG10(_xlfn.XLOOKUP(B250,'Base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41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1413</v>
      </c>
      <c r="B251" s="6" t="str">
        <f>_xlfn.XLOOKUP(A251,'Base stats'!A:A,'Base stats'!B:B)</f>
        <v>Vandalis tenebrosus</v>
      </c>
      <c r="C251" s="28" t="s">
        <v>1414</v>
      </c>
      <c r="D251" s="28" t="s">
        <v>1348</v>
      </c>
      <c r="E251" s="28" t="s">
        <v>674</v>
      </c>
      <c r="F251" s="28" t="s">
        <v>674</v>
      </c>
      <c r="G251" s="28" t="s">
        <v>674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875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0.95</v>
      </c>
      <c r="K251" s="2">
        <f>ROUNDUP(AO251*_xlfn.XLOOKUP(_xlfn.XLOOKUP(B251,'Base stats'!B:B,'Base stats'!E:E),Groups!A:A,Groups!E:E),0)</f>
        <v>3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14</v>
      </c>
      <c r="R251" s="7">
        <f>IF(Q251="No","No",MAX(1,MROUND(_xlfn.XLOOKUP(B251,'Base stats'!B:B,'Base stats'!C:C)^0.165,0.05)))</f>
        <v>2.6500000000000004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22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2.1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20.5</v>
      </c>
      <c r="AJ251" s="7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1.7000000000000002</v>
      </c>
      <c r="AK251" s="7" t="str">
        <f>IF(AI251="No","No",_xlfn.XLOOKUP(_xlfn.XLOOKUP(B251,'Base stats'!B:B,'Base stats'!E:E),Groups!A:A,Groups!AF:AF))</f>
        <v>FrontLeftPaw, FrontRightPaw</v>
      </c>
      <c r="AL251" s="7" t="str">
        <f>IF(AI251="No","No",_xlfn.XLOOKUP(_xlfn.XLOOKUP(B251,'Base stats'!B:B,'Base stats'!E:E),Groups!A:A,Groups!AG:AG))</f>
        <v>left claw, right claw</v>
      </c>
      <c r="AM251" s="7" t="str">
        <f>IF(AI251="No","No",_xlfn.XLOOKUP(_xlfn.XLOOKUP(B251,'Base stats'!B:B,'Base stats'!E:E),Groups!A:A,Groups!AH:AH))</f>
        <v>Scratch</v>
      </c>
      <c r="AN251" s="2">
        <f t="shared" si="35"/>
        <v>30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2.5</v>
      </c>
      <c r="AP251" s="8">
        <f>MROUND(AO251*_xlfn.XLOOKUP(_xlfn.XLOOKUP(B251,'Base stats'!B:B,'Base stats'!E:E),Groups!A:A,Groups!AI:AI)*_xlfn.XLOOKUP(B251,'Base stats'!B:B,'Base stats'!Z:Z),0.05)</f>
        <v>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1.05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10.5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36"/>
        <v>0.4</v>
      </c>
      <c r="AV251" s="8">
        <f>IFERROR(IFERROR(MROUND(_xlfn.XLOOKUP(B251,'Base stats'!B:B,'Base stats'!J:J),0.1),"Lay eggs"),"Cannot breed")</f>
        <v>1</v>
      </c>
      <c r="AW251" s="2" t="str">
        <f t="shared" si="37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&lt;li&gt;Pig&lt;/li&gt;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Intermediate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6.5</v>
      </c>
      <c r="BL251" s="2">
        <f t="shared" si="38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39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stats'!AN233="Standard",_xlfn.XLOOKUP(_xlfn.XLOOKUP(B251,'Base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285</v>
      </c>
      <c r="BS251" s="8">
        <f t="shared" si="40"/>
        <v>1.35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AnimalUncommon,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/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stats'!AM:AM)=1,0.1,1)*IF(AND(_xlfn.XLOOKUP(B251,'Base stats'!B:B,'Base stats'!AM:AM)=1,D251="sarg.alphaanimals"),0.5,1)/100,IF(_xlfn.XLOOKUP(B251,'Base stats'!B:B,'Base stats'!AM:AM)=1,0.001,0.025)),0.5)))</f>
        <v>2E-3</v>
      </c>
      <c r="CA251" s="25" t="str">
        <f>IF(P251="Standard","No",MAX(0.001,MIN(MROUND(IF(OR(D251="sarg.alphaanimals",AND(BJ251="True",CC251="False")),POWER(10,3.47*LOG10(_xlfn.XLOOKUP(B251,'Base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41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1417</v>
      </c>
      <c r="B252" s="6" t="str">
        <f>_xlfn.XLOOKUP(A252,'Base stats'!A:A,'Base stats'!B:B)</f>
        <v>Draco putrefactus</v>
      </c>
      <c r="C252" s="28" t="s">
        <v>1418</v>
      </c>
      <c r="D252" s="28" t="s">
        <v>1348</v>
      </c>
      <c r="E252" s="28" t="s">
        <v>674</v>
      </c>
      <c r="F252" s="28" t="s">
        <v>674</v>
      </c>
      <c r="G252" s="28" t="s">
        <v>674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750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5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35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0.8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0.85000000000000009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FrontLeftClaws, FrontRightClaws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35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0.15000000000000002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36"/>
        <v>0.2</v>
      </c>
      <c r="AV252" s="8">
        <f>IFERROR(IFERROR(MROUND(_xlfn.XLOOKUP(B252,'Base stats'!B:B,'Base stats'!J:J),0.1),"Lay eggs"),"Cannot breed")</f>
        <v>2</v>
      </c>
      <c r="AW252" s="2" t="str">
        <f t="shared" si="37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Advanced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38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39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stats'!AN220="Standard",_xlfn.XLOOKUP(_xlfn.XLOOKUP(B252,'Base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190</v>
      </c>
      <c r="BS252" s="8">
        <f t="shared" si="40"/>
        <v>0.30000000000000004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/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stats'!AM:AM)=1,0.1,1)*IF(AND(_xlfn.XLOOKUP(B252,'Base stats'!B:B,'Base stats'!AM:AM)=1,D252="sarg.alphaanimals"),0.5,1)/100,IF(_xlfn.XLOOKUP(B252,'Base stats'!B:B,'Base stats'!AM:AM)=1,0.001,0.025)),0.5)))</f>
        <v>3.0000000000000001E-3</v>
      </c>
      <c r="CA252" s="25" t="str">
        <f>IF(P252="Standard","No",MAX(0.001,MIN(MROUND(IF(OR(D252="sarg.alphaanimals",AND(BJ252="True",CC252="False")),POWER(10,3.47*LOG10(_xlfn.XLOOKUP(B252,'Base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True</v>
      </c>
      <c r="CD252" s="25" t="str">
        <f t="shared" si="41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1419</v>
      </c>
      <c r="B253" s="6" t="str">
        <f>_xlfn.XLOOKUP(A253,'Base stats'!A:A,'Base stats'!B:B)</f>
        <v>Avis desertum</v>
      </c>
      <c r="C253" s="28" t="s">
        <v>1420</v>
      </c>
      <c r="D253" s="28" t="s">
        <v>1348</v>
      </c>
      <c r="E253" s="28" t="s">
        <v>674</v>
      </c>
      <c r="F253" s="28" t="s">
        <v>674</v>
      </c>
      <c r="G253" s="28" t="s">
        <v>674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1075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-15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35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88.5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35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36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37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Advanced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38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39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stats'!AN298="Standard",_xlfn.XLOOKUP(_xlfn.XLOOKUP(B253,'Base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305</v>
      </c>
      <c r="BS253" s="8">
        <f t="shared" si="40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/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stats'!AM:AM)=1,0.1,1)*IF(AND(_xlfn.XLOOKUP(B253,'Base stats'!B:B,'Base stats'!AM:AM)=1,D253="sarg.alphaanimals"),0.5,1)/100,IF(_xlfn.XLOOKUP(B253,'Base stats'!B:B,'Base stats'!AM:AM)=1,0.001,0.025)),0.5)))</f>
        <v>3.0000000000000001E-3</v>
      </c>
      <c r="CA253" s="25" t="str">
        <f>IF(P253="Standard","No",MAX(0.001,MIN(MROUND(IF(OR(D253="sarg.alphaanimals",AND(BJ253="True",CC253="False")),POWER(10,3.47*LOG10(_xlfn.XLOOKUP(B253,'Base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41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1421</v>
      </c>
      <c r="B254" s="6" t="str">
        <f>_xlfn.XLOOKUP(A254,'Base stats'!A:A,'Base stats'!B:B)</f>
        <v>Ovis malignus</v>
      </c>
      <c r="C254" s="28" t="s">
        <v>1422</v>
      </c>
      <c r="D254" s="28" t="s">
        <v>1348</v>
      </c>
      <c r="E254" s="28" t="s">
        <v>674</v>
      </c>
      <c r="F254" s="28" t="s">
        <v>674</v>
      </c>
      <c r="G254" s="28" t="s">
        <v>674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35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36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37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38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39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stats'!AN299="Standard",_xlfn.XLOOKUP(_xlfn.XLOOKUP(B254,'Base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40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stats'!AM:AM)=1,0.1,1)*IF(AND(_xlfn.XLOOKUP(B254,'Base stats'!B:B,'Base stats'!AM:AM)=1,D254="sarg.alphaanimals"),0.5,1)/100,IF(_xlfn.XLOOKUP(B254,'Base stats'!B:B,'Base stats'!AM:AM)=1,0.001,0.025)),0.5)))</f>
        <v>3.0000000000000001E-3</v>
      </c>
      <c r="CA254" s="25" t="str">
        <f>IF(P254="Standard","No",MAX(0.001,MIN(MROUND(IF(OR(D254="sarg.alphaanimals",AND(BJ254="True",CC254="False")),POWER(10,3.47*LOG10(_xlfn.XLOOKUP(B254,'Base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41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1423</v>
      </c>
      <c r="B255" s="6" t="str">
        <f>_xlfn.XLOOKUP(A255,'Base stats'!A:A,'Base stats'!B:B)</f>
        <v>Haemophagus infinitus</v>
      </c>
      <c r="C255" s="28" t="s">
        <v>1424</v>
      </c>
      <c r="D255" s="28" t="s">
        <v>1348</v>
      </c>
      <c r="E255" s="28" t="s">
        <v>674</v>
      </c>
      <c r="F255" s="28" t="s">
        <v>674</v>
      </c>
      <c r="G255" s="28" t="s">
        <v>674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35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35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36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37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BeetleLike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38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39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stats'!AN300="Standard",_xlfn.XLOOKUP(_xlfn.XLOOKUP(B255,'Base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40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/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stats'!AM:AM)=1,0.1,1)*IF(AND(_xlfn.XLOOKUP(B255,'Base stats'!B:B,'Base stats'!AM:AM)=1,D255="sarg.alphaanimals"),0.5,1)/100,IF(_xlfn.XLOOKUP(B255,'Base stats'!B:B,'Base stats'!AM:AM)=1,0.001,0.025)),0.5)))</f>
        <v>5.0000000000000001E-3</v>
      </c>
      <c r="CA255" s="25" t="str">
        <f>IF(P255="Standard","No",MAX(0.001,MIN(MROUND(IF(OR(D255="sarg.alphaanimals",AND(BJ255="True",CC255="False")),POWER(10,3.47*LOG10(_xlfn.XLOOKUP(B255,'Base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41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1425</v>
      </c>
      <c r="B256" s="6" t="str">
        <f>_xlfn.XLOOKUP(A256,'Base stats'!A:A,'Base stats'!B:B)</f>
        <v>Haemophagus infinitus (larva)</v>
      </c>
      <c r="C256" s="28" t="s">
        <v>1426</v>
      </c>
      <c r="D256" s="28" t="s">
        <v>1348</v>
      </c>
      <c r="E256" s="28" t="s">
        <v>674</v>
      </c>
      <c r="F256" s="28" t="s">
        <v>674</v>
      </c>
      <c r="G256" s="28" t="s">
        <v>674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0.45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50</v>
      </c>
      <c r="N256" s="8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0.15000000000000002</v>
      </c>
      <c r="O256" s="8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0.05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2</v>
      </c>
      <c r="AE256" s="7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1.2</v>
      </c>
      <c r="AF256" s="7" t="str">
        <f>IF(AD256="No","No",_xlfn.XLOOKUP(_xlfn.XLOOKUP(B256,'Base stats'!B:B,'Base stats'!E:E),Groups!A:A,Groups!AA:AA))</f>
        <v>Mouth</v>
      </c>
      <c r="AG256" s="7" t="str">
        <f>IF(AD256="No","No",_xlfn.XLOOKUP(_xlfn.XLOOKUP(B256,'Base stats'!B:B,'Base stats'!E:E),Groups!A:A,Groups!AB:AB))</f>
        <v>mandibles</v>
      </c>
      <c r="AH256" s="7" t="str">
        <f>IF(AD256="No","No",_xlfn.XLOOKUP(_xlfn.XLOOKUP(B256,'Base stats'!B:B,'Base stats'!E:E),Groups!A:A,Groups!AC:AC))</f>
        <v>Bite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35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36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37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 t="str">
        <f>IF(_xlfn.XLOOKUP(_xlfn.XLOOKUP(B256,'Base stats'!B:B,'Base stats'!E:E),Groups!A:A,Groups!D:D)=1,MROUND((1-J256)*5+1,2)*IF(J256&lt;=0.4,2,1),"No")</f>
        <v>No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Larva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Intermediate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38"/>
        <v>1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39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stats'!AN328="Standard",_xlfn.XLOOKUP(_xlfn.XLOOKUP(B256,'Base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40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/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stats'!AM:AM)=1,0.1,1)*IF(AND(_xlfn.XLOOKUP(B256,'Base stats'!B:B,'Base stats'!AM:AM)=1,D256="sarg.alphaanimals"),0.5,1)/100,IF(_xlfn.XLOOKUP(B256,'Base stats'!B:B,'Base stats'!AM:AM)=1,0.001,0.025)),0.5)))</f>
        <v>1.0999999999999999E-2</v>
      </c>
      <c r="CA256" s="25" t="str">
        <f>IF(P256="Standard","No",MAX(0.001,MIN(MROUND(IF(OR(D256="sarg.alphaanimals",AND(BJ256="True",CC256="False")),POWER(10,3.47*LOG10(_xlfn.XLOOKUP(B256,'Base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41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1427</v>
      </c>
      <c r="B257" s="6" t="str">
        <f>_xlfn.XLOOKUP(A257,'Base stats'!A:A,'Base stats'!B:B)</f>
        <v>Araneodraco arenosus</v>
      </c>
      <c r="C257" s="28" t="s">
        <v>1428</v>
      </c>
      <c r="D257" s="28" t="s">
        <v>1348</v>
      </c>
      <c r="E257" s="28" t="s">
        <v>1754</v>
      </c>
      <c r="F257" s="28" t="s">
        <v>674</v>
      </c>
      <c r="G257" s="28" t="s">
        <v>674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35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35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36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37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0.3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38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39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stats'!AN325="Standard",_xlfn.XLOOKUP(_xlfn.XLOOKUP(B257,'Base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40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/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stats'!AM:AM)=1,0.1,1)*IF(AND(_xlfn.XLOOKUP(B257,'Base stats'!B:B,'Base stats'!AM:AM)=1,D257="sarg.alphaanimals"),0.5,1)/100,IF(_xlfn.XLOOKUP(B257,'Base stats'!B:B,'Base stats'!AM:AM)=1,0.001,0.025)),0.5)))</f>
        <v>2E-3</v>
      </c>
      <c r="CA257" s="25" t="str">
        <f>IF(P257="Standard","No",MAX(0.001,MIN(MROUND(IF(OR(D257="sarg.alphaanimals",AND(BJ257="True",CC257="False")),POWER(10,3.47*LOG10(_xlfn.XLOOKUP(B257,'Base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41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1429</v>
      </c>
      <c r="B258" s="6" t="str">
        <f>_xlfn.XLOOKUP(A258,'Base stats'!A:A,'Base stats'!B:B)</f>
        <v>Araneodraco arenosus (clutch mother)</v>
      </c>
      <c r="C258" s="28" t="s">
        <v>1430</v>
      </c>
      <c r="D258" s="28" t="s">
        <v>1348</v>
      </c>
      <c r="E258" s="28" t="s">
        <v>1754</v>
      </c>
      <c r="F258" s="28" t="s">
        <v>674</v>
      </c>
      <c r="G258" s="28" t="s">
        <v>674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1300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1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35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 t="str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No</v>
      </c>
      <c r="AU258" s="8" t="str">
        <f t="shared" si="36"/>
        <v>No</v>
      </c>
      <c r="AV258" s="8" t="str">
        <f>IFERROR(IFERROR(MROUND(_xlfn.XLOOKUP(B258,'Base stats'!B:B,'Base stats'!J:J),0.1),"Lay eggs"),"Cannot breed")</f>
        <v>Lay eggs</v>
      </c>
      <c r="AW258" s="2" t="str">
        <f t="shared" si="37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0.3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38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39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stats'!AN281="Standard",_xlfn.XLOOKUP(_xlfn.XLOOKUP(B258,'Base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40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false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AnimalExotic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stats'!AM:AM)=1,0.1,1)*IF(AND(_xlfn.XLOOKUP(B258,'Base stats'!B:B,'Base stats'!AM:AM)=1,D258="sarg.alphaanimals"),0.5,1)/100,IF(_xlfn.XLOOKUP(B258,'Base stats'!B:B,'Base stats'!AM:AM)=1,0.001,0.025)),0.5)))</f>
        <v>2E-3</v>
      </c>
      <c r="CA258" s="25" t="str">
        <f>IF(P258="Standard","No",MAX(0.001,MIN(MROUND(IF(OR(D258="sarg.alphaanimals",AND(BJ258="True",CC258="False")),POWER(10,3.47*LOG10(_xlfn.XLOOKUP(B258,'Base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41"/>
        <v>True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1431</v>
      </c>
      <c r="B259" s="6" t="str">
        <f>_xlfn.XLOOKUP(A259,'Base stats'!A:A,'Base stats'!B:B)</f>
        <v>Crepisculanius crepusculum</v>
      </c>
      <c r="C259" s="28" t="s">
        <v>1432</v>
      </c>
      <c r="D259" s="28" t="s">
        <v>1348</v>
      </c>
      <c r="E259" s="28" t="s">
        <v>674</v>
      </c>
      <c r="F259" s="28" t="s">
        <v>674</v>
      </c>
      <c r="G259" s="28" t="s">
        <v>674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625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8.5</v>
      </c>
      <c r="R259" s="7">
        <f>IF(Q259="No","No",MAX(1,MROUND(_xlfn.XLOOKUP(B259,'Base stats'!B:B,'Base stats'!C:C)^0.165,0.05)))</f>
        <v>2.15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1.3</v>
      </c>
      <c r="Z259" s="7" t="str">
        <f>IF(X259="No","No",_xlfn.XLOOKUP(_xlfn.XLOOKUP(B259,'Base stats'!B:B,'Base stats'!E:E),Groups!A:A,Groups!W:W))</f>
        <v>HeadAttackTool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12.5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si="35"/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1.25</v>
      </c>
      <c r="AP259" s="8">
        <f>MROUND(AO259*_xlfn.XLOOKUP(_xlfn.XLOOKUP(B259,'Base stats'!B:B,'Base stats'!E:E),Groups!A:A,Groups!AI:AI)*_xlfn.XLOOKUP(B259,'Base stats'!B:B,'Base stats'!Z:Z),0.05)</f>
        <v>1.5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si="36"/>
        <v>0.2</v>
      </c>
      <c r="AV259" s="8">
        <f>IFERROR(IFERROR(MROUND(_xlfn.XLOOKUP(B259,'Base stats'!B:B,'Base stats'!J:J),0.1),"Lay eggs"),"Cannot breed")</f>
        <v>2</v>
      </c>
      <c r="AW259" s="2" t="str">
        <f t="shared" si="37"/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QuadrupedAnimalWithPawsAndTail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2.25</v>
      </c>
      <c r="BL259" s="2">
        <f t="shared" si="38"/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si="39"/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stats'!AN284="Standard",_xlfn.XLOOKUP(_xlfn.XLOOKUP(B259,'Base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140</v>
      </c>
      <c r="BS259" s="8">
        <f t="shared" si="40"/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/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stats'!AM:AM)=1,0.1,1)*IF(AND(_xlfn.XLOOKUP(B259,'Base stats'!B:B,'Base stats'!AM:AM)=1,D259="sarg.alphaanimals"),0.5,1)/100,IF(_xlfn.XLOOKUP(B259,'Base stats'!B:B,'Base stats'!AM:AM)=1,0.001,0.025)),0.5)))</f>
        <v>3.0000000000000001E-3</v>
      </c>
      <c r="CA259" s="25" t="str">
        <f>IF(P259="Standard","No",MAX(0.001,MIN(MROUND(IF(OR(D259="sarg.alphaanimals",AND(BJ259="True",CC259="False")),POWER(10,3.47*LOG10(_xlfn.XLOOKUP(B259,'Base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si="41"/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1433</v>
      </c>
      <c r="B260" s="6" t="str">
        <f>_xlfn.XLOOKUP(A260,'Base stats'!A:A,'Base stats'!B:B)</f>
        <v>Rattus nocturnus</v>
      </c>
      <c r="C260" s="28" t="s">
        <v>1434</v>
      </c>
      <c r="D260" s="28" t="s">
        <v>1348</v>
      </c>
      <c r="E260" s="28" t="s">
        <v>674</v>
      </c>
      <c r="F260" s="28" t="s">
        <v>674</v>
      </c>
      <c r="G260" s="28" t="s">
        <v>674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35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36"/>
        <v>0.1</v>
      </c>
      <c r="AV260" s="8">
        <f>IFERROR(IFERROR(MROUND(_xlfn.XLOOKUP(B260,'Base stats'!B:B,'Base stats'!J:J),0.1),"Lay eggs"),"Cannot breed")</f>
        <v>9.9</v>
      </c>
      <c r="AW260" s="2" t="str">
        <f t="shared" si="37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8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9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stats'!AN215="Standard",_xlfn.XLOOKUP(_xlfn.XLOOKUP(B260,'Base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40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AnimalUncommon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/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stats'!AM:AM)=1,0.1,1)*IF(AND(_xlfn.XLOOKUP(B260,'Base stats'!B:B,'Base stats'!AM:AM)=1,D260="sarg.alphaanimals"),0.5,1)/100,IF(_xlfn.XLOOKUP(B260,'Base stats'!B:B,'Base stats'!AM:AM)=1,0.001,0.025)),0.5)))</f>
        <v>1.4E-2</v>
      </c>
      <c r="CA260" s="25">
        <f>IF(P260="Standard","No",MAX(0.001,MIN(MROUND(IF(OR(D260="sarg.alphaanimals",AND(BJ260="True",CC260="False")),POWER(10,3.47*LOG10(_xlfn.XLOOKUP(B260,'Base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2.3E-2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41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1435</v>
      </c>
      <c r="B261" s="6" t="str">
        <f>_xlfn.XLOOKUP(A261,'Base stats'!A:A,'Base stats'!B:B)</f>
        <v>Papilio imperatrix</v>
      </c>
      <c r="C261" s="28" t="s">
        <v>1436</v>
      </c>
      <c r="D261" s="28" t="s">
        <v>1348</v>
      </c>
      <c r="E261" s="28" t="s">
        <v>1754</v>
      </c>
      <c r="F261" s="28" t="s">
        <v>674</v>
      </c>
      <c r="G261" s="28" t="s">
        <v>674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35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ref="AN261:AN320" si="42">IF(BJ261="false","No",MROUND(AO261*5+15*1,5))</f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ref="AU261:AU320" si="43">IF(AT261="No","No",IFERROR(MROUND(AT261/2,0.05),"Unknown"))</f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ref="AW261:AW320" si="44">IF(BT261="No","false","true")</f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BeetleLike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ref="BL261:BL320" si="45">IF(BI261&lt;&gt;"None",1,0)</f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ref="BN261:BN320" si="46">IF(OR(BM261&lt;&gt;"No",BQ261=1),"true","false")</f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stats'!AN257="Standard",_xlfn.XLOOKUP(_xlfn.XLOOKUP(B261,'Base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ref="BS261:BS320" si="47">MROUND(AO261 * 0.2 + AQ261 * 0.8,0.05)</f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/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stats'!AM:AM)=1,0.1,1)*IF(AND(_xlfn.XLOOKUP(B261,'Base stats'!B:B,'Base stats'!AM:AM)=1,D261="sarg.alphaanimals"),0.5,1)/100,IF(_xlfn.XLOOKUP(B261,'Base stats'!B:B,'Base stats'!AM:AM)=1,0.001,0.025)),0.5)))</f>
        <v>3.0000000000000001E-3</v>
      </c>
      <c r="CA261" s="25" t="str">
        <f>IF(P261="Standard","No",MAX(0.001,MIN(MROUND(IF(OR(D261="sarg.alphaanimals",AND(BJ261="True",CC261="False")),POWER(10,3.47*LOG10(_xlfn.XLOOKUP(B261,'Base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ref="CD261:CD320" si="48">IF(J261&gt;0.95,"True","False")</f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1437</v>
      </c>
      <c r="B262" s="6" t="str">
        <f>_xlfn.XLOOKUP(A262,'Base stats'!A:A,'Base stats'!B:B)</f>
        <v>Papilio imperatrix (larva)</v>
      </c>
      <c r="C262" s="28" t="s">
        <v>1438</v>
      </c>
      <c r="D262" s="28" t="s">
        <v>1348</v>
      </c>
      <c r="E262" s="28" t="s">
        <v>1754</v>
      </c>
      <c r="F262" s="28" t="s">
        <v>674</v>
      </c>
      <c r="G262" s="28" t="s">
        <v>674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0.45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50</v>
      </c>
      <c r="N262" s="8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0.15000000000000002</v>
      </c>
      <c r="O262" s="8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0.05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2</v>
      </c>
      <c r="AE262" s="7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1.2</v>
      </c>
      <c r="AF262" s="7" t="str">
        <f>IF(AD262="No","No",_xlfn.XLOOKUP(_xlfn.XLOOKUP(B262,'Base stats'!B:B,'Base stats'!E:E),Groups!A:A,Groups!AA:AA))</f>
        <v>Mouth</v>
      </c>
      <c r="AG262" s="7" t="str">
        <f>IF(AD262="No","No",_xlfn.XLOOKUP(_xlfn.XLOOKUP(B262,'Base stats'!B:B,'Base stats'!E:E),Groups!A:A,Groups!AB:AB))</f>
        <v>mandibles</v>
      </c>
      <c r="AH262" s="7" t="str">
        <f>IF(AD262="No","No",_xlfn.XLOOKUP(_xlfn.XLOOKUP(B262,'Base stats'!B:B,'Base stats'!E:E),Groups!A:A,Groups!AC:AC))</f>
        <v>Bite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42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43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44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 t="str">
        <f>IF(_xlfn.XLOOKUP(_xlfn.XLOOKUP(B262,'Base stats'!B:B,'Base stats'!E:E),Groups!A:A,Groups!D:D)=1,MROUND((1-J262)*5+1,2)*IF(J262&lt;=0.4,2,1),"No")</f>
        <v>No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Larva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Intermediate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45"/>
        <v>1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46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stats'!AN273="Standard",_xlfn.XLOOKUP(_xlfn.XLOOKUP(B262,'Base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47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/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stats'!AM:AM)=1,0.1,1)*IF(AND(_xlfn.XLOOKUP(B262,'Base stats'!B:B,'Base stats'!AM:AM)=1,D262="sarg.alphaanimals"),0.5,1)/100,IF(_xlfn.XLOOKUP(B262,'Base stats'!B:B,'Base stats'!AM:AM)=1,0.001,0.025)),0.5)))</f>
        <v>1.0999999999999999E-2</v>
      </c>
      <c r="CA262" s="25" t="str">
        <f>IF(P262="Standard","No",MAX(0.001,MIN(MROUND(IF(OR(D262="sarg.alphaanimals",AND(BJ262="True",CC262="False")),POWER(10,3.47*LOG10(_xlfn.XLOOKUP(B262,'Base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48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1439</v>
      </c>
      <c r="B263" s="6" t="str">
        <f>_xlfn.XLOOKUP(A263,'Base stats'!A:A,'Base stats'!B:B)</f>
        <v>Tentaculabomination gorga</v>
      </c>
      <c r="C263" s="28" t="s">
        <v>1440</v>
      </c>
      <c r="D263" s="28" t="s">
        <v>1348</v>
      </c>
      <c r="E263" s="28" t="s">
        <v>674</v>
      </c>
      <c r="F263" s="28" t="s">
        <v>674</v>
      </c>
      <c r="G263" s="28" t="s">
        <v>674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2400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3.25</v>
      </c>
      <c r="AK263" s="7" t="str">
        <f>IF(AI263="No","No",_xlfn.XLOOKUP(_xlfn.XLOOKUP(B263,'Base stats'!B:B,'Base stats'!E:E),Groups!A:A,Groups!AF:AF))</f>
        <v>Arms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42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43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44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45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46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stats'!AN274="Standard",_xlfn.XLOOKUP(_xlfn.XLOOKUP(B263,'Base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815</v>
      </c>
      <c r="BS263" s="8">
        <f t="shared" si="47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stats'!AM:AM)=1,0.1,1)*IF(AND(_xlfn.XLOOKUP(B263,'Base stats'!B:B,'Base stats'!AM:AM)=1,D263="sarg.alphaanimals"),0.5,1)/100,IF(_xlfn.XLOOKUP(B263,'Base stats'!B:B,'Base stats'!AM:AM)=1,0.001,0.025)),0.5)))</f>
        <v>2E-3</v>
      </c>
      <c r="CA263" s="25" t="str">
        <f>IF(P263="Standard","No",MAX(0.001,MIN(MROUND(IF(OR(D263="sarg.alphaanimals",AND(BJ263="True",CC263="False")),POWER(10,3.47*LOG10(_xlfn.XLOOKUP(B263,'Base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48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1441</v>
      </c>
      <c r="B264" s="6" t="str">
        <f>_xlfn.XLOOKUP(A264,'Base stats'!A:A,'Base stats'!B:B)</f>
        <v>Erin similis</v>
      </c>
      <c r="C264" s="28" t="s">
        <v>1442</v>
      </c>
      <c r="D264" s="28" t="s">
        <v>1348</v>
      </c>
      <c r="E264" s="28" t="s">
        <v>674</v>
      </c>
      <c r="F264" s="28" t="s">
        <v>674</v>
      </c>
      <c r="G264" s="28" t="s">
        <v>674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725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35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9.5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42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1.5</v>
      </c>
      <c r="AP264" s="8">
        <f>MROUND(AO264*_xlfn.XLOOKUP(_xlfn.XLOOKUP(B264,'Base stats'!B:B,'Base stats'!E:E),Groups!A:A,Groups!AI:AI)*_xlfn.XLOOKUP(B264,'Base stats'!B:B,'Base stats'!Z:Z),0.05)</f>
        <v>1.8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43"/>
        <v>0.2</v>
      </c>
      <c r="AV264" s="8">
        <f>IFERROR(IFERROR(MROUND(_xlfn.XLOOKUP(B264,'Base stats'!B:B,'Base stats'!J:J),0.1),"Lay eggs"),"Cannot breed")</f>
        <v>2</v>
      </c>
      <c r="AW264" s="2" t="str">
        <f t="shared" si="44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</v>
      </c>
      <c r="BL264" s="2">
        <f t="shared" si="45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46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stats'!AN280="Standard",_xlfn.XLOOKUP(_xlfn.XLOOKUP(B264,'Base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170</v>
      </c>
      <c r="BS264" s="8">
        <f t="shared" si="47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/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stats'!AM:AM)=1,0.1,1)*IF(AND(_xlfn.XLOOKUP(B264,'Base stats'!B:B,'Base stats'!AM:AM)=1,D264="sarg.alphaanimals"),0.5,1)/100,IF(_xlfn.XLOOKUP(B264,'Base stats'!B:B,'Base stats'!AM:AM)=1,0.001,0.025)),0.5)))</f>
        <v>3.0000000000000001E-3</v>
      </c>
      <c r="CA264" s="25" t="str">
        <f>IF(P264="Standard","No",MAX(0.001,MIN(MROUND(IF(OR(D264="sarg.alphaanimals",AND(BJ264="True",CC264="False")),POWER(10,3.47*LOG10(_xlfn.XLOOKUP(B264,'Base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48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1443</v>
      </c>
      <c r="B265" s="6" t="str">
        <f>_xlfn.XLOOKUP(A265,'Base stats'!A:A,'Base stats'!B:B)</f>
        <v>Oculus viventis</v>
      </c>
      <c r="C265" s="28" t="s">
        <v>1444</v>
      </c>
      <c r="D265" s="28" t="s">
        <v>1348</v>
      </c>
      <c r="E265" s="28" t="s">
        <v>674</v>
      </c>
      <c r="F265" s="28" t="s">
        <v>674</v>
      </c>
      <c r="G265" s="28" t="s">
        <v>674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42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43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44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45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46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stats'!AN327="Standard",_xlfn.XLOOKUP(_xlfn.XLOOKUP(B265,'Base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47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stats'!AM:AM)=1,0.1,1)*IF(AND(_xlfn.XLOOKUP(B265,'Base stats'!B:B,'Base stats'!AM:AM)=1,D265="sarg.alphaanimals"),0.5,1)/100,IF(_xlfn.XLOOKUP(B265,'Base stats'!B:B,'Base stats'!AM:AM)=1,0.001,0.025)),0.5)))</f>
        <v>4.0000000000000001E-3</v>
      </c>
      <c r="CA265" s="25" t="str">
        <f>IF(P265="Standard","No",MAX(0.001,MIN(MROUND(IF(OR(D265="sarg.alphaanimals",AND(BJ265="True",CC265="False")),POWER(10,3.47*LOG10(_xlfn.XLOOKUP(B265,'Base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48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True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1445</v>
      </c>
      <c r="B266" s="6" t="str">
        <f>_xlfn.XLOOKUP(A266,'Base stats'!A:A,'Base stats'!B:B)</f>
        <v>Araneodraco ferus</v>
      </c>
      <c r="C266" s="28" t="s">
        <v>1446</v>
      </c>
      <c r="D266" s="28" t="s">
        <v>1348</v>
      </c>
      <c r="E266" s="28" t="s">
        <v>1754</v>
      </c>
      <c r="F266" s="28" t="s">
        <v>674</v>
      </c>
      <c r="G266" s="28" t="s">
        <v>674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775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35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13</v>
      </c>
      <c r="R266" s="7">
        <f>IF(Q266="No","No",MAX(1,MROUND(_xlfn.XLOOKUP(B266,'Base stats'!B:B,'Base stats'!C:C)^0.165,0.05)))</f>
        <v>2.5500000000000003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32.5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3.1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>
        <f t="shared" si="42"/>
        <v>25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2.25</v>
      </c>
      <c r="AP266" s="8">
        <f>MROUND(AO266*_xlfn.XLOOKUP(_xlfn.XLOOKUP(B266,'Base stats'!B:B,'Base stats'!E:E),Groups!A:A,Groups!AI:AI)*_xlfn.XLOOKUP(B266,'Base stats'!B:B,'Base stats'!Z:Z),0.05)</f>
        <v>2.25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0.25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43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44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CarnivoreAnimal, OvivoreAnimal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0.3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true</v>
      </c>
      <c r="BK266" s="2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2.5</v>
      </c>
      <c r="BL266" s="2">
        <f t="shared" si="45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46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AttackTarget</v>
      </c>
      <c r="BQ266" s="25" t="str">
        <f>IF(
   AND(
      'Base stats'!AN297="Standard",_xlfn.XLOOKUP(_xlfn.XLOOKUP(B266,'Base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250</v>
      </c>
      <c r="BS266" s="8">
        <f t="shared" si="47"/>
        <v>0.65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/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stats'!AM:AM)=1,0.1,1)*IF(AND(_xlfn.XLOOKUP(B266,'Base stats'!B:B,'Base stats'!AM:AM)=1,D266="sarg.alphaanimals"),0.5,1)/100,IF(_xlfn.XLOOKUP(B266,'Base stats'!B:B,'Base stats'!AM:AM)=1,0.001,0.025)),0.5)))</f>
        <v>2E-3</v>
      </c>
      <c r="CA266" s="25" t="str">
        <f>IF(P266="Standard","No",MAX(0.001,MIN(MROUND(IF(OR(D266="sarg.alphaanimals",AND(BJ266="True",CC266="False")),POWER(10,3.47*LOG10(_xlfn.XLOOKUP(B266,'Base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48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1447</v>
      </c>
      <c r="B267" s="6" t="str">
        <f>_xlfn.XLOOKUP(A267,'Base stats'!A:A,'Base stats'!B:B)</f>
        <v>Araneodraco ferus (clutch mother)</v>
      </c>
      <c r="C267" s="28" t="s">
        <v>1448</v>
      </c>
      <c r="D267" s="28" t="s">
        <v>1348</v>
      </c>
      <c r="E267" s="28" t="s">
        <v>1754</v>
      </c>
      <c r="F267" s="28" t="s">
        <v>674</v>
      </c>
      <c r="G267" s="28" t="s">
        <v>674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1300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1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42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 t="str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No</v>
      </c>
      <c r="AU267" s="8" t="str">
        <f t="shared" si="43"/>
        <v>No</v>
      </c>
      <c r="AV267" s="8" t="str">
        <f>IFERROR(IFERROR(MROUND(_xlfn.XLOOKUP(B267,'Base stats'!B:B,'Base stats'!J:J),0.1),"Lay eggs"),"Cannot breed")</f>
        <v>Lay eggs</v>
      </c>
      <c r="AW267" s="2" t="str">
        <f t="shared" si="44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0.3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45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46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stats'!AN229="Standard",_xlfn.XLOOKUP(_xlfn.XLOOKUP(B267,'Base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47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false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AnimalExotic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stats'!AM:AM)=1,0.1,1)*IF(AND(_xlfn.XLOOKUP(B267,'Base stats'!B:B,'Base stats'!AM:AM)=1,D267="sarg.alphaanimals"),0.5,1)/100,IF(_xlfn.XLOOKUP(B267,'Base stats'!B:B,'Base stats'!AM:AM)=1,0.001,0.025)),0.5)))</f>
        <v>2E-3</v>
      </c>
      <c r="CA267" s="25" t="str">
        <f>IF(P267="Standard","No",MAX(0.001,MIN(MROUND(IF(OR(D267="sarg.alphaanimals",AND(BJ267="True",CC267="False")),POWER(10,3.47*LOG10(_xlfn.XLOOKUP(B267,'Base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48"/>
        <v>True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1449</v>
      </c>
      <c r="B268" s="6" t="str">
        <f>_xlfn.XLOOKUP(A268,'Base stats'!A:A,'Base stats'!B:B)</f>
        <v>Vespa incendium</v>
      </c>
      <c r="C268" s="28" t="s">
        <v>1450</v>
      </c>
      <c r="D268" s="28" t="s">
        <v>1348</v>
      </c>
      <c r="E268" s="28" t="s">
        <v>1754</v>
      </c>
      <c r="F268" s="28" t="s">
        <v>674</v>
      </c>
      <c r="G268" s="28" t="s">
        <v>674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300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0.95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LeftPincer, RightPincer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42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43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44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ScorpionLike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0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45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46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stats'!AN198="Standard",_xlfn.XLOOKUP(_xlfn.XLOOKUP(B268,'Base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47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stats'!AM:AM)=1,0.1,1)*IF(AND(_xlfn.XLOOKUP(B268,'Base stats'!B:B,'Base stats'!AM:AM)=1,D268="sarg.alphaanimals"),0.5,1)/100,IF(_xlfn.XLOOKUP(B268,'Base stats'!B:B,'Base stats'!AM:AM)=1,0.001,0.025)),0.5)))</f>
        <v>4.0000000000000001E-3</v>
      </c>
      <c r="CA268" s="25" t="str">
        <f>IF(P268="Standard","No",MAX(0.001,MIN(MROUND(IF(OR(D268="sarg.alphaanimals",AND(BJ268="True",CC268="False")),POWER(10,3.47*LOG10(_xlfn.XLOOKUP(B268,'Base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48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1451</v>
      </c>
      <c r="B269" s="6" t="str">
        <f>_xlfn.XLOOKUP(A269,'Base stats'!A:A,'Base stats'!B:B)</f>
        <v>Mus fissilis</v>
      </c>
      <c r="C269" s="28" t="s">
        <v>1452</v>
      </c>
      <c r="D269" s="28" t="s">
        <v>1348</v>
      </c>
      <c r="E269" s="28" t="s">
        <v>674</v>
      </c>
      <c r="F269" s="28" t="s">
        <v>674</v>
      </c>
      <c r="G269" s="28" t="s">
        <v>674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35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42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43"/>
        <v>0.1</v>
      </c>
      <c r="AV269" s="8">
        <f>IFERROR(IFERROR(MROUND(_xlfn.XLOOKUP(B269,'Base stats'!B:B,'Base stats'!J:J),0.1),"Lay eggs"),"Cannot breed")</f>
        <v>7</v>
      </c>
      <c r="AW269" s="2" t="str">
        <f t="shared" si="44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OmnivoreRoughAnimal, OvivoreAnimal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No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45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46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Forage, Comfort</v>
      </c>
      <c r="BQ269" s="25" t="str">
        <f>IF(
   AND(
      'Base stats'!AN296="Standard",_xlfn.XLOOKUP(_xlfn.XLOOKUP(B269,'Base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47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/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stats'!AM:AM)=1,0.1,1)*IF(AND(_xlfn.XLOOKUP(B269,'Base stats'!B:B,'Base stats'!AM:AM)=1,D269="sarg.alphaanimals"),0.5,1)/100,IF(_xlfn.XLOOKUP(B269,'Base stats'!B:B,'Base stats'!AM:AM)=1,0.001,0.025)),0.5)))</f>
        <v>0.03</v>
      </c>
      <c r="CA269" s="25" t="str">
        <f>IF(P269="Standard","No",MAX(0.001,MIN(MROUND(IF(OR(D269="sarg.alphaanimals",AND(BJ269="True",CC269="False")),POWER(10,3.47*LOG10(_xlfn.XLOOKUP(B269,'Base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48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1453</v>
      </c>
      <c r="B270" s="6" t="str">
        <f>_xlfn.XLOOKUP(A270,'Base stats'!A:A,'Base stats'!B:B)</f>
        <v>Mus fissilis (second form)</v>
      </c>
      <c r="C270" s="28" t="s">
        <v>1454</v>
      </c>
      <c r="D270" s="28" t="s">
        <v>1348</v>
      </c>
      <c r="E270" s="28" t="s">
        <v>674</v>
      </c>
      <c r="F270" s="28" t="s">
        <v>674</v>
      </c>
      <c r="G270" s="28" t="s">
        <v>674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42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 t="str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No</v>
      </c>
      <c r="AU270" s="8" t="str">
        <f t="shared" si="43"/>
        <v>No</v>
      </c>
      <c r="AV270" s="8">
        <f>IFERROR(IFERROR(MROUND(_xlfn.XLOOKUP(B270,'Base stats'!B:B,'Base stats'!J:J),0.1),"Lay eggs"),"Cannot breed")</f>
        <v>7</v>
      </c>
      <c r="AW270" s="2" t="str">
        <f t="shared" si="44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OmnivoreRoughAnimal, OvivoreAnimal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No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45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46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Forage, Comfort</v>
      </c>
      <c r="BQ270" s="25" t="str">
        <f>IF(
   AND(
      'Base stats'!AN301="Standard",_xlfn.XLOOKUP(_xlfn.XLOOKUP(B270,'Base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47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stats'!AM:AM)=1,0.1,1)*IF(AND(_xlfn.XLOOKUP(B270,'Base stats'!B:B,'Base stats'!AM:AM)=1,D270="sarg.alphaanimals"),0.5,1)/100,IF(_xlfn.XLOOKUP(B270,'Base stats'!B:B,'Base stats'!AM:AM)=1,0.001,0.025)),0.5)))</f>
        <v>0.03</v>
      </c>
      <c r="CA270" s="25" t="str">
        <f>IF(P270="Standard","No",MAX(0.001,MIN(MROUND(IF(OR(D270="sarg.alphaanimals",AND(BJ270="True",CC270="False")),POWER(10,3.47*LOG10(_xlfn.XLOOKUP(B270,'Base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48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1455</v>
      </c>
      <c r="B271" s="6" t="str">
        <f>_xlfn.XLOOKUP(A271,'Base stats'!A:A,'Base stats'!B:B)</f>
        <v>Mus fissilis (third form)</v>
      </c>
      <c r="C271" s="28" t="s">
        <v>1456</v>
      </c>
      <c r="D271" s="28" t="s">
        <v>1348</v>
      </c>
      <c r="E271" s="28" t="s">
        <v>674</v>
      </c>
      <c r="F271" s="28" t="s">
        <v>674</v>
      </c>
      <c r="G271" s="28" t="s">
        <v>674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42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 t="str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No</v>
      </c>
      <c r="AU271" s="8" t="str">
        <f t="shared" si="43"/>
        <v>No</v>
      </c>
      <c r="AV271" s="8">
        <f>IFERROR(IFERROR(MROUND(_xlfn.XLOOKUP(B271,'Base stats'!B:B,'Base stats'!J:J),0.1),"Lay eggs"),"Cannot breed")</f>
        <v>7</v>
      </c>
      <c r="AW271" s="2" t="str">
        <f t="shared" si="44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OmnivoreRoughAnimal, OvivoreAnimal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No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45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46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Forage, Comfort</v>
      </c>
      <c r="BQ271" s="25" t="str">
        <f>IF(
   AND(
      'Base stats'!AN251="Standard",_xlfn.XLOOKUP(_xlfn.XLOOKUP(B271,'Base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47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stats'!AM:AM)=1,0.1,1)*IF(AND(_xlfn.XLOOKUP(B271,'Base stats'!B:B,'Base stats'!AM:AM)=1,D271="sarg.alphaanimals"),0.5,1)/100,IF(_xlfn.XLOOKUP(B271,'Base stats'!B:B,'Base stats'!AM:AM)=1,0.001,0.025)),0.5)))</f>
        <v>0.03</v>
      </c>
      <c r="CA271" s="25" t="str">
        <f>IF(P271="Standard","No",MAX(0.001,MIN(MROUND(IF(OR(D271="sarg.alphaanimals",AND(BJ271="True",CC271="False")),POWER(10,3.47*LOG10(_xlfn.XLOOKUP(B271,'Base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48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1457</v>
      </c>
      <c r="B272" s="6" t="str">
        <f>_xlfn.XLOOKUP(A272,'Base stats'!A:A,'Base stats'!B:B)</f>
        <v>Phoenicopterus phoenix</v>
      </c>
      <c r="C272" s="28" t="s">
        <v>1458</v>
      </c>
      <c r="D272" s="28" t="s">
        <v>1348</v>
      </c>
      <c r="E272" s="28" t="s">
        <v>674</v>
      </c>
      <c r="F272" s="28" t="s">
        <v>674</v>
      </c>
      <c r="G272" s="28" t="s">
        <v>674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-5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35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42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43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44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45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46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stats'!AN216="Standard",_xlfn.XLOOKUP(_xlfn.XLOOKUP(B272,'Base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47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/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stats'!AM:AM)=1,0.1,1)*IF(AND(_xlfn.XLOOKUP(B272,'Base stats'!B:B,'Base stats'!AM:AM)=1,D272="sarg.alphaanimals"),0.5,1)/100,IF(_xlfn.XLOOKUP(B272,'Base stats'!B:B,'Base stats'!AM:AM)=1,0.001,0.025)),0.5)))</f>
        <v>3.0000000000000001E-3</v>
      </c>
      <c r="CA272" s="25" t="str">
        <f>IF(P272="Standard","No",MAX(0.001,MIN(MROUND(IF(OR(D272="sarg.alphaanimals",AND(BJ272="True",CC272="False")),POWER(10,3.47*LOG10(_xlfn.XLOOKUP(B272,'Base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48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1459</v>
      </c>
      <c r="B273" s="6" t="str">
        <f>_xlfn.XLOOKUP(A273,'Base stats'!A:A,'Base stats'!B:B)</f>
        <v>Avis glacialis</v>
      </c>
      <c r="C273" s="28" t="s">
        <v>1460</v>
      </c>
      <c r="D273" s="28" t="s">
        <v>1348</v>
      </c>
      <c r="E273" s="28" t="s">
        <v>674</v>
      </c>
      <c r="F273" s="28" t="s">
        <v>674</v>
      </c>
      <c r="G273" s="28" t="s">
        <v>674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1175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-15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35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101.5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42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43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44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Advanced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45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46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stats'!AN239="Standard",_xlfn.XLOOKUP(_xlfn.XLOOKUP(B273,'Base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345</v>
      </c>
      <c r="BS273" s="8">
        <f t="shared" si="47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/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stats'!AM:AM)=1,0.1,1)*IF(AND(_xlfn.XLOOKUP(B273,'Base stats'!B:B,'Base stats'!AM:AM)=1,D273="sarg.alphaanimals"),0.5,1)/100,IF(_xlfn.XLOOKUP(B273,'Base stats'!B:B,'Base stats'!AM:AM)=1,0.001,0.025)),0.5)))</f>
        <v>3.0000000000000001E-3</v>
      </c>
      <c r="CA273" s="25" t="str">
        <f>IF(P273="Standard","No",MAX(0.001,MIN(MROUND(IF(OR(D273="sarg.alphaanimals",AND(BJ273="True",CC273="False")),POWER(10,3.47*LOG10(_xlfn.XLOOKUP(B273,'Base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48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1461</v>
      </c>
      <c r="B274" s="6" t="str">
        <f>_xlfn.XLOOKUP(A274,'Base stats'!A:A,'Base stats'!B:B)</f>
        <v>Genix frostis</v>
      </c>
      <c r="C274" s="28" t="s">
        <v>1462</v>
      </c>
      <c r="D274" s="28" t="s">
        <v>1348</v>
      </c>
      <c r="E274" s="28" t="s">
        <v>674</v>
      </c>
      <c r="F274" s="28" t="s">
        <v>674</v>
      </c>
      <c r="G274" s="28" t="s">
        <v>674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725</v>
      </c>
      <c r="I274" s="2">
        <f>MROUND(ROUNDDOWN(_xlfn.XLOOKUP(B274,'Base stats'!B:B,'Base stats'!L:L)/3.6/(23.3/11),1),0.5)</f>
        <v>7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0.85000000000000009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-30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9.5</v>
      </c>
      <c r="R274" s="7">
        <f>IF(Q274="No","No",MAX(1,MROUND(_xlfn.XLOOKUP(B274,'Base stats'!B:B,'Base stats'!C:C)^0.165,0.05)))</f>
        <v>2.3000000000000003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17.5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1.6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15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1.5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42"/>
        <v>25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1.5</v>
      </c>
      <c r="AP274" s="8">
        <f>MROUND(AO274*_xlfn.XLOOKUP(_xlfn.XLOOKUP(B274,'Base stats'!B:B,'Base stats'!E:E),Groups!A:A,Groups!AI:AI)*_xlfn.XLOOKUP(B274,'Base stats'!B:B,'Base stats'!Z:Z),0.05)</f>
        <v>1.8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0.75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43"/>
        <v>0.2</v>
      </c>
      <c r="AV274" s="8">
        <f>IFERROR(IFERROR(MROUND(_xlfn.XLOOKUP(B274,'Base stats'!B:B,'Base stats'!J:J),0.1),"Lay eggs"),"Cannot breed")</f>
        <v>2</v>
      </c>
      <c r="AW274" s="2" t="str">
        <f t="shared" si="44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2.75</v>
      </c>
      <c r="BL274" s="2">
        <f t="shared" si="45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46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stats'!AN307="Standard",_xlfn.XLOOKUP(_xlfn.XLOOKUP(B274,'Base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175</v>
      </c>
      <c r="BS274" s="8">
        <f t="shared" si="47"/>
        <v>0.9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/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stats'!AM:AM)=1,0.1,1)*IF(AND(_xlfn.XLOOKUP(B274,'Base stats'!B:B,'Base stats'!AM:AM)=1,D274="sarg.alphaanimals"),0.5,1)/100,IF(_xlfn.XLOOKUP(B274,'Base stats'!B:B,'Base stats'!AM:AM)=1,0.001,0.025)),0.5)))</f>
        <v>3.0000000000000001E-3</v>
      </c>
      <c r="CA274" s="25" t="str">
        <f>IF(P274="Standard","No",MAX(0.001,MIN(MROUND(IF(OR(D274="sarg.alphaanimals",AND(BJ274="True",CC274="False")),POWER(10,3.47*LOG10(_xlfn.XLOOKUP(B274,'Base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48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1465</v>
      </c>
      <c r="B275" s="6" t="str">
        <f>_xlfn.XLOOKUP(A275,'Base stats'!A:A,'Base stats'!B:B)</f>
        <v>Glaciulus parvus</v>
      </c>
      <c r="C275" s="28" t="s">
        <v>1466</v>
      </c>
      <c r="D275" s="28" t="s">
        <v>1348</v>
      </c>
      <c r="E275" s="28" t="s">
        <v>674</v>
      </c>
      <c r="F275" s="28" t="s">
        <v>674</v>
      </c>
      <c r="G275" s="28" t="s">
        <v>674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700</v>
      </c>
      <c r="I275" s="2">
        <f>MROUND(ROUNDDOWN(_xlfn.XLOOKUP(B275,'Base stats'!B:B,'Base stats'!L:L)/3.6/(23.3/11),1),0.5)</f>
        <v>7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0.45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-30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35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>
        <f>_xlfn.XLOOKUP(B275,'Base stats'!B:B,'Base stats'!R:R)</f>
        <v>0.8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11</v>
      </c>
      <c r="R275" s="7">
        <f>IF(Q275="No","No",MAX(1,MROUND(_xlfn.XLOOKUP(B275,'Base stats'!B:B,'Base stats'!C:C)^0.165,0.05)))</f>
        <v>2.4000000000000004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21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1.9000000000000001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 t="str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No</v>
      </c>
      <c r="AJ275" s="7" t="str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No</v>
      </c>
      <c r="AK275" s="7" t="str">
        <f>IF(AI275="No","No",_xlfn.XLOOKUP(_xlfn.XLOOKUP(B275,'Base stats'!B:B,'Base stats'!E:E),Groups!A:A,Groups!AF:AF))</f>
        <v>No</v>
      </c>
      <c r="AL275" s="7" t="str">
        <f>IF(AI275="No","No",_xlfn.XLOOKUP(_xlfn.XLOOKUP(B275,'Base stats'!B:B,'Base stats'!E:E),Groups!A:A,Groups!AG:AG))</f>
        <v>No</v>
      </c>
      <c r="AM275" s="7" t="str">
        <f>IF(AI275="No","No",_xlfn.XLOOKUP(_xlfn.XLOOKUP(B275,'Base stats'!B:B,'Base stats'!E:E),Groups!A:A,Groups!AH:AH))</f>
        <v>No</v>
      </c>
      <c r="AN275" s="2">
        <f t="shared" si="42"/>
        <v>25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1.8</v>
      </c>
      <c r="AP275" s="8">
        <f>MROUND(AO275*_xlfn.XLOOKUP(_xlfn.XLOOKUP(B275,'Base stats'!B:B,'Base stats'!E:E),Groups!A:A,Groups!AI:AI)*_xlfn.XLOOKUP(B275,'Base stats'!B:B,'Base stats'!Z:Z),0.05)</f>
        <v>2.15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0.85000000000000009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43"/>
        <v>0.2</v>
      </c>
      <c r="AV275" s="8">
        <f>IFERROR(IFERROR(MROUND(_xlfn.XLOOKUP(B275,'Base stats'!B:B,'Base stats'!J:J),0.1),"Lay eggs"),"Cannot breed")</f>
        <v>4</v>
      </c>
      <c r="AW275" s="2" t="str">
        <f t="shared" si="44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&lt;li&gt;AA_Nightling&lt;/li&gt;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0.05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72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Advanced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3.25</v>
      </c>
      <c r="BL275" s="2">
        <f t="shared" si="45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e">
        <f t="shared" si="46"/>
        <v>#REF!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e">
        <f>IF(
   AND(
      'Base stats'!#REF!="Standard",_xlfn.XLOOKUP(_xlfn.XLOOKUP(B275,'Base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#REF!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200</v>
      </c>
      <c r="BS275" s="8">
        <f t="shared" si="47"/>
        <v>1.05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/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stats'!AM:AM)=1,0.1,1)*IF(AND(_xlfn.XLOOKUP(B275,'Base stats'!B:B,'Base stats'!AM:AM)=1,D275="sarg.alphaanimals"),0.5,1)/100,IF(_xlfn.XLOOKUP(B275,'Base stats'!B:B,'Base stats'!AM:AM)=1,0.001,0.025)),0.5)))</f>
        <v>3.0000000000000001E-3</v>
      </c>
      <c r="CA275" s="25">
        <f>IF(P275="Standard","No",MAX(0.001,MIN(MROUND(IF(OR(D275="sarg.alphaanimals",AND(BJ275="True",CC275="False")),POWER(10,3.47*LOG10(_xlfn.XLOOKUP(B275,'Base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4.0000000000000001E-3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48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1467</v>
      </c>
      <c r="B276" s="6" t="str">
        <f>_xlfn.XLOOKUP(A276,'Base stats'!A:A,'Base stats'!B:B)</f>
        <v>Acarus glacialis</v>
      </c>
      <c r="C276" s="28" t="s">
        <v>1468</v>
      </c>
      <c r="D276" s="28" t="s">
        <v>1348</v>
      </c>
      <c r="E276" s="28" t="s">
        <v>1754</v>
      </c>
      <c r="F276" s="28" t="s">
        <v>674</v>
      </c>
      <c r="G276" s="28" t="s">
        <v>674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400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0.55000000000000004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1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4.5</v>
      </c>
      <c r="R276" s="7">
        <f>IF(Q276="No","No",MAX(1,MROUND(_xlfn.XLOOKUP(B276,'Base stats'!B:B,'Base stats'!C:C)^0.165,0.05)))</f>
        <v>1.6500000000000001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11.5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1.9500000000000002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10.5</v>
      </c>
      <c r="AJ276" s="7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1.8</v>
      </c>
      <c r="AK276" s="7" t="str">
        <f>IF(AI276="No","No",_xlfn.XLOOKUP(_xlfn.XLOOKUP(B276,'Base stats'!B:B,'Base stats'!E:E),Groups!A:A,Groups!AF:AF))</f>
        <v>HeadClaw</v>
      </c>
      <c r="AL276" s="7" t="str">
        <f>IF(AI276="No","No",_xlfn.XLOOKUP(_xlfn.XLOOKUP(B276,'Base stats'!B:B,'Base stats'!E:E),Groups!A:A,Groups!AG:AG))</f>
        <v>head claw</v>
      </c>
      <c r="AM276" s="7" t="str">
        <f>IF(AI276="No","No",_xlfn.XLOOKUP(_xlfn.XLOOKUP(B276,'Base stats'!B:B,'Base stats'!E:E),Groups!A:A,Groups!AH:AH))</f>
        <v>Scratch</v>
      </c>
      <c r="AN276" s="2">
        <f t="shared" si="42"/>
        <v>20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0.55000000000000004</v>
      </c>
      <c r="AP276" s="8">
        <f>MROUND(AO276*_xlfn.XLOOKUP(_xlfn.XLOOKUP(B276,'Base stats'!B:B,'Base stats'!E:E),Groups!A:A,Groups!AI:AI)*_xlfn.XLOOKUP(B276,'Base stats'!B:B,'Base stats'!Z:Z),0.05)</f>
        <v>0.55000000000000004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43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44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 t="str">
        <f>IF(_xlfn.XLOOKUP(_xlfn.XLOOKUP(B276,'Base stats'!B:B,'Base stats'!E:E),Groups!A:A,Groups!D:D)=1,MROUND((1-J276)*5+1,2)*IF(J276&lt;=0.4,2,1),"No")</f>
        <v>No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BeetleLikeWithClaw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1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Advanced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true</v>
      </c>
      <c r="BK276" s="2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0.5</v>
      </c>
      <c r="BL276" s="2">
        <f t="shared" si="45"/>
        <v>1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46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AttackTarget</v>
      </c>
      <c r="BQ276" s="25" t="str">
        <f>IF(
   AND(
      'Base stats'!AN217="Standard",_xlfn.XLOOKUP(_xlfn.XLOOKUP(B276,'Base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75</v>
      </c>
      <c r="BS276" s="8">
        <f t="shared" si="47"/>
        <v>0.2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AnimalUncommon, AnimalFighter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/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stats'!AM:AM)=1,0.1,1)*IF(AND(_xlfn.XLOOKUP(B276,'Base stats'!B:B,'Base stats'!AM:AM)=1,D276="sarg.alphaanimals"),0.5,1)/100,IF(_xlfn.XLOOKUP(B276,'Base stats'!B:B,'Base stats'!AM:AM)=1,0.001,0.025)),0.5)))</f>
        <v>4.0000000000000001E-3</v>
      </c>
      <c r="CA276" s="25">
        <f>IF(P276="Standard","No",MAX(0.001,MIN(MROUND(IF(OR(D276="sarg.alphaanimals",AND(BJ276="True",CC276="False")),POWER(10,3.47*LOG10(_xlfn.XLOOKUP(B276,'Base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7.0000000000000001E-3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48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1469</v>
      </c>
      <c r="B277" s="6" t="str">
        <f>_xlfn.XLOOKUP(A277,'Base stats'!A:A,'Base stats'!B:B)</f>
        <v>Mycodermis tegumentum</v>
      </c>
      <c r="C277" s="28" t="s">
        <v>1470</v>
      </c>
      <c r="D277" s="28" t="s">
        <v>1348</v>
      </c>
      <c r="E277" s="28" t="s">
        <v>674</v>
      </c>
      <c r="F277" s="28" t="s">
        <v>674</v>
      </c>
      <c r="G277" s="28" t="s">
        <v>674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42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43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44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45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46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stats'!AN245="Standard",_xlfn.XLOOKUP(_xlfn.XLOOKUP(B277,'Base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47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stats'!AM:AM)=1,0.1,1)*IF(AND(_xlfn.XLOOKUP(B277,'Base stats'!B:B,'Base stats'!AM:AM)=1,D277="sarg.alphaanimals"),0.5,1)/100,IF(_xlfn.XLOOKUP(B277,'Base stats'!B:B,'Base stats'!AM:AM)=1,0.001,0.025)),0.5)))</f>
        <v>3.0000000000000001E-3</v>
      </c>
      <c r="CA277" s="25">
        <f>IF(P277="Standard","No",MAX(0.001,MIN(MROUND(IF(OR(D277="sarg.alphaanimals",AND(BJ277="True",CC277="False")),POWER(10,3.47*LOG10(_xlfn.XLOOKUP(B277,'Base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6.0000000000000001E-3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48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1471</v>
      </c>
      <c r="B278" s="6" t="str">
        <f>_xlfn.XLOOKUP(A278,'Base stats'!A:A,'Base stats'!B:B)</f>
        <v>Gallus titanicus</v>
      </c>
      <c r="C278" s="28" t="s">
        <v>1472</v>
      </c>
      <c r="D278" s="28" t="s">
        <v>1348</v>
      </c>
      <c r="E278" s="28" t="s">
        <v>674</v>
      </c>
      <c r="F278" s="28" t="s">
        <v>674</v>
      </c>
      <c r="G278" s="28" t="s">
        <v>674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19475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68.5</v>
      </c>
      <c r="T278" s="7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4.25</v>
      </c>
      <c r="U278" s="7" t="str">
        <f>IF(S278="No","No",_xlfn.XLOOKUP(_xlfn.XLOOKUP(B278,'Base stats'!B:B,'Base stats'!E:E),Groups!A:A,Groups!R:R))</f>
        <v>FrontLeftLeg, FrontRightLeg</v>
      </c>
      <c r="V278" s="7" t="str">
        <f>IF(S278="No","No",_xlfn.XLOOKUP(_xlfn.XLOOKUP(B278,'Base stats'!B:B,'Base stats'!E:E),Groups!A:A,Groups!S:S))</f>
        <v>left foot, right foot</v>
      </c>
      <c r="W278" s="7" t="str">
        <f>IF(S278="No","No",_xlfn.XLOOKUP(_xlfn.XLOOKUP(B278,'Base stats'!B:B,'Base stats'!E:E),Groups!A:A,Groups!T:T))</f>
        <v>Blunt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 t="str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No</v>
      </c>
      <c r="AE278" s="7" t="str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No</v>
      </c>
      <c r="AF278" s="7" t="str">
        <f>IF(AD278="No","No",_xlfn.XLOOKUP(_xlfn.XLOOKUP(B278,'Base stats'!B:B,'Base stats'!E:E),Groups!A:A,Groups!AA:AA))</f>
        <v>No</v>
      </c>
      <c r="AG278" s="7" t="str">
        <f>IF(AD278="No","No",_xlfn.XLOOKUP(_xlfn.XLOOKUP(B278,'Base stats'!B:B,'Base stats'!E:E),Groups!A:A,Groups!AB:AB))</f>
        <v>No</v>
      </c>
      <c r="AH278" s="7" t="str">
        <f>IF(AD278="No","No",_xlfn.XLOOKUP(_xlfn.XLOOKUP(B278,'Base stats'!B:B,'Base stats'!E:E),Groups!A:A,Groups!AC:AC))</f>
        <v>No</v>
      </c>
      <c r="AI278" s="13" t="str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No</v>
      </c>
      <c r="AJ278" s="7" t="str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No</v>
      </c>
      <c r="AK278" s="7" t="str">
        <f>IF(AI278="No","No",_xlfn.XLOOKUP(_xlfn.XLOOKUP(B278,'Base stats'!B:B,'Base stats'!E:E),Groups!A:A,Groups!AF:AF))</f>
        <v>No</v>
      </c>
      <c r="AL278" s="7" t="str">
        <f>IF(AI278="No","No",_xlfn.XLOOKUP(_xlfn.XLOOKUP(B278,'Base stats'!B:B,'Base stats'!E:E),Groups!A:A,Groups!AG:AG))</f>
        <v>No</v>
      </c>
      <c r="AM278" s="7" t="str">
        <f>IF(AI278="No","No",_xlfn.XLOOKUP(_xlfn.XLOOKUP(B278,'Base stats'!B:B,'Base stats'!E:E),Groups!A:A,Groups!AH:AH))</f>
        <v>No</v>
      </c>
      <c r="AN278" s="2" t="str">
        <f t="shared" si="42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60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43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44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Leather_Gallatross</v>
      </c>
      <c r="BC278" s="23" t="str">
        <f>_xlfn.XLOOKUP(_xlfn.XLOOKUP(B278,'Base stats'!B:B,'Base stats'!E:E),Groups!A:A,Groups!AL:AL)</f>
        <v>QuadrupedAnimalWithHoovesAndHorn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45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46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stats'!AN259="Standard",_xlfn.XLOOKUP(_xlfn.XLOOKUP(B278,'Base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7730</v>
      </c>
      <c r="BS278" s="8">
        <f t="shared" si="47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stats'!AM:AM)=1,0.1,1)*IF(AND(_xlfn.XLOOKUP(B278,'Base stats'!B:B,'Base stats'!AM:AM)=1,D278="sarg.alphaanimals"),0.5,1)/100,IF(_xlfn.XLOOKUP(B278,'Base stats'!B:B,'Base stats'!AM:AM)=1,0.001,0.025)),0.5)))</f>
        <v>2E-3</v>
      </c>
      <c r="CA278" s="25">
        <f>IF(P278="Standard","No",MAX(0.001,MIN(MROUND(IF(OR(D278="sarg.alphaanimals",AND(BJ278="True",CC278="False")),POWER(10,3.47*LOG10(_xlfn.XLOOKUP(B278,'Base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3.0000000000000001E-3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48"/>
        <v>True</v>
      </c>
      <c r="CE278" s="25" t="str">
        <f>IF(_xlfn.XLOOKUP(_xlfn.XLOOKUP(B278,'Base stats'!B:B,'Base stats'!E:E),Groups!A:A,Groups!AX:AX),"True","False")</f>
        <v>False</v>
      </c>
      <c r="CF278" s="25" t="str">
        <f>IF(_xlfn.XLOOKUP(_xlfn.XLOOKUP(B278,'Base stats'!B:B,'Base stats'!E:E),Groups!A:A,Groups!AY:AY),"True","False")</f>
        <v>False</v>
      </c>
      <c r="CG278" s="25" t="str">
        <f>IF(_xlfn.XLOOKUP(_xlfn.XLOOKUP(B278,'Base stats'!B:B,'Base stats'!E:E),Groups!A:A,Groups!AW:AW),"True","False")</f>
        <v>False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1473</v>
      </c>
      <c r="B279" s="6" t="str">
        <f>_xlfn.XLOOKUP(A279,'Base stats'!A:A,'Base stats'!B:B)</f>
        <v>Gallus titanicus (moribund)</v>
      </c>
      <c r="C279" s="28" t="s">
        <v>1474</v>
      </c>
      <c r="D279" s="28" t="s">
        <v>1348</v>
      </c>
      <c r="E279" s="28" t="s">
        <v>674</v>
      </c>
      <c r="F279" s="28" t="s">
        <v>674</v>
      </c>
      <c r="G279" s="28" t="s">
        <v>674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19525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68.5</v>
      </c>
      <c r="T279" s="7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4.25</v>
      </c>
      <c r="U279" s="7" t="str">
        <f>IF(S279="No","No",_xlfn.XLOOKUP(_xlfn.XLOOKUP(B279,'Base stats'!B:B,'Base stats'!E:E),Groups!A:A,Groups!R:R))</f>
        <v>FrontLeftLeg, FrontRightLeg</v>
      </c>
      <c r="V279" s="7" t="str">
        <f>IF(S279="No","No",_xlfn.XLOOKUP(_xlfn.XLOOKUP(B279,'Base stats'!B:B,'Base stats'!E:E),Groups!A:A,Groups!S:S))</f>
        <v>left foot, right foot</v>
      </c>
      <c r="W279" s="7" t="str">
        <f>IF(S279="No","No",_xlfn.XLOOKUP(_xlfn.XLOOKUP(B279,'Base stats'!B:B,'Base stats'!E:E),Groups!A:A,Groups!T:T))</f>
        <v>Blunt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 t="str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No</v>
      </c>
      <c r="AE279" s="7" t="str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No</v>
      </c>
      <c r="AF279" s="7" t="str">
        <f>IF(AD279="No","No",_xlfn.XLOOKUP(_xlfn.XLOOKUP(B279,'Base stats'!B:B,'Base stats'!E:E),Groups!A:A,Groups!AA:AA))</f>
        <v>No</v>
      </c>
      <c r="AG279" s="7" t="str">
        <f>IF(AD279="No","No",_xlfn.XLOOKUP(_xlfn.XLOOKUP(B279,'Base stats'!B:B,'Base stats'!E:E),Groups!A:A,Groups!AB:AB))</f>
        <v>No</v>
      </c>
      <c r="AH279" s="7" t="str">
        <f>IF(AD279="No","No",_xlfn.XLOOKUP(_xlfn.XLOOKUP(B279,'Base stats'!B:B,'Base stats'!E:E),Groups!A:A,Groups!AC:AC))</f>
        <v>No</v>
      </c>
      <c r="AI279" s="13" t="str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No</v>
      </c>
      <c r="AJ279" s="7" t="str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No</v>
      </c>
      <c r="AK279" s="7" t="str">
        <f>IF(AI279="No","No",_xlfn.XLOOKUP(_xlfn.XLOOKUP(B279,'Base stats'!B:B,'Base stats'!E:E),Groups!A:A,Groups!AF:AF))</f>
        <v>No</v>
      </c>
      <c r="AL279" s="7" t="str">
        <f>IF(AI279="No","No",_xlfn.XLOOKUP(_xlfn.XLOOKUP(B279,'Base stats'!B:B,'Base stats'!E:E),Groups!A:A,Groups!AG:AG))</f>
        <v>No</v>
      </c>
      <c r="AM279" s="7" t="str">
        <f>IF(AI279="No","No",_xlfn.XLOOKUP(_xlfn.XLOOKUP(B279,'Base stats'!B:B,'Base stats'!E:E),Groups!A:A,Groups!AH:AH))</f>
        <v>No</v>
      </c>
      <c r="AN279" s="2" t="str">
        <f t="shared" si="42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60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43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44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Leather_Gallatross</v>
      </c>
      <c r="BC279" s="23" t="str">
        <f>_xlfn.XLOOKUP(_xlfn.XLOOKUP(B279,'Base stats'!B:B,'Base stats'!E:E),Groups!A:A,Groups!AL:AL)</f>
        <v>QuadrupedAnimalWithHoovesAndHorn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45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46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stats'!AN265="Standard",_xlfn.XLOOKUP(_xlfn.XLOOKUP(B279,'Base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7730</v>
      </c>
      <c r="BS279" s="8">
        <f t="shared" si="47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stats'!AM:AM)=1,0.1,1)*IF(AND(_xlfn.XLOOKUP(B279,'Base stats'!B:B,'Base stats'!AM:AM)=1,D279="sarg.alphaanimals"),0.5,1)/100,IF(_xlfn.XLOOKUP(B279,'Base stats'!B:B,'Base stats'!AM:AM)=1,0.001,0.025)),0.5)))</f>
        <v>2E-3</v>
      </c>
      <c r="CA279" s="25">
        <f>IF(P279="Standard","No",MAX(0.001,MIN(MROUND(IF(OR(D279="sarg.alphaanimals",AND(BJ279="True",CC279="False")),POWER(10,3.47*LOG10(_xlfn.XLOOKUP(B279,'Base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3.0000000000000001E-3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48"/>
        <v>True</v>
      </c>
      <c r="CE279" s="25" t="str">
        <f>IF(_xlfn.XLOOKUP(_xlfn.XLOOKUP(B279,'Base stats'!B:B,'Base stats'!E:E),Groups!A:A,Groups!AX:AX),"True","False")</f>
        <v>False</v>
      </c>
      <c r="CF279" s="25" t="str">
        <f>IF(_xlfn.XLOOKUP(_xlfn.XLOOKUP(B279,'Base stats'!B:B,'Base stats'!E:E),Groups!A:A,Groups!AY:AY),"True","False")</f>
        <v>False</v>
      </c>
      <c r="CG279" s="25" t="str">
        <f>IF(_xlfn.XLOOKUP(_xlfn.XLOOKUP(B279,'Base stats'!B:B,'Base stats'!E:E),Groups!A:A,Groups!AW:AW),"True","False")</f>
        <v>False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1475</v>
      </c>
      <c r="B280" s="6" t="str">
        <f>_xlfn.XLOOKUP(A280,'Base stats'!A:A,'Base stats'!B:B)</f>
        <v>Genix ferox</v>
      </c>
      <c r="C280" s="28" t="s">
        <v>1476</v>
      </c>
      <c r="D280" s="28" t="s">
        <v>1348</v>
      </c>
      <c r="E280" s="28" t="s">
        <v>674</v>
      </c>
      <c r="F280" s="28" t="s">
        <v>674</v>
      </c>
      <c r="G280" s="28" t="s">
        <v>674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950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0.95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-30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11.5</v>
      </c>
      <c r="R280" s="7">
        <f>IF(Q280="No","No",MAX(1,MROUND(_xlfn.XLOOKUP(B280,'Base stats'!B:B,'Base stats'!C:C)^0.165,0.05)))</f>
        <v>2.4500000000000002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21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1.7000000000000002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18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1.6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42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2</v>
      </c>
      <c r="AP280" s="8">
        <f>MROUND(AO280*_xlfn.XLOOKUP(_xlfn.XLOOKUP(B280,'Base stats'!B:B,'Base stats'!E:E),Groups!A:A,Groups!AI:AI)*_xlfn.XLOOKUP(B280,'Base stats'!B:B,'Base stats'!Z:Z),0.05)</f>
        <v>2.4000000000000004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0.9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43"/>
        <v>0.2</v>
      </c>
      <c r="AV280" s="8">
        <f>IFERROR(IFERROR(MROUND(_xlfn.XLOOKUP(B280,'Base stats'!B:B,'Base stats'!J:J),0.1),"Lay eggs"),"Cannot breed")</f>
        <v>2</v>
      </c>
      <c r="AW280" s="2" t="str">
        <f t="shared" si="44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3.5</v>
      </c>
      <c r="BL280" s="2">
        <f t="shared" si="45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46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stats'!AN322="Standard",_xlfn.XLOOKUP(_xlfn.XLOOKUP(B280,'Base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240</v>
      </c>
      <c r="BS280" s="8">
        <f t="shared" si="47"/>
        <v>1.1000000000000001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/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stats'!AM:AM)=1,0.1,1)*IF(AND(_xlfn.XLOOKUP(B280,'Base stats'!B:B,'Base stats'!AM:AM)=1,D280="sarg.alphaanimals"),0.5,1)/100,IF(_xlfn.XLOOKUP(B280,'Base stats'!B:B,'Base stats'!AM:AM)=1,0.001,0.025)),0.5)))</f>
        <v>2E-3</v>
      </c>
      <c r="CA280" s="25" t="str">
        <f>IF(P280="Standard","No",MAX(0.001,MIN(MROUND(IF(OR(D280="sarg.alphaanimals",AND(BJ280="True",CC280="False")),POWER(10,3.47*LOG10(_xlfn.XLOOKUP(B280,'Base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48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1477</v>
      </c>
      <c r="B281" s="6" t="str">
        <f>_xlfn.XLOOKUP(A281,'Base stats'!A:A,'Base stats'!B:B)</f>
        <v>Silkie coronatus</v>
      </c>
      <c r="C281" s="28" t="s">
        <v>1478</v>
      </c>
      <c r="D281" s="28" t="s">
        <v>1348</v>
      </c>
      <c r="E281" s="28" t="s">
        <v>674</v>
      </c>
      <c r="F281" s="28" t="s">
        <v>674</v>
      </c>
      <c r="G281" s="28" t="s">
        <v>674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-15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35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42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43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44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45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46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stats'!AN211="Standard",_xlfn.XLOOKUP(_xlfn.XLOOKUP(B281,'Base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47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/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stats'!AM:AM)=1,0.1,1)*IF(AND(_xlfn.XLOOKUP(B281,'Base stats'!B:B,'Base stats'!AM:AM)=1,D281="sarg.alphaanimals"),0.5,1)/100,IF(_xlfn.XLOOKUP(B281,'Base stats'!B:B,'Base stats'!AM:AM)=1,0.001,0.025)),0.5)))</f>
        <v>2E-3</v>
      </c>
      <c r="CA281" s="25" t="str">
        <f>IF(P281="Standard","No",MAX(0.001,MIN(MROUND(IF(OR(D281="sarg.alphaanimals",AND(BJ281="True",CC281="False")),POWER(10,3.47*LOG10(_xlfn.XLOOKUP(B281,'Base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48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1479</v>
      </c>
      <c r="B282" s="6" t="str">
        <f>_xlfn.XLOOKUP(A282,'Base stats'!A:A,'Base stats'!B:B)</f>
        <v>Antilope giganteus</v>
      </c>
      <c r="C282" s="28" t="s">
        <v>1480</v>
      </c>
      <c r="D282" s="28" t="s">
        <v>1348</v>
      </c>
      <c r="E282" s="28" t="s">
        <v>674</v>
      </c>
      <c r="F282" s="28" t="s">
        <v>674</v>
      </c>
      <c r="G282" s="28" t="s">
        <v>674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35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0.6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42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43"/>
        <v>0.2</v>
      </c>
      <c r="AV282" s="8">
        <f>IFERROR(IFERROR(MROUND(_xlfn.XLOOKUP(B282,'Base stats'!B:B,'Base stats'!J:J),0.1),"Lay eggs"),"Cannot breed")</f>
        <v>1</v>
      </c>
      <c r="AW282" s="2" t="str">
        <f t="shared" si="44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&lt;li&gt;Gazelle&lt;/li&gt;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45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46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stats'!AN214="Standard",_xlfn.XLOOKUP(_xlfn.XLOOKUP(B282,'Base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47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/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stats'!AM:AM)=1,0.1,1)*IF(AND(_xlfn.XLOOKUP(B282,'Base stats'!B:B,'Base stats'!AM:AM)=1,D282="sarg.alphaanimals"),0.5,1)/100,IF(_xlfn.XLOOKUP(B282,'Base stats'!B:B,'Base stats'!AM:AM)=1,0.001,0.025)),0.5)))</f>
        <v>2E-3</v>
      </c>
      <c r="CA282" s="25">
        <f>IF(P282="Standard","No",MAX(0.001,MIN(MROUND(IF(OR(D282="sarg.alphaanimals",AND(BJ282="True",CC282="False")),POWER(10,3.47*LOG10(_xlfn.XLOOKUP(B282,'Base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3.0000000000000001E-3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48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1481</v>
      </c>
      <c r="B283" s="6" t="str">
        <f>_xlfn.XLOOKUP(A283,'Base stats'!A:A,'Base stats'!B:B)</f>
        <v>Devourer maximus</v>
      </c>
      <c r="C283" s="28" t="s">
        <v>1482</v>
      </c>
      <c r="D283" s="28" t="s">
        <v>1348</v>
      </c>
      <c r="E283" s="28" t="s">
        <v>674</v>
      </c>
      <c r="F283" s="28" t="s">
        <v>674</v>
      </c>
      <c r="G283" s="28" t="s">
        <v>674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35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42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43"/>
        <v>0.5</v>
      </c>
      <c r="AV283" s="8">
        <f>IFERROR(IFERROR(MROUND(_xlfn.XLOOKUP(B283,'Base stats'!B:B,'Base stats'!J:J),0.1),"Lay eggs"),"Cannot breed")</f>
        <v>1</v>
      </c>
      <c r="AW283" s="2" t="str">
        <f t="shared" si="44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Snake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45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46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stats'!AN258="Standard",_xlfn.XLOOKUP(_xlfn.XLOOKUP(B283,'Base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47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/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stats'!AM:AM)=1,0.1,1)*IF(AND(_xlfn.XLOOKUP(B283,'Base stats'!B:B,'Base stats'!AM:AM)=1,D283="sarg.alphaanimals"),0.5,1)/100,IF(_xlfn.XLOOKUP(B283,'Base stats'!B:B,'Base stats'!AM:AM)=1,0.001,0.025)),0.5)))</f>
        <v>2E-3</v>
      </c>
      <c r="CA283" s="25" t="str">
        <f>IF(P283="Standard","No",MAX(0.001,MIN(MROUND(IF(OR(D283="sarg.alphaanimals",AND(BJ283="True",CC283="False")),POWER(10,3.47*LOG10(_xlfn.XLOOKUP(B283,'Base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48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1483</v>
      </c>
      <c r="B284" s="6" t="str">
        <f>_xlfn.XLOOKUP(A284,'Base stats'!A:A,'Base stats'!B:B)</f>
        <v>Protofluidum viride</v>
      </c>
      <c r="C284" s="28" t="s">
        <v>1484</v>
      </c>
      <c r="D284" s="28" t="s">
        <v>1348</v>
      </c>
      <c r="E284" s="28" t="s">
        <v>674</v>
      </c>
      <c r="F284" s="28" t="s">
        <v>674</v>
      </c>
      <c r="G284" s="28" t="s">
        <v>674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225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0.60000000000000009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7</v>
      </c>
      <c r="R284" s="7">
        <f>IF(Q284="No","No",MAX(1,MROUND(_xlfn.XLOOKUP(B284,'Base stats'!B:B,'Base stats'!C:C)^0.165,0.05)))</f>
        <v>1.9500000000000002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8.5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1.4500000000000002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arms</v>
      </c>
      <c r="AM284" s="7" t="str">
        <f>IF(AI284="No","No",_xlfn.XLOOKUP(_xlfn.XLOOKUP(B284,'Base stats'!B:B,'Base stats'!E:E),Groups!A:A,Groups!AH:AH))</f>
        <v>Blunt</v>
      </c>
      <c r="AN284" s="2" t="str">
        <f t="shared" si="42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0.95000000000000007</v>
      </c>
      <c r="AP284" s="8">
        <f>MROUND(AO284*_xlfn.XLOOKUP(_xlfn.XLOOKUP(B284,'Base stats'!B:B,'Base stats'!E:E),Groups!A:A,Groups!AI:AI)*_xlfn.XLOOKUP(B284,'Base stats'!B:B,'Base stats'!Z:Z),0.05)</f>
        <v>0.95000000000000007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0.15000000000000002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0.3</v>
      </c>
      <c r="AU284" s="8">
        <f t="shared" si="43"/>
        <v>0.15000000000000002</v>
      </c>
      <c r="AV284" s="8" t="str">
        <f>IFERROR(IFERROR(MROUND(_xlfn.XLOOKUP(B284,'Base stats'!B:B,'Base stats'!J:J),0.1),"Lay eggs"),"Cannot breed")</f>
        <v>Lay eggs</v>
      </c>
      <c r="AW284" s="2" t="str">
        <f t="shared" si="44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45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46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stats'!AN312="Standard",_xlfn.XLOOKUP(_xlfn.XLOOKUP(B284,'Base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70</v>
      </c>
      <c r="BS284" s="8">
        <f t="shared" si="47"/>
        <v>0.30000000000000004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stats'!AM:AM)=1,0.1,1)*IF(AND(_xlfn.XLOOKUP(B284,'Base stats'!B:B,'Base stats'!AM:AM)=1,D284="sarg.alphaanimals"),0.5,1)/100,IF(_xlfn.XLOOKUP(B284,'Base stats'!B:B,'Base stats'!AM:AM)=1,0.001,0.025)),0.5)))</f>
        <v>3.0000000000000001E-3</v>
      </c>
      <c r="CA284" s="25" t="str">
        <f>IF(P284="Standard","No",MAX(0.001,MIN(MROUND(IF(OR(D284="sarg.alphaanimals",AND(BJ284="True",CC284="False")),POWER(10,3.47*LOG10(_xlfn.XLOOKUP(B284,'Base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48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1485</v>
      </c>
      <c r="B285" s="6" t="str">
        <f>_xlfn.XLOOKUP(A285,'Base stats'!A:A,'Base stats'!B:B)</f>
        <v>Ovis griseus</v>
      </c>
      <c r="C285" s="28" t="s">
        <v>1486</v>
      </c>
      <c r="D285" s="28" t="s">
        <v>1348</v>
      </c>
      <c r="E285" s="28" t="s">
        <v>674</v>
      </c>
      <c r="F285" s="28" t="s">
        <v>674</v>
      </c>
      <c r="G285" s="28" t="s">
        <v>674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42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43"/>
        <v>0.2</v>
      </c>
      <c r="AV285" s="8">
        <f>IFERROR(IFERROR(MROUND(_xlfn.XLOOKUP(B285,'Base stats'!B:B,'Base stats'!J:J),0.1),"Lay eggs"),"Cannot breed")</f>
        <v>1</v>
      </c>
      <c r="AW285" s="2" t="str">
        <f t="shared" si="44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45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46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stats'!AN310="Standard",_xlfn.XLOOKUP(_xlfn.XLOOKUP(B285,'Base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47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stats'!AM:AM)=1,0.1,1)*IF(AND(_xlfn.XLOOKUP(B285,'Base stats'!B:B,'Base stats'!AM:AM)=1,D285="sarg.alphaanimals"),0.5,1)/100,IF(_xlfn.XLOOKUP(B285,'Base stats'!B:B,'Base stats'!AM:AM)=1,0.001,0.025)),0.5)))</f>
        <v>3.0000000000000001E-3</v>
      </c>
      <c r="CA285" s="25" t="str">
        <f>IF(P285="Standard","No",MAX(0.001,MIN(MROUND(IF(OR(D285="sarg.alphaanimals",AND(BJ285="True",CC285="False")),POWER(10,3.47*LOG10(_xlfn.XLOOKUP(B285,'Base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48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1487</v>
      </c>
      <c r="B286" s="6" t="str">
        <f>_xlfn.XLOOKUP(A286,'Base stats'!A:A,'Base stats'!B:B)</f>
        <v>Canis terrestris</v>
      </c>
      <c r="C286" s="28" t="s">
        <v>1488</v>
      </c>
      <c r="D286" s="28" t="s">
        <v>1348</v>
      </c>
      <c r="E286" s="28" t="s">
        <v>674</v>
      </c>
      <c r="F286" s="28" t="s">
        <v>674</v>
      </c>
      <c r="G286" s="28" t="s">
        <v>674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650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18.5</v>
      </c>
      <c r="AJ286" s="7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1.7000000000000002</v>
      </c>
      <c r="AK286" s="7" t="str">
        <f>IF(AI286="No","No",_xlfn.XLOOKUP(_xlfn.XLOOKUP(B286,'Base stats'!B:B,'Base stats'!E:E),Groups!A:A,Groups!AF:AF))</f>
        <v>FrontLeftPaw, FrontRightPaw</v>
      </c>
      <c r="AL286" s="7" t="str">
        <f>IF(AI286="No","No",_xlfn.XLOOKUP(_xlfn.XLOOKUP(B286,'Base stats'!B:B,'Base stats'!E:E),Groups!A:A,Groups!AG:AG))</f>
        <v>left claw, right claw</v>
      </c>
      <c r="AM286" s="7" t="str">
        <f>IF(AI286="No","No",_xlfn.XLOOKUP(_xlfn.XLOOKUP(B286,'Base stats'!B:B,'Base stats'!E:E),Groups!A:A,Groups!AH:AH))</f>
        <v>Scratch</v>
      </c>
      <c r="AN286" s="2" t="str">
        <f t="shared" si="42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43"/>
        <v>0.4</v>
      </c>
      <c r="AV286" s="8">
        <f>IFERROR(IFERROR(MROUND(_xlfn.XLOOKUP(B286,'Base stats'!B:B,'Base stats'!J:J),0.1),"Lay eggs"),"Cannot breed")</f>
        <v>1</v>
      </c>
      <c r="AW286" s="2" t="str">
        <f t="shared" si="44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Advanced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45"/>
        <v>1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46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stats'!AN260="Standard",_xlfn.XLOOKUP(_xlfn.XLOOKUP(B286,'Base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175</v>
      </c>
      <c r="BS286" s="8">
        <f t="shared" si="47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AnimalUncommon, AnimalFighter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/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stats'!AM:AM)=1,0.1,1)*IF(AND(_xlfn.XLOOKUP(B286,'Base stats'!B:B,'Base stats'!AM:AM)=1,D286="sarg.alphaanimals"),0.5,1)/100,IF(_xlfn.XLOOKUP(B286,'Base stats'!B:B,'Base stats'!AM:AM)=1,0.001,0.025)),0.5)))</f>
        <v>2E-3</v>
      </c>
      <c r="CA286" s="25" t="str">
        <f>IF(P286="Standard","No",MAX(0.001,MIN(MROUND(IF(OR(D286="sarg.alphaanimals",AND(BJ286="True",CC286="False")),POWER(10,3.47*LOG10(_xlfn.XLOOKUP(B286,'Base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48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1489</v>
      </c>
      <c r="B287" s="6" t="str">
        <f>_xlfn.XLOOKUP(A287,'Base stats'!A:A,'Base stats'!B:B)</f>
        <v>Helix giganteus</v>
      </c>
      <c r="C287" s="28" t="s">
        <v>1490</v>
      </c>
      <c r="D287" s="28" t="s">
        <v>1348</v>
      </c>
      <c r="E287" s="28" t="s">
        <v>674</v>
      </c>
      <c r="F287" s="28" t="s">
        <v>674</v>
      </c>
      <c r="G287" s="28" t="s">
        <v>674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650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36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35</v>
      </c>
      <c r="N287" s="8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0.1</v>
      </c>
      <c r="O287" s="8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0.35000000000000003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23.5</v>
      </c>
      <c r="AE287" s="7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3</v>
      </c>
      <c r="AF287" s="7" t="str">
        <f>IF(AD287="No","No",_xlfn.XLOOKUP(_xlfn.XLOOKUP(B287,'Base stats'!B:B,'Base stats'!E:E),Groups!A:A,Groups!AA:AA))</f>
        <v>Mouth</v>
      </c>
      <c r="AG287" s="7" t="str">
        <f>IF(AD287="No","No",_xlfn.XLOOKUP(_xlfn.XLOOKUP(B287,'Base stats'!B:B,'Base stats'!E:E),Groups!A:A,Groups!AB:AB))</f>
        <v>radula</v>
      </c>
      <c r="AH287" s="7" t="str">
        <f>IF(AD287="No","No",_xlfn.XLOOKUP(_xlfn.XLOOKUP(B287,'Base stats'!B:B,'Base stats'!E:E),Groups!A:A,Groups!AC:AC))</f>
        <v>Bite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42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43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44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45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46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stats'!AN261="Standard",_xlfn.XLOOKUP(_xlfn.XLOOKUP(B287,'Base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225</v>
      </c>
      <c r="BS287" s="8">
        <f t="shared" si="47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/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stats'!AM:AM)=1,0.1,1)*IF(AND(_xlfn.XLOOKUP(B287,'Base stats'!B:B,'Base stats'!AM:AM)=1,D287="sarg.alphaanimals"),0.5,1)/100,IF(_xlfn.XLOOKUP(B287,'Base stats'!B:B,'Base stats'!AM:AM)=1,0.001,0.025)),0.5)))</f>
        <v>2E-3</v>
      </c>
      <c r="CA287" s="25" t="str">
        <f>IF(P287="Standard","No",MAX(0.001,MIN(MROUND(IF(OR(D287="sarg.alphaanimals",AND(BJ287="True",CC287="False")),POWER(10,3.47*LOG10(_xlfn.XLOOKUP(B287,'Base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48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1493</v>
      </c>
      <c r="B288" s="6" t="str">
        <f>_xlfn.XLOOKUP(A288,'Base stats'!A:A,'Base stats'!B:B)</f>
        <v>Coleoptera ferrum</v>
      </c>
      <c r="C288" s="28" t="s">
        <v>1494</v>
      </c>
      <c r="D288" s="28" t="s">
        <v>1348</v>
      </c>
      <c r="E288" s="28" t="s">
        <v>674</v>
      </c>
      <c r="F288" s="28" t="s">
        <v>674</v>
      </c>
      <c r="G288" s="28" t="s">
        <v>674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42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43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44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1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45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46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stats'!AN323="Standard",_xlfn.XLOOKUP(_xlfn.XLOOKUP(B288,'Base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47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stats'!AM:AM)=1,0.1,1)*IF(AND(_xlfn.XLOOKUP(B288,'Base stats'!B:B,'Base stats'!AM:AM)=1,D288="sarg.alphaanimals"),0.5,1)/100,IF(_xlfn.XLOOKUP(B288,'Base stats'!B:B,'Base stats'!AM:AM)=1,0.001,0.025)),0.5)))</f>
        <v>2E-3</v>
      </c>
      <c r="CA288" s="25" t="str">
        <f>IF(P288="Standard","No",MAX(0.001,MIN(MROUND(IF(OR(D288="sarg.alphaanimals",AND(BJ288="True",CC288="False")),POWER(10,3.47*LOG10(_xlfn.XLOOKUP(B288,'Base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48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1495</v>
      </c>
      <c r="B289" s="6" t="str">
        <f>_xlfn.XLOOKUP(A289,'Base stats'!A:A,'Base stats'!B:B)</f>
        <v>Araneodraco sylvanus</v>
      </c>
      <c r="C289" s="28" t="s">
        <v>1496</v>
      </c>
      <c r="D289" s="28" t="s">
        <v>1348</v>
      </c>
      <c r="E289" s="28" t="s">
        <v>1754</v>
      </c>
      <c r="F289" s="28" t="s">
        <v>674</v>
      </c>
      <c r="G289" s="28" t="s">
        <v>674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35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42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43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44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0.3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45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46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stats'!AN314="Standard",_xlfn.XLOOKUP(_xlfn.XLOOKUP(B289,'Base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47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/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stats'!AM:AM)=1,0.1,1)*IF(AND(_xlfn.XLOOKUP(B289,'Base stats'!B:B,'Base stats'!AM:AM)=1,D289="sarg.alphaanimals"),0.5,1)/100,IF(_xlfn.XLOOKUP(B289,'Base stats'!B:B,'Base stats'!AM:AM)=1,0.001,0.025)),0.5)))</f>
        <v>2E-3</v>
      </c>
      <c r="CA289" s="25" t="str">
        <f>IF(P289="Standard","No",MAX(0.001,MIN(MROUND(IF(OR(D289="sarg.alphaanimals",AND(BJ289="True",CC289="False")),POWER(10,3.47*LOG10(_xlfn.XLOOKUP(B289,'Base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48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1499</v>
      </c>
      <c r="B290" s="6" t="str">
        <f>_xlfn.XLOOKUP(A290,'Base stats'!A:A,'Base stats'!B:B)</f>
        <v>Gnathus ferox</v>
      </c>
      <c r="C290" s="28" t="s">
        <v>1500</v>
      </c>
      <c r="D290" s="28" t="s">
        <v>1348</v>
      </c>
      <c r="E290" s="28" t="s">
        <v>674</v>
      </c>
      <c r="F290" s="28" t="s">
        <v>674</v>
      </c>
      <c r="G290" s="28" t="s">
        <v>674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35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42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43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44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&lt;li&gt;Iguana&lt;/li&gt;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45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46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stats'!AN315="Standard",_xlfn.XLOOKUP(_xlfn.XLOOKUP(B290,'Base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47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/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stats'!AM:AM)=1,0.1,1)*IF(AND(_xlfn.XLOOKUP(B290,'Base stats'!B:B,'Base stats'!AM:AM)=1,D290="sarg.alphaanimals"),0.5,1)/100,IF(_xlfn.XLOOKUP(B290,'Base stats'!B:B,'Base stats'!AM:AM)=1,0.001,0.025)),0.5)))</f>
        <v>2E-3</v>
      </c>
      <c r="CA290" s="25" t="str">
        <f>IF(P290="Standard","No",MAX(0.001,MIN(MROUND(IF(OR(D290="sarg.alphaanimals",AND(BJ290="True",CC290="False")),POWER(10,3.47*LOG10(_xlfn.XLOOKUP(B290,'Base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48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Bone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1501</v>
      </c>
      <c r="B291" s="6" t="str">
        <f>_xlfn.XLOOKUP(A291,'Base stats'!A:A,'Base stats'!B:B)</f>
        <v>Coleoptera lucifer</v>
      </c>
      <c r="C291" s="28" t="s">
        <v>1502</v>
      </c>
      <c r="D291" s="28" t="s">
        <v>1348</v>
      </c>
      <c r="E291" s="28" t="s">
        <v>1754</v>
      </c>
      <c r="F291" s="28" t="s">
        <v>674</v>
      </c>
      <c r="G291" s="28" t="s">
        <v>674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>
        <f>_xlfn.XLOOKUP(B291,'Base stats'!B:B,'Base stats'!R:R)</f>
        <v>1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>
        <f t="shared" si="42"/>
        <v>15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43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44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true</v>
      </c>
      <c r="BK291" s="2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0.2</v>
      </c>
      <c r="BL291" s="2">
        <f t="shared" si="45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46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stats'!AN201="Standard",_xlfn.XLOOKUP(_xlfn.XLOOKUP(B291,'Base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47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true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stats'!AM:AM)=1,0.1,1)*IF(AND(_xlfn.XLOOKUP(B291,'Base stats'!B:B,'Base stats'!AM:AM)=1,D291="sarg.alphaanimals"),0.5,1)/100,IF(_xlfn.XLOOKUP(B291,'Base stats'!B:B,'Base stats'!AM:AM)=1,0.001,0.025)),0.5)))</f>
        <v>4.0000000000000001E-3</v>
      </c>
      <c r="CA291" s="25">
        <f>IF(P291="Standard","No",MAX(0.001,MIN(MROUND(IF(OR(D291="sarg.alphaanimals",AND(BJ291="True",CC291="False")),POWER(10,3.47*LOG10(_xlfn.XLOOKUP(B291,'Base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8.0000000000000002E-3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48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1503</v>
      </c>
      <c r="B292" s="6" t="str">
        <f>_xlfn.XLOOKUP(A292,'Base stats'!A:A,'Base stats'!B:B)</f>
        <v>Vermes mammuthus</v>
      </c>
      <c r="C292" s="28" t="s">
        <v>1504</v>
      </c>
      <c r="D292" s="28" t="s">
        <v>1348</v>
      </c>
      <c r="E292" s="28" t="s">
        <v>1755</v>
      </c>
      <c r="F292" s="28" t="s">
        <v>674</v>
      </c>
      <c r="G292" s="28" t="s">
        <v>674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42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43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44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Snake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45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46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stats'!AN321="Standard",_xlfn.XLOOKUP(_xlfn.XLOOKUP(B292,'Base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47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false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stats'!AM:AM)=1,0.1,1)*IF(AND(_xlfn.XLOOKUP(B292,'Base stats'!B:B,'Base stats'!AM:AM)=1,D292="sarg.alphaanimals"),0.5,1)/100,IF(_xlfn.XLOOKUP(B292,'Base stats'!B:B,'Base stats'!AM:AM)=1,0.001,0.025)),0.5)))</f>
        <v>2E-3</v>
      </c>
      <c r="CA292" s="25" t="str">
        <f>IF(P292="Standard","No",MAX(0.001,MIN(MROUND(IF(OR(D292="sarg.alphaanimals",AND(BJ292="True",CC292="False")),POWER(10,3.47*LOG10(_xlfn.XLOOKUP(B292,'Base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48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1505</v>
      </c>
      <c r="B293" s="6" t="str">
        <f>_xlfn.XLOOKUP(A293,'Base stats'!A:A,'Base stats'!B:B)</f>
        <v>Mantis carnifera</v>
      </c>
      <c r="C293" s="28" t="s">
        <v>1506</v>
      </c>
      <c r="D293" s="28" t="s">
        <v>1348</v>
      </c>
      <c r="E293" s="28" t="s">
        <v>674</v>
      </c>
      <c r="F293" s="28" t="s">
        <v>674</v>
      </c>
      <c r="G293" s="28" t="s">
        <v>674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475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0.95</v>
      </c>
      <c r="K293" s="2">
        <f>ROUNDUP(AO293*_xlfn.XLOOKUP(_xlfn.XLOOKUP(B293,'Base stats'!B:B,'Base stats'!E:E),Groups!A:A,Groups!E:E),0)</f>
        <v>1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35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6</v>
      </c>
      <c r="R293" s="7">
        <f>IF(Q293="No","No",MAX(1,MROUND(_xlfn.XLOOKUP(B293,'Base stats'!B:B,'Base stats'!C:C)^0.165,0.05)))</f>
        <v>1.85</v>
      </c>
      <c r="S293" s="13" t="str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No</v>
      </c>
      <c r="T293" s="7" t="str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No</v>
      </c>
      <c r="U293" s="7" t="str">
        <f>IF(S293="No","No",_xlfn.XLOOKUP(_xlfn.XLOOKUP(B293,'Base stats'!B:B,'Base stats'!E:E),Groups!A:A,Groups!R:R))</f>
        <v>No</v>
      </c>
      <c r="V293" s="7" t="str">
        <f>IF(S293="No","No",_xlfn.XLOOKUP(_xlfn.XLOOKUP(B293,'Base stats'!B:B,'Base stats'!E:E),Groups!A:A,Groups!S:S))</f>
        <v>No</v>
      </c>
      <c r="W293" s="7" t="str">
        <f>IF(S293="No","No",_xlfn.XLOOKUP(_xlfn.XLOOKUP(B293,'Base stats'!B:B,'Base stats'!E:E),Groups!A:A,Groups!T:T))</f>
        <v>No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16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1.6500000000000001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7.5</v>
      </c>
      <c r="AJ293" s="7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1.4500000000000002</v>
      </c>
      <c r="AK293" s="7" t="str">
        <f>IF(AI293="No","No",_xlfn.XLOOKUP(_xlfn.XLOOKUP(B293,'Base stats'!B:B,'Base stats'!E:E),Groups!A:A,Groups!AF:AF))</f>
        <v>HeadAttackTool</v>
      </c>
      <c r="AL293" s="7" t="str">
        <f>IF(AI293="No","No",_xlfn.XLOOKUP(_xlfn.XLOOKUP(B293,'Base stats'!B:B,'Base stats'!E:E),Groups!A:A,Groups!AG:AG))</f>
        <v>razor barbs</v>
      </c>
      <c r="AM293" s="7" t="str">
        <f>IF(AI293="No","No",_xlfn.XLOOKUP(_xlfn.XLOOKUP(B293,'Base stats'!B:B,'Base stats'!E:E),Groups!A:A,Groups!AH:AH))</f>
        <v>AA_Acid</v>
      </c>
      <c r="AN293" s="2">
        <f t="shared" si="42"/>
        <v>20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0.8</v>
      </c>
      <c r="AP293" s="8">
        <f>MROUND(AO293*_xlfn.XLOOKUP(_xlfn.XLOOKUP(B293,'Base stats'!B:B,'Base stats'!E:E),Groups!A:A,Groups!AI:AI)*_xlfn.XLOOKUP(B293,'Base stats'!B:B,'Base stats'!Z:Z),0.05)</f>
        <v>0.8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0.1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8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43"/>
        <v>0.2</v>
      </c>
      <c r="AV293" s="8">
        <f>IFERROR(IFERROR(MROUND(_xlfn.XLOOKUP(B293,'Base stats'!B:B,'Base stats'!J:J),0.1),"Lay eggs"),"Cannot breed")</f>
        <v>2</v>
      </c>
      <c r="AW293" s="2" t="str">
        <f t="shared" si="44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AA_SentientPlant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0.75</v>
      </c>
      <c r="BL293" s="2">
        <f t="shared" si="45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46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stats'!AN309="Standard",_xlfn.XLOOKUP(_xlfn.XLOOKUP(B293,'Base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80</v>
      </c>
      <c r="BS293" s="8">
        <f t="shared" si="47"/>
        <v>0.25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/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stats'!AM:AM)=1,0.1,1)*IF(AND(_xlfn.XLOOKUP(B293,'Base stats'!B:B,'Base stats'!AM:AM)=1,D293="sarg.alphaanimals"),0.5,1)/100,IF(_xlfn.XLOOKUP(B293,'Base stats'!B:B,'Base stats'!AM:AM)=1,0.001,0.025)),0.5)))</f>
        <v>3.0000000000000001E-3</v>
      </c>
      <c r="CA293" s="25" t="str">
        <f>IF(P293="Standard","No",MAX(0.001,MIN(MROUND(IF(OR(D293="sarg.alphaanimals",AND(BJ293="True",CC293="False")),POWER(10,3.47*LOG10(_xlfn.XLOOKUP(B293,'Base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48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True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1507</v>
      </c>
      <c r="B294" s="6" t="str">
        <f>_xlfn.XLOOKUP(A294,'Base stats'!A:A,'Base stats'!B:B)</f>
        <v>Carnis putridus (mature)</v>
      </c>
      <c r="C294" s="28" t="s">
        <v>1508</v>
      </c>
      <c r="D294" s="28" t="s">
        <v>1348</v>
      </c>
      <c r="E294" s="28" t="s">
        <v>674</v>
      </c>
      <c r="F294" s="28" t="s">
        <v>674</v>
      </c>
      <c r="G294" s="28" t="s">
        <v>674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3000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0.98499999999999999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-40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40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32</v>
      </c>
      <c r="Y294" s="7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2.6</v>
      </c>
      <c r="Z294" s="7" t="str">
        <f>IF(X294="No","No",_xlfn.XLOOKUP(_xlfn.XLOOKUP(B294,'Base stats'!B:B,'Base stats'!E:E),Groups!A:A,Groups!W:W))</f>
        <v>HeadAttackTool</v>
      </c>
      <c r="AA294" s="7" t="str">
        <f>IF(X294="No","No",_xlfn.XLOOKUP(_xlfn.XLOOKUP(B294,'Base stats'!B:B,'Base stats'!E:E),Groups!A:A,Groups!X:X))</f>
        <v>tentacles</v>
      </c>
      <c r="AB294" s="7" t="str">
        <f>IF(X294="No","No",_xlfn.XLOOKUP(_xlfn.XLOOKUP(B294,'Base stats'!B:B,'Base stats'!E:E),Groups!A:A,Groups!Y:Y))</f>
        <v>Stab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74.5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3.0500000000000003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58.5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2.85</v>
      </c>
      <c r="AK294" s="7" t="str">
        <f>IF(AI294="No","No",_xlfn.XLOOKUP(_xlfn.XLOOKUP(B294,'Base stats'!B:B,'Base stats'!E:E),Groups!A:A,Groups!AF:AF))</f>
        <v>FrontLeftPaw, FrontRightPaw</v>
      </c>
      <c r="AL294" s="7" t="str">
        <f>IF(AI294="No","No",_xlfn.XLOOKUP(_xlfn.XLOOKUP(B294,'Base stats'!B:B,'Base stats'!E:E),Groups!A:A,Groups!AG:AG))</f>
        <v>left claw, right claw</v>
      </c>
      <c r="AM294" s="7" t="str">
        <f>IF(AI294="No","No",_xlfn.XLOOKUP(_xlfn.XLOOKUP(B294,'Base stats'!B:B,'Base stats'!E:E),Groups!A:A,Groups!AH:AH))</f>
        <v>Scratch</v>
      </c>
      <c r="AN294" s="2">
        <f t="shared" si="42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7.2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3.0500000000000003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43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44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QuadrupedAnimalWithPawsAndTail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1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1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45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46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stats'!AN247="Standard",_xlfn.XLOOKUP(_xlfn.XLOOKUP(B294,'Base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960</v>
      </c>
      <c r="BS294" s="8">
        <f t="shared" si="47"/>
        <v>3.6500000000000004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false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AnimalExotic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stats'!AM:AM)=1,0.1,1)*IF(AND(_xlfn.XLOOKUP(B294,'Base stats'!B:B,'Base stats'!AM:AM)=1,D294="sarg.alphaanimals"),0.5,1)/100,IF(_xlfn.XLOOKUP(B294,'Base stats'!B:B,'Base stats'!AM:AM)=1,0.001,0.025)),0.5)))</f>
        <v>2E-3</v>
      </c>
      <c r="CA294" s="25" t="str">
        <f>IF(P294="Standard","No",MAX(0.001,MIN(MROUND(IF(OR(D294="sarg.alphaanimals",AND(BJ294="True",CC294="False")),POWER(10,3.47*LOG10(_xlfn.XLOOKUP(B294,'Base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False</v>
      </c>
      <c r="CD294" s="25" t="str">
        <f t="shared" si="48"/>
        <v>True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True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Bone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1509</v>
      </c>
      <c r="B295" s="6" t="str">
        <f>_xlfn.XLOOKUP(A295,'Base stats'!A:A,'Base stats'!B:B)</f>
        <v>Avis prata</v>
      </c>
      <c r="C295" s="28" t="s">
        <v>1510</v>
      </c>
      <c r="D295" s="28" t="s">
        <v>1348</v>
      </c>
      <c r="E295" s="28" t="s">
        <v>674</v>
      </c>
      <c r="F295" s="28" t="s">
        <v>674</v>
      </c>
      <c r="G295" s="28" t="s">
        <v>674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1175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-15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35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101.5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42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43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44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Advanced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45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46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stats'!AN329="Standard",_xlfn.XLOOKUP(_xlfn.XLOOKUP(B295,'Base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345</v>
      </c>
      <c r="BS295" s="8">
        <f t="shared" si="47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/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stats'!AM:AM)=1,0.1,1)*IF(AND(_xlfn.XLOOKUP(B295,'Base stats'!B:B,'Base stats'!AM:AM)=1,D295="sarg.alphaanimals"),0.5,1)/100,IF(_xlfn.XLOOKUP(B295,'Base stats'!B:B,'Base stats'!AM:AM)=1,0.001,0.025)),0.5)))</f>
        <v>3.0000000000000001E-3</v>
      </c>
      <c r="CA295" s="25" t="str">
        <f>IF(P295="Standard","No",MAX(0.001,MIN(MROUND(IF(OR(D295="sarg.alphaanimals",AND(BJ295="True",CC295="False")),POWER(10,3.47*LOG10(_xlfn.XLOOKUP(B295,'Base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48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1511</v>
      </c>
      <c r="B296" s="6" t="str">
        <f>_xlfn.XLOOKUP(A296,'Base stats'!A:A,'Base stats'!B:B)</f>
        <v>Pediculus giganteus</v>
      </c>
      <c r="C296" s="28" t="s">
        <v>1512</v>
      </c>
      <c r="D296" s="28" t="s">
        <v>1348</v>
      </c>
      <c r="E296" s="28" t="s">
        <v>1755</v>
      </c>
      <c r="F296" s="28" t="s">
        <v>674</v>
      </c>
      <c r="G296" s="28" t="s">
        <v>674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42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43"/>
        <v>0.2</v>
      </c>
      <c r="AV296" s="8">
        <f>IFERROR(IFERROR(MROUND(_xlfn.XLOOKUP(B296,'Base stats'!B:B,'Base stats'!J:J),0.1),"Lay eggs"),"Cannot breed")</f>
        <v>1</v>
      </c>
      <c r="AW296" s="2" t="str">
        <f t="shared" si="44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Snake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45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46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stats'!AN282="Standard",_xlfn.XLOOKUP(_xlfn.XLOOKUP(B296,'Base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47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stats'!AM:AM)=1,0.1,1)*IF(AND(_xlfn.XLOOKUP(B296,'Base stats'!B:B,'Base stats'!AM:AM)=1,D296="sarg.alphaanimals"),0.5,1)/100,IF(_xlfn.XLOOKUP(B296,'Base stats'!B:B,'Base stats'!AM:AM)=1,0.001,0.025)),0.5)))</f>
        <v>3.0000000000000001E-3</v>
      </c>
      <c r="CA296" s="25">
        <f>IF(P296="Standard","No",MAX(0.001,MIN(MROUND(IF(OR(D296="sarg.alphaanimals",AND(BJ296="True",CC296="False")),POWER(10,3.47*LOG10(_xlfn.XLOOKUP(B296,'Base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6.0000000000000001E-3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48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1513</v>
      </c>
      <c r="B297" s="6" t="str">
        <f>_xlfn.XLOOKUP(A297,'Base stats'!A:A,'Base stats'!B:B)</f>
        <v>Metallophagus xenus</v>
      </c>
      <c r="C297" s="28" t="s">
        <v>1514</v>
      </c>
      <c r="D297" s="28" t="s">
        <v>1348</v>
      </c>
      <c r="E297" s="28" t="s">
        <v>1754</v>
      </c>
      <c r="F297" s="28" t="s">
        <v>674</v>
      </c>
      <c r="G297" s="28" t="s">
        <v>674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450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1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42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43"/>
        <v>0.2</v>
      </c>
      <c r="AV297" s="8">
        <f>IFERROR(IFERROR(MROUND(_xlfn.XLOOKUP(B297,'Base stats'!B:B,'Base stats'!J:J),0.1),"Lay eggs"),"Cannot breed")</f>
        <v>1</v>
      </c>
      <c r="AW297" s="2" t="str">
        <f t="shared" si="44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 t="str">
        <f>IF(_xlfn.XLOOKUP(_xlfn.XLOOKUP(B297,'Base stats'!B:B,'Base stats'!E:E),Groups!A:A,Groups!D:D)=1,MROUND((1-J297)*5+1,2)*IF(J297&lt;=0.4,2,1),"No")</f>
        <v>No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1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Advanced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45"/>
        <v>1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46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stats'!AN253="Standard",_xlfn.XLOOKUP(_xlfn.XLOOKUP(B297,'Base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47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AnimalUncommon, AnimalFighter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/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stats'!AM:AM)=1,0.1,1)*IF(AND(_xlfn.XLOOKUP(B297,'Base stats'!B:B,'Base stats'!AM:AM)=1,D297="sarg.alphaanimals"),0.5,1)/100,IF(_xlfn.XLOOKUP(B297,'Base stats'!B:B,'Base stats'!AM:AM)=1,0.001,0.025)),0.5)))</f>
        <v>3.0000000000000001E-3</v>
      </c>
      <c r="CA297" s="25">
        <f>IF(P297="Standard","No",MAX(0.001,MIN(MROUND(IF(OR(D297="sarg.alphaanimals",AND(BJ297="True",CC297="False")),POWER(10,3.47*LOG10(_xlfn.XLOOKUP(B297,'Base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6.0000000000000001E-3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48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1515</v>
      </c>
      <c r="B298" s="6" t="str">
        <f>_xlfn.XLOOKUP(A298,'Base stats'!A:A,'Base stats'!B:B)</f>
        <v>Mimo sapientis</v>
      </c>
      <c r="C298" s="28" t="s">
        <v>1516</v>
      </c>
      <c r="D298" s="28" t="s">
        <v>1348</v>
      </c>
      <c r="E298" s="28" t="s">
        <v>674</v>
      </c>
      <c r="F298" s="28" t="s">
        <v>674</v>
      </c>
      <c r="G298" s="28" t="s">
        <v>674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42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43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44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&lt;li&gt;Human&lt;/li&gt;</v>
      </c>
      <c r="BB298" s="2" t="str">
        <f>_xlfn.XLOOKUP(B298,'Base stats'!B:B,'Base stats'!AG:AG)</f>
        <v>Leather_Human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45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46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stats'!AN291="Standard",_xlfn.XLOOKUP(_xlfn.XLOOKUP(B298,'Base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47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stats'!AM:AM)=1,0.1,1)*IF(AND(_xlfn.XLOOKUP(B298,'Base stats'!B:B,'Base stats'!AM:AM)=1,D298="sarg.alphaanimals"),0.5,1)/100,IF(_xlfn.XLOOKUP(B298,'Base stats'!B:B,'Base stats'!AM:AM)=1,0.001,0.025)),0.5)))</f>
        <v>3.0000000000000001E-3</v>
      </c>
      <c r="CA298" s="25">
        <f>IF(P298="Standard","No",MAX(0.001,MIN(MROUND(IF(OR(D298="sarg.alphaanimals",AND(BJ298="True",CC298="False")),POWER(10,3.47*LOG10(_xlfn.XLOOKUP(B298,'Base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6.0000000000000001E-3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48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1517</v>
      </c>
      <c r="B299" s="6" t="str">
        <f>_xlfn.XLOOKUP(A299,'Base stats'!A:A,'Base stats'!B:B)</f>
        <v>Murka sapiens</v>
      </c>
      <c r="C299" s="28" t="s">
        <v>1518</v>
      </c>
      <c r="D299" s="28" t="s">
        <v>1348</v>
      </c>
      <c r="E299" s="28" t="s">
        <v>674</v>
      </c>
      <c r="F299" s="28" t="s">
        <v>674</v>
      </c>
      <c r="G299" s="28" t="s">
        <v>674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42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43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44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&lt;li&gt;Rat&lt;/li&gt;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45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46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stats'!AN213="Standard",_xlfn.XLOOKUP(_xlfn.XLOOKUP(B299,'Base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47"/>
        <v>0.5</v>
      </c>
      <c r="BT299" s="8" t="str">
        <f>_xlfn.XLOOKUP(B299,'Base stats'!B:B,'Base stats'!AF:AF)</f>
        <v>1~3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/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stats'!AM:AM)=1,0.1,1)*IF(AND(_xlfn.XLOOKUP(B299,'Base stats'!B:B,'Base stats'!AM:AM)=1,D299="sarg.alphaanimals"),0.5,1)/100,IF(_xlfn.XLOOKUP(B299,'Base stats'!B:B,'Base stats'!AM:AM)=1,0.001,0.025)),0.5)))</f>
        <v>3.0000000000000001E-3</v>
      </c>
      <c r="CA299" s="25" t="str">
        <f>IF(P299="Standard","No",MAX(0.001,MIN(MROUND(IF(OR(D299="sarg.alphaanimals",AND(BJ299="True",CC299="False")),POWER(10,3.47*LOG10(_xlfn.XLOOKUP(B299,'Base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48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1519</v>
      </c>
      <c r="B300" s="6" t="str">
        <f>_xlfn.XLOOKUP(A300,'Base stats'!A:A,'Base stats'!B:B)</f>
        <v>Colossus mycoides</v>
      </c>
      <c r="C300" s="28" t="s">
        <v>1520</v>
      </c>
      <c r="D300" s="28" t="s">
        <v>1348</v>
      </c>
      <c r="E300" s="28" t="s">
        <v>674</v>
      </c>
      <c r="F300" s="28" t="s">
        <v>674</v>
      </c>
      <c r="G300" s="28" t="s">
        <v>674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42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43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44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0.3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45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46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stats'!AN243="Standard",_xlfn.XLOOKUP(_xlfn.XLOOKUP(B300,'Base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47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/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stats'!AM:AM)=1,0.1,1)*IF(AND(_xlfn.XLOOKUP(B300,'Base stats'!B:B,'Base stats'!AM:AM)=1,D300="sarg.alphaanimals"),0.5,1)/100,IF(_xlfn.XLOOKUP(B300,'Base stats'!B:B,'Base stats'!AM:AM)=1,0.001,0.025)),0.5)))</f>
        <v>2E-3</v>
      </c>
      <c r="CA300" s="25" t="str">
        <f>IF(P300="Standard","No",MAX(0.001,MIN(MROUND(IF(OR(D300="sarg.alphaanimals",AND(BJ300="True",CC300="False")),POWER(10,3.47*LOG10(_xlfn.XLOOKUP(B300,'Base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48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1521</v>
      </c>
      <c r="B301" s="6" t="str">
        <f>_xlfn.XLOOKUP(A301,'Base stats'!A:A,'Base stats'!B:B)</f>
        <v>Echinopsios fixus</v>
      </c>
      <c r="C301" s="28" t="s">
        <v>1522</v>
      </c>
      <c r="D301" s="28" t="s">
        <v>1348</v>
      </c>
      <c r="E301" s="28" t="s">
        <v>674</v>
      </c>
      <c r="F301" s="28" t="s">
        <v>674</v>
      </c>
      <c r="G301" s="28" t="s">
        <v>674</v>
      </c>
      <c r="H301" s="2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475</v>
      </c>
      <c r="I301" s="2">
        <f>MROUND(ROUNDDOWN(_xlfn.XLOOKUP(B301,'Base stats'!B:B,'Base stats'!L:L)/3.6/(23.3/11),1),0.5)</f>
        <v>2.5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0.95</v>
      </c>
      <c r="K301" s="2">
        <f>ROUNDUP(AO301*_xlfn.XLOOKUP(_xlfn.XLOOKUP(B301,'Base stats'!B:B,'Base stats'!E:E),Groups!A:A,Groups!E:E),0)</f>
        <v>1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5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35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5.5</v>
      </c>
      <c r="R301" s="7">
        <f>IF(Q301="No","No",MAX(1,MROUND(_xlfn.XLOOKUP(B301,'Base stats'!B:B,'Base stats'!C:C)^0.165,0.05)))</f>
        <v>1.8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str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No</v>
      </c>
      <c r="Y301" s="7" t="str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No</v>
      </c>
      <c r="Z301" s="7" t="str">
        <f>IF(X301="No","No",_xlfn.XLOOKUP(_xlfn.XLOOKUP(B301,'Base stats'!B:B,'Base stats'!E:E),Groups!A:A,Groups!W:W))</f>
        <v>No</v>
      </c>
      <c r="AA301" s="7" t="str">
        <f>IF(X301="No","No",_xlfn.XLOOKUP(_xlfn.XLOOKUP(B301,'Base stats'!B:B,'Base stats'!E:E),Groups!A:A,Groups!X:X))</f>
        <v>No</v>
      </c>
      <c r="AB301" s="7" t="str">
        <f>IF(X301="No","No",_xlfn.XLOOKUP(_xlfn.XLOOKUP(B301,'Base stats'!B:B,'Base stats'!E:E),Groups!A:A,Groups!Y:Y))</f>
        <v>No</v>
      </c>
      <c r="AC301" s="7" t="str">
        <f>_xlfn.XLOOKUP(Animals!B301,'Base stats'!B:B,'Base stats'!X:X)</f>
        <v>False</v>
      </c>
      <c r="AD301" s="13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15.5</v>
      </c>
      <c r="AE301" s="7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1.6</v>
      </c>
      <c r="AF301" s="7" t="str">
        <f>IF(AD301="No","No",_xlfn.XLOOKUP(_xlfn.XLOOKUP(B301,'Base stats'!B:B,'Base stats'!E:E),Groups!A:A,Groups!AA:AA))</f>
        <v>AA_Mouth</v>
      </c>
      <c r="AG301" s="7" t="str">
        <f>IF(AD301="No","No",_xlfn.XLOOKUP(_xlfn.XLOOKUP(B301,'Base stats'!B:B,'Base stats'!E:E),Groups!A:A,Groups!AB:AB))</f>
        <v>mouth</v>
      </c>
      <c r="AH301" s="7" t="str">
        <f>IF(AD301="No","No",_xlfn.XLOOKUP(_xlfn.XLOOKUP(B301,'Base stats'!B:B,'Base stats'!E:E),Groups!A:A,Groups!AC:AC))</f>
        <v>Bite</v>
      </c>
      <c r="AI301" s="13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7</v>
      </c>
      <c r="AJ301" s="7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1.4500000000000002</v>
      </c>
      <c r="AK301" s="7" t="str">
        <f>IF(AI301="No","No",_xlfn.XLOOKUP(_xlfn.XLOOKUP(B301,'Base stats'!B:B,'Base stats'!E:E),Groups!A:A,Groups!AF:AF))</f>
        <v>HeadAttackTool</v>
      </c>
      <c r="AL301" s="7" t="str">
        <f>IF(AI301="No","No",_xlfn.XLOOKUP(_xlfn.XLOOKUP(B301,'Base stats'!B:B,'Base stats'!E:E),Groups!A:A,Groups!AG:AG))</f>
        <v>razor barbs</v>
      </c>
      <c r="AM301" s="7" t="str">
        <f>IF(AI301="No","No",_xlfn.XLOOKUP(_xlfn.XLOOKUP(B301,'Base stats'!B:B,'Base stats'!E:E),Groups!A:A,Groups!AH:AH))</f>
        <v>Scratch</v>
      </c>
      <c r="AN301" s="2" t="str">
        <f t="shared" si="42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0.75</v>
      </c>
      <c r="AP301" s="8">
        <f>MROUND(AO301*_xlfn.XLOOKUP(_xlfn.XLOOKUP(B301,'Base stats'!B:B,'Base stats'!E:E),Groups!A:A,Groups!AI:AI)*_xlfn.XLOOKUP(B301,'Base stats'!B:B,'Base stats'!Z:Z),0.05)</f>
        <v>0.75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0.1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18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8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0.4</v>
      </c>
      <c r="AU301" s="8">
        <f t="shared" si="43"/>
        <v>0.2</v>
      </c>
      <c r="AV301" s="8">
        <f>IFERROR(IFERROR(MROUND(_xlfn.XLOOKUP(B301,'Base stats'!B:B,'Base stats'!J:J),0.1),"Lay eggs"),"Cannot breed")</f>
        <v>2</v>
      </c>
      <c r="AW301" s="2" t="str">
        <f t="shared" si="44"/>
        <v>false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VegetarianRoughAnimal</v>
      </c>
      <c r="AZ301" s="2" t="str">
        <f>IF(_xlfn.XLOOKUP(_xlfn.XLOOKUP(B301,'Base stats'!B:B,'Base stats'!E:E),Groups!A:A,Groups!D:D)=1,MROUND((1-J301)*5+1,2)*IF(J301&lt;=0.4,2,1),"No")</f>
        <v>No</v>
      </c>
      <c r="BA301" s="2" t="str">
        <f>IF(AND(_xlfn.XLOOKUP(B301,'Base stats'!B:B,'Base stats'!AH:AH)="&lt;li&gt;Seal&lt;/li&gt;",G301="Odyssey"),"&lt;li&gt;AEXP_Seal&lt;/li&gt;",_xlfn.XLOOKUP(B301,'Base stats'!B:B,'Base stats'!AH:AH))</f>
        <v>No</v>
      </c>
      <c r="BB301" s="2" t="str">
        <f>_xlfn.XLOOKUP(B301,'Base stats'!B:B,'Base stats'!AG:AG)</f>
        <v>Leather_Cactus</v>
      </c>
      <c r="BC301" s="23" t="str">
        <f>_xlfn.XLOOKUP(_xlfn.XLOOKUP(B301,'Base stats'!B:B,'Base stats'!E:E),Groups!A:A,Groups!AL:AL)</f>
        <v>AA_SentientPlant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0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</v>
      </c>
      <c r="BF301" s="2" t="str">
        <f>IF(J301&gt;0.3,"No",_xlfn.XLOOKUP(_xlfn.XLOOKUP(Animals!B301,'Base stats'!B:B,'Base stats'!E:E),Groups!A:A,Groups!AP:AP))</f>
        <v>No</v>
      </c>
      <c r="BG301" s="2" t="str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No</v>
      </c>
      <c r="BH301" s="2">
        <f>IF(AND(_xlfn.XLOOKUP(_xlfn.XLOOKUP(B301,'Base stats'!B:B,'Base stats'!E:E),Groups!A:A,Groups!AQ:AQ)=1,AO301&lt;=0.35),8,12)</f>
        <v>12</v>
      </c>
      <c r="BI301" s="2" t="str">
        <f>IF(_xlfn.XLOOKUP(_xlfn.XLOOKUP(B301,'Base stats'!B:B,'Base stats'!E:E),Groups!A:A,Groups!D:D)=0,_xlfn.XLOOKUP(_xlfn.XLOOKUP(B301,'Base stats'!B:B,'Base stats'!E:E),Groups!A:A,Groups!AR:AR),"None")</f>
        <v>Intermediate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45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46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stats'!AN304="Standard",_xlfn.XLOOKUP(_xlfn.XLOOKUP(B301,'Base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75</v>
      </c>
      <c r="BS301" s="8">
        <f t="shared" si="47"/>
        <v>0.25</v>
      </c>
      <c r="BT301" s="8" t="str">
        <f>_xlfn.XLOOKUP(B301,'Base stats'!B:B,'Base stats'!AF:AF)</f>
        <v>No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str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AnimalUncommon, AnimalFighter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/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stats'!AM:AM)=1,0.1,1)*IF(AND(_xlfn.XLOOKUP(B301,'Base stats'!B:B,'Base stats'!AM:AM)=1,D301="sarg.alphaanimals"),0.5,1)/100,IF(_xlfn.XLOOKUP(B301,'Base stats'!B:B,'Base stats'!AM:AM)=1,0.001,0.025)),0.5)))</f>
        <v>3.0000000000000001E-3</v>
      </c>
      <c r="CA301" s="25" t="str">
        <f>IF(P301="Standard","No",MAX(0.001,MIN(MROUND(IF(OR(D301="sarg.alphaanimals",AND(BJ301="True",CC301="False")),POWER(10,3.47*LOG10(_xlfn.XLOOKUP(B301,'Base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True</v>
      </c>
      <c r="CD301" s="25" t="str">
        <f t="shared" si="48"/>
        <v>False</v>
      </c>
      <c r="CE301" s="25" t="str">
        <f>IF(_xlfn.XLOOKUP(_xlfn.XLOOKUP(B301,'Base stats'!B:B,'Base stats'!E:E),Groups!A:A,Groups!AX:AX),"True","False")</f>
        <v>True</v>
      </c>
      <c r="CF301" s="25" t="str">
        <f>IF(_xlfn.XLOOKUP(_xlfn.XLOOKUP(B301,'Base stats'!B:B,'Base stats'!E:E),Groups!A:A,Groups!AY:AY),"True","False")</f>
        <v>True</v>
      </c>
      <c r="CG301" s="25" t="str">
        <f>IF(_xlfn.XLOOKUP(_xlfn.XLOOKUP(B301,'Base stats'!B:B,'Base stats'!E:E),Groups!A:A,Groups!AW:AW),"True","False")</f>
        <v>True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True</v>
      </c>
    </row>
    <row r="302" spans="1:88" ht="16.5" thickTop="1" thickBot="1" x14ac:dyDescent="0.3">
      <c r="A302" s="26" t="s">
        <v>1523</v>
      </c>
      <c r="B302" s="6" t="str">
        <f>_xlfn.XLOOKUP(A302,'Base stats'!A:A,'Base stats'!B:B)</f>
        <v>Echinopsios volans</v>
      </c>
      <c r="C302" s="28" t="s">
        <v>1524</v>
      </c>
      <c r="D302" s="28" t="s">
        <v>1348</v>
      </c>
      <c r="E302" s="28" t="s">
        <v>674</v>
      </c>
      <c r="F302" s="28" t="s">
        <v>674</v>
      </c>
      <c r="G302" s="28" t="s">
        <v>674</v>
      </c>
      <c r="H302" s="2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475</v>
      </c>
      <c r="I302" s="2">
        <f>MROUND(ROUNDDOWN(_xlfn.XLOOKUP(B302,'Base stats'!B:B,'Base stats'!L:L)/3.6/(23.3/11),1),0.5)</f>
        <v>2.5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0.95</v>
      </c>
      <c r="K302" s="2">
        <f>ROUNDUP(AO302*_xlfn.XLOOKUP(_xlfn.XLOOKUP(B302,'Base stats'!B:B,'Base stats'!E:E),Groups!A:A,Groups!E:E),0)</f>
        <v>1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35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5.5</v>
      </c>
      <c r="R302" s="7">
        <f>IF(Q302="No","No",MAX(1,MROUND(_xlfn.XLOOKUP(B302,'Base stats'!B:B,'Base stats'!C:C)^0.165,0.05)))</f>
        <v>1.8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str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No</v>
      </c>
      <c r="Y302" s="7" t="str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No</v>
      </c>
      <c r="Z302" s="7" t="str">
        <f>IF(X302="No","No",_xlfn.XLOOKUP(_xlfn.XLOOKUP(B302,'Base stats'!B:B,'Base stats'!E:E),Groups!A:A,Groups!W:W))</f>
        <v>No</v>
      </c>
      <c r="AA302" s="7" t="str">
        <f>IF(X302="No","No",_xlfn.XLOOKUP(_xlfn.XLOOKUP(B302,'Base stats'!B:B,'Base stats'!E:E),Groups!A:A,Groups!X:X))</f>
        <v>No</v>
      </c>
      <c r="AB302" s="7" t="str">
        <f>IF(X302="No","No",_xlfn.XLOOKUP(_xlfn.XLOOKUP(B302,'Base stats'!B:B,'Base stats'!E:E),Groups!A:A,Groups!Y:Y))</f>
        <v>No</v>
      </c>
      <c r="AC302" s="7" t="str">
        <f>_xlfn.XLOOKUP(Animals!B302,'Base stats'!B:B,'Base stats'!X:X)</f>
        <v>False</v>
      </c>
      <c r="AD302" s="13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15.5</v>
      </c>
      <c r="AE302" s="7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1.6</v>
      </c>
      <c r="AF302" s="7" t="str">
        <f>IF(AD302="No","No",_xlfn.XLOOKUP(_xlfn.XLOOKUP(B302,'Base stats'!B:B,'Base stats'!E:E),Groups!A:A,Groups!AA:AA))</f>
        <v>AA_Mouth</v>
      </c>
      <c r="AG302" s="7" t="str">
        <f>IF(AD302="No","No",_xlfn.XLOOKUP(_xlfn.XLOOKUP(B302,'Base stats'!B:B,'Base stats'!E:E),Groups!A:A,Groups!AB:AB))</f>
        <v>mouth</v>
      </c>
      <c r="AH302" s="7" t="str">
        <f>IF(AD302="No","No",_xlfn.XLOOKUP(_xlfn.XLOOKUP(B302,'Base stats'!B:B,'Base stats'!E:E),Groups!A:A,Groups!AC:AC))</f>
        <v>Bite</v>
      </c>
      <c r="AI302" s="13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7</v>
      </c>
      <c r="AJ302" s="7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1.4500000000000002</v>
      </c>
      <c r="AK302" s="7" t="str">
        <f>IF(AI302="No","No",_xlfn.XLOOKUP(_xlfn.XLOOKUP(B302,'Base stats'!B:B,'Base stats'!E:E),Groups!A:A,Groups!AF:AF))</f>
        <v>HeadAttackTool</v>
      </c>
      <c r="AL302" s="7" t="str">
        <f>IF(AI302="No","No",_xlfn.XLOOKUP(_xlfn.XLOOKUP(B302,'Base stats'!B:B,'Base stats'!E:E),Groups!A:A,Groups!AG:AG))</f>
        <v>razor barbs</v>
      </c>
      <c r="AM302" s="7" t="str">
        <f>IF(AI302="No","No",_xlfn.XLOOKUP(_xlfn.XLOOKUP(B302,'Base stats'!B:B,'Base stats'!E:E),Groups!A:A,Groups!AH:AH))</f>
        <v>Scratch</v>
      </c>
      <c r="AN302" s="2" t="str">
        <f t="shared" si="42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0.75</v>
      </c>
      <c r="AP302" s="8">
        <f>MROUND(AO302*_xlfn.XLOOKUP(_xlfn.XLOOKUP(B302,'Base stats'!B:B,'Base stats'!E:E),Groups!A:A,Groups!AI:AI)*_xlfn.XLOOKUP(B302,'Base stats'!B:B,'Base stats'!Z:Z),0.05)</f>
        <v>0.75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0.1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18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8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0.4</v>
      </c>
      <c r="AU302" s="8">
        <f t="shared" si="43"/>
        <v>0.2</v>
      </c>
      <c r="AV302" s="8">
        <f>IFERROR(IFERROR(MROUND(_xlfn.XLOOKUP(B302,'Base stats'!B:B,'Base stats'!J:J),0.1),"Lay eggs"),"Cannot breed")</f>
        <v>2</v>
      </c>
      <c r="AW302" s="2" t="str">
        <f t="shared" si="44"/>
        <v>false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VegetarianRoughAnimal</v>
      </c>
      <c r="AZ302" s="2" t="str">
        <f>IF(_xlfn.XLOOKUP(_xlfn.XLOOKUP(B302,'Base stats'!B:B,'Base stats'!E:E),Groups!A:A,Groups!D:D)=1,MROUND((1-J302)*5+1,2)*IF(J302&lt;=0.4,2,1),"No")</f>
        <v>No</v>
      </c>
      <c r="BA302" s="2" t="str">
        <f>IF(AND(_xlfn.XLOOKUP(B302,'Base stats'!B:B,'Base stats'!AH:AH)="&lt;li&gt;Seal&lt;/li&gt;",G302="Odyssey"),"&lt;li&gt;AEXP_Seal&lt;/li&gt;",_xlfn.XLOOKUP(B302,'Base stats'!B:B,'Base stats'!AH:AH))</f>
        <v>No</v>
      </c>
      <c r="BB302" s="2" t="str">
        <f>_xlfn.XLOOKUP(B302,'Base stats'!B:B,'Base stats'!AG:AG)</f>
        <v>Leather_Cactus</v>
      </c>
      <c r="BC302" s="23" t="str">
        <f>_xlfn.XLOOKUP(_xlfn.XLOOKUP(B302,'Base stats'!B:B,'Base stats'!E:E),Groups!A:A,Groups!AL:AL)</f>
        <v>AA_SentientPlant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0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</v>
      </c>
      <c r="BF302" s="2" t="str">
        <f>IF(J302&gt;0.3,"No",_xlfn.XLOOKUP(_xlfn.XLOOKUP(Animals!B302,'Base stats'!B:B,'Base stats'!E:E),Groups!A:A,Groups!AP:AP))</f>
        <v>No</v>
      </c>
      <c r="BG302" s="2" t="str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No</v>
      </c>
      <c r="BH302" s="2">
        <f>IF(AND(_xlfn.XLOOKUP(_xlfn.XLOOKUP(B302,'Base stats'!B:B,'Base stats'!E:E),Groups!A:A,Groups!AQ:AQ)=1,AO302&lt;=0.35),8,12)</f>
        <v>12</v>
      </c>
      <c r="BI302" s="2" t="str">
        <f>IF(_xlfn.XLOOKUP(_xlfn.XLOOKUP(B302,'Base stats'!B:B,'Base stats'!E:E),Groups!A:A,Groups!D:D)=0,_xlfn.XLOOKUP(_xlfn.XLOOKUP(B302,'Base stats'!B:B,'Base stats'!E:E),Groups!A:A,Groups!AR:AR),"None")</f>
        <v>Intermediate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45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46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No</v>
      </c>
      <c r="BQ302" s="25" t="str">
        <f>IF(
   AND(
      'Base stats'!AN285="Standard",_xlfn.XLOOKUP(_xlfn.XLOOKUP(B302,'Base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75</v>
      </c>
      <c r="BS302" s="8">
        <f t="shared" si="47"/>
        <v>0.25</v>
      </c>
      <c r="BT302" s="8" t="str">
        <f>_xlfn.XLOOKUP(B302,'Base stats'!B:B,'Base stats'!AF:AF)</f>
        <v>No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str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AnimalUncommon, AnimalFighter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/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stats'!AM:AM)=1,0.1,1)*IF(AND(_xlfn.XLOOKUP(B302,'Base stats'!B:B,'Base stats'!AM:AM)=1,D302="sarg.alphaanimals"),0.5,1)/100,IF(_xlfn.XLOOKUP(B302,'Base stats'!B:B,'Base stats'!AM:AM)=1,0.001,0.025)),0.5)))</f>
        <v>3.0000000000000001E-3</v>
      </c>
      <c r="CA302" s="25" t="str">
        <f>IF(P302="Standard","No",MAX(0.001,MIN(MROUND(IF(OR(D302="sarg.alphaanimals",AND(BJ302="True",CC302="False")),POWER(10,3.47*LOG10(_xlfn.XLOOKUP(B302,'Base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True</v>
      </c>
      <c r="CD302" s="25" t="str">
        <f t="shared" si="48"/>
        <v>False</v>
      </c>
      <c r="CE302" s="25" t="str">
        <f>IF(_xlfn.XLOOKUP(_xlfn.XLOOKUP(B302,'Base stats'!B:B,'Base stats'!E:E),Groups!A:A,Groups!AX:AX),"True","False")</f>
        <v>True</v>
      </c>
      <c r="CF302" s="25" t="str">
        <f>IF(_xlfn.XLOOKUP(_xlfn.XLOOKUP(B302,'Base stats'!B:B,'Base stats'!E:E),Groups!A:A,Groups!AY:AY),"True","False")</f>
        <v>True</v>
      </c>
      <c r="CG302" s="25" t="str">
        <f>IF(_xlfn.XLOOKUP(_xlfn.XLOOKUP(B302,'Base stats'!B:B,'Base stats'!E:E),Groups!A:A,Groups!AW:AW),"True","False")</f>
        <v>True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True</v>
      </c>
    </row>
    <row r="303" spans="1:88" ht="16.5" thickTop="1" thickBot="1" x14ac:dyDescent="0.3">
      <c r="A303" s="26" t="s">
        <v>1525</v>
      </c>
      <c r="B303" s="6" t="str">
        <f>_xlfn.XLOOKUP(A303,'Base stats'!A:A,'Base stats'!B:B)</f>
        <v>Avis nocturnus</v>
      </c>
      <c r="C303" s="28" t="s">
        <v>1526</v>
      </c>
      <c r="D303" s="28" t="s">
        <v>1348</v>
      </c>
      <c r="E303" s="28" t="s">
        <v>674</v>
      </c>
      <c r="F303" s="28" t="s">
        <v>674</v>
      </c>
      <c r="G303" s="28" t="s">
        <v>674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675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1.9000000000000001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42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43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44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 t="str">
        <f>IF(_xlfn.XLOOKUP(_xlfn.XLOOKUP(B303,'Base stats'!B:B,'Base stats'!E:E),Groups!A:A,Groups!D:D)=1,MROUND((1-J303)*5+1,2)*IF(J303&lt;=0.4,2,1),"No")</f>
        <v>No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Advanced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45"/>
        <v>1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46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stats'!AN199="Standard",_xlfn.XLOOKUP(_xlfn.XLOOKUP(B303,'Base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135</v>
      </c>
      <c r="BS303" s="8">
        <f t="shared" si="47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AnimalUncommon, AnimalFighter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stats'!AM:AM)=1,0.1,1)*IF(AND(_xlfn.XLOOKUP(B303,'Base stats'!B:B,'Base stats'!AM:AM)=1,D303="sarg.alphaanimals"),0.5,1)/100,IF(_xlfn.XLOOKUP(B303,'Base stats'!B:B,'Base stats'!AM:AM)=1,0.001,0.025)),0.5)))</f>
        <v>3.0000000000000001E-3</v>
      </c>
      <c r="CA303" s="25" t="str">
        <f>IF(P303="Standard","No",MAX(0.001,MIN(MROUND(IF(OR(D303="sarg.alphaanimals",AND(BJ303="True",CC303="False")),POWER(10,3.47*LOG10(_xlfn.XLOOKUP(B303,'Base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48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1527</v>
      </c>
      <c r="B304" s="6" t="str">
        <f>_xlfn.XLOOKUP(A304,'Base stats'!A:A,'Base stats'!B:B)</f>
        <v>Crepiscuequs nocturnalis</v>
      </c>
      <c r="C304" s="28" t="s">
        <v>1528</v>
      </c>
      <c r="D304" s="28" t="s">
        <v>1348</v>
      </c>
      <c r="E304" s="28" t="s">
        <v>674</v>
      </c>
      <c r="F304" s="28" t="s">
        <v>674</v>
      </c>
      <c r="G304" s="28" t="s">
        <v>674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42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43"/>
        <v>0.2</v>
      </c>
      <c r="AV304" s="8">
        <f>IFERROR(IFERROR(MROUND(_xlfn.XLOOKUP(B304,'Base stats'!B:B,'Base stats'!J:J),0.1),"Lay eggs"),"Cannot breed")</f>
        <v>1</v>
      </c>
      <c r="AW304" s="2" t="str">
        <f t="shared" si="44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45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46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stats'!AN200="Standard",_xlfn.XLOOKUP(_xlfn.XLOOKUP(B304,'Base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47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AnimalUncommon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/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stats'!AM:AM)=1,0.1,1)*IF(AND(_xlfn.XLOOKUP(B304,'Base stats'!B:B,'Base stats'!AM:AM)=1,D304="sarg.alphaanimals"),0.5,1)/100,IF(_xlfn.XLOOKUP(B304,'Base stats'!B:B,'Base stats'!AM:AM)=1,0.001,0.025)),0.5)))</f>
        <v>2E-3</v>
      </c>
      <c r="CA304" s="25" t="str">
        <f>IF(P304="Standard","No",MAX(0.001,MIN(MROUND(IF(OR(D304="sarg.alphaanimals",AND(BJ304="True",CC304="False")),POWER(10,3.47*LOG10(_xlfn.XLOOKUP(B304,'Base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48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1529</v>
      </c>
      <c r="B305" s="6" t="str">
        <f>_xlfn.XLOOKUP(A305,'Base stats'!A:A,'Base stats'!B:B)</f>
        <v>Crepiscuovis nocturnus</v>
      </c>
      <c r="C305" s="28" t="s">
        <v>1530</v>
      </c>
      <c r="D305" s="28" t="s">
        <v>1348</v>
      </c>
      <c r="E305" s="28" t="s">
        <v>674</v>
      </c>
      <c r="F305" s="28" t="s">
        <v>674</v>
      </c>
      <c r="G305" s="28" t="s">
        <v>674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42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43"/>
        <v>0.2</v>
      </c>
      <c r="AV305" s="8">
        <f>IFERROR(IFERROR(MROUND(_xlfn.XLOOKUP(B305,'Base stats'!B:B,'Base stats'!J:J),0.1),"Lay eggs"),"Cannot breed")</f>
        <v>1</v>
      </c>
      <c r="AW305" s="2" t="str">
        <f t="shared" si="44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45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46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stats'!AN288="Standard",_xlfn.XLOOKUP(_xlfn.XLOOKUP(B305,'Base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47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AnimalUncommon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/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stats'!AM:AM)=1,0.1,1)*IF(AND(_xlfn.XLOOKUP(B305,'Base stats'!B:B,'Base stats'!AM:AM)=1,D305="sarg.alphaanimals"),0.5,1)/100,IF(_xlfn.XLOOKUP(B305,'Base stats'!B:B,'Base stats'!AM:AM)=1,0.001,0.025)),0.5)))</f>
        <v>3.0000000000000001E-3</v>
      </c>
      <c r="CA305" s="25" t="str">
        <f>IF(P305="Standard","No",MAX(0.001,MIN(MROUND(IF(OR(D305="sarg.alphaanimals",AND(BJ305="True",CC305="False")),POWER(10,3.47*LOG10(_xlfn.XLOOKUP(B305,'Base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48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1531</v>
      </c>
      <c r="B306" s="6" t="str">
        <f>_xlfn.XLOOKUP(A306,'Base stats'!A:A,'Base stats'!B:B)</f>
        <v>Noctiluca ferox</v>
      </c>
      <c r="C306" s="28" t="s">
        <v>1532</v>
      </c>
      <c r="D306" s="28" t="s">
        <v>1348</v>
      </c>
      <c r="E306" s="28" t="s">
        <v>674</v>
      </c>
      <c r="F306" s="28" t="s">
        <v>674</v>
      </c>
      <c r="G306" s="28" t="s">
        <v>674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550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0.75</v>
      </c>
      <c r="K306" s="2">
        <f>ROUNDUP(AO306*_xlfn.XLOOKUP(_xlfn.XLOOKUP(B306,'Base stats'!B:B,'Base stats'!E:E),Groups!A:A,Groups!E:E),0)</f>
        <v>2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-30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7.5</v>
      </c>
      <c r="R306" s="7">
        <f>IF(Q306="No","No",MAX(1,MROUND(_xlfn.XLOOKUP(B306,'Base stats'!B:B,'Base stats'!C:C)^0.165,0.05)))</f>
        <v>2.0500000000000003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14.5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1.6500000000000001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 t="str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No</v>
      </c>
      <c r="AJ306" s="7" t="str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No</v>
      </c>
      <c r="AK306" s="7" t="str">
        <f>IF(AI306="No","No",_xlfn.XLOOKUP(_xlfn.XLOOKUP(B306,'Base stats'!B:B,'Base stats'!E:E),Groups!A:A,Groups!AF:AF))</f>
        <v>No</v>
      </c>
      <c r="AL306" s="7" t="str">
        <f>IF(AI306="No","No",_xlfn.XLOOKUP(_xlfn.XLOOKUP(B306,'Base stats'!B:B,'Base stats'!E:E),Groups!A:A,Groups!AG:AG))</f>
        <v>No</v>
      </c>
      <c r="AM306" s="7" t="str">
        <f>IF(AI306="No","No",_xlfn.XLOOKUP(_xlfn.XLOOKUP(B306,'Base stats'!B:B,'Base stats'!E:E),Groups!A:A,Groups!AH:AH))</f>
        <v>No</v>
      </c>
      <c r="AN306" s="2">
        <f t="shared" si="42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1.05</v>
      </c>
      <c r="AP306" s="8">
        <f>MROUND(AO306*_xlfn.XLOOKUP(_xlfn.XLOOKUP(B306,'Base stats'!B:B,'Base stats'!E:E),Groups!A:A,Groups!AI:AI)*_xlfn.XLOOKUP(B306,'Base stats'!B:B,'Base stats'!Z:Z),0.05)</f>
        <v>1.25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0.60000000000000009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43"/>
        <v>0.2</v>
      </c>
      <c r="AV306" s="8">
        <f>IFERROR(IFERROR(MROUND(_xlfn.XLOOKUP(B306,'Base stats'!B:B,'Base stats'!J:J),0.1),"Lay eggs"),"Cannot breed")</f>
        <v>4</v>
      </c>
      <c r="AW306" s="2" t="str">
        <f t="shared" si="44"/>
        <v>true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Advanced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2.75</v>
      </c>
      <c r="BL306" s="2">
        <f t="shared" si="45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46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120</v>
      </c>
      <c r="BS306" s="8">
        <f t="shared" si="47"/>
        <v>0.70000000000000007</v>
      </c>
      <c r="BT306" s="8" t="str">
        <f>_xlfn.XLOOKUP(B306,'Base stats'!B:B,'Base stats'!AF:AF)</f>
        <v>1~3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/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stats'!AM:AM)=1,0.1,1)*IF(AND(_xlfn.XLOOKUP(B306,'Base stats'!B:B,'Base stats'!AM:AM)=1,D306="sarg.alphaanimals"),0.5,1)/100,IF(_xlfn.XLOOKUP(B306,'Base stats'!B:B,'Base stats'!AM:AM)=1,0.001,0.025)),0.5)))</f>
        <v>3.0000000000000001E-3</v>
      </c>
      <c r="CA306" s="25" t="str">
        <f>IF(P306="Standard","No",MAX(0.001,MIN(MROUND(IF(OR(D306="sarg.alphaanimals",AND(BJ306="True",CC306="False")),POWER(10,3.47*LOG10(_xlfn.XLOOKUP(B306,'Base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48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1533</v>
      </c>
      <c r="B307" s="6" t="str">
        <f>_xlfn.XLOOKUP(A307,'Base stats'!A:A,'Base stats'!B:B)</f>
        <v>Gelatinous oculi</v>
      </c>
      <c r="C307" s="28" t="s">
        <v>1534</v>
      </c>
      <c r="D307" s="28" t="s">
        <v>1348</v>
      </c>
      <c r="E307" s="28" t="s">
        <v>674</v>
      </c>
      <c r="F307" s="28" t="s">
        <v>674</v>
      </c>
      <c r="G307" s="28" t="s">
        <v>674</v>
      </c>
      <c r="H307" s="2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250</v>
      </c>
      <c r="I307" s="2">
        <f>MROUND(ROUNDDOWN(_xlfn.XLOOKUP(B307,'Base stats'!B:B,'Base stats'!L:L)/3.6/(23.3/11),1),0.5)</f>
        <v>3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0.5</v>
      </c>
      <c r="K307" s="2">
        <f>ROUNDUP(AO307*_xlfn.XLOOKUP(_xlfn.XLOOKUP(B307,'Base stats'!B:B,'Base stats'!E:E),Groups!A:A,Groups!E:E),0)</f>
        <v>1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5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4.5</v>
      </c>
      <c r="R307" s="7">
        <f>IF(Q307="No","No",MAX(1,MROUND(_xlfn.XLOOKUP(B307,'Base stats'!B:B,'Base stats'!C:C)^0.165,0.05)))</f>
        <v>1.6500000000000001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str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No</v>
      </c>
      <c r="Y307" s="7" t="str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No</v>
      </c>
      <c r="Z307" s="7" t="str">
        <f>IF(X307="No","No",_xlfn.XLOOKUP(_xlfn.XLOOKUP(B307,'Base stats'!B:B,'Base stats'!E:E),Groups!A:A,Groups!W:W))</f>
        <v>No</v>
      </c>
      <c r="AA307" s="7" t="str">
        <f>IF(X307="No","No",_xlfn.XLOOKUP(_xlfn.XLOOKUP(B307,'Base stats'!B:B,'Base stats'!E:E),Groups!A:A,Groups!X:X))</f>
        <v>No</v>
      </c>
      <c r="AB307" s="7" t="str">
        <f>IF(X307="No","No",_xlfn.XLOOKUP(_xlfn.XLOOKUP(B307,'Base stats'!B:B,'Base stats'!E:E),Groups!A:A,Groups!Y:Y))</f>
        <v>No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5.5</v>
      </c>
      <c r="AJ307" s="7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1.25</v>
      </c>
      <c r="AK307" s="7" t="str">
        <f>IF(AI307="No","No",_xlfn.XLOOKUP(_xlfn.XLOOKUP(B307,'Base stats'!B:B,'Base stats'!E:E),Groups!A:A,Groups!AF:AF))</f>
        <v>Arms</v>
      </c>
      <c r="AL307" s="7" t="str">
        <f>IF(AI307="No","No",_xlfn.XLOOKUP(_xlfn.XLOOKUP(B307,'Base stats'!B:B,'Base stats'!E:E),Groups!A:A,Groups!AG:AG))</f>
        <v>tentacles</v>
      </c>
      <c r="AM307" s="7" t="str">
        <f>IF(AI307="No","No",_xlfn.XLOOKUP(_xlfn.XLOOKUP(B307,'Base stats'!B:B,'Base stats'!E:E),Groups!A:A,Groups!AH:AH))</f>
        <v>Blunt</v>
      </c>
      <c r="AN307" s="2" t="str">
        <f t="shared" si="42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0.55000000000000004</v>
      </c>
      <c r="AP307" s="8">
        <f>MROUND(AO307*_xlfn.XLOOKUP(_xlfn.XLOOKUP(B307,'Base stats'!B:B,'Base stats'!E:E),Groups!A:A,Groups!AI:AI)*_xlfn.XLOOKUP(B307,'Base stats'!B:B,'Base stats'!Z:Z),0.05)</f>
        <v>0.55000000000000004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0.1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3</v>
      </c>
      <c r="AS307" s="35" t="str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Lay eggs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0.3</v>
      </c>
      <c r="AU307" s="8">
        <f t="shared" si="43"/>
        <v>0.15000000000000002</v>
      </c>
      <c r="AV307" s="8" t="str">
        <f>IFERROR(IFERROR(MROUND(_xlfn.XLOOKUP(B307,'Base stats'!B:B,'Base stats'!J:J),0.1),"Lay eggs"),"Cannot breed")</f>
        <v>Lay eggs</v>
      </c>
      <c r="AW307" s="2" t="str">
        <f t="shared" si="44"/>
        <v>false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VegetarianRoughAnimal</v>
      </c>
      <c r="AZ307" s="2">
        <f>IF(_xlfn.XLOOKUP(_xlfn.XLOOKUP(B307,'Base stats'!B:B,'Base stats'!E:E),Groups!A:A,Groups!D:D)=1,MROUND((1-J307)*5+1,2)*IF(J307&lt;=0.4,2,1),"No")</f>
        <v>4</v>
      </c>
      <c r="BA307" s="2" t="str">
        <f>IF(AND(_xlfn.XLOOKUP(B307,'Base stats'!B:B,'Base stats'!AH:AH)="&lt;li&gt;Seal&lt;/li&gt;",G307="Odyssey"),"&lt;li&gt;AEXP_Seal&lt;/li&gt;",_xlfn.XLOOKUP(B307,'Base stats'!B:B,'Base stats'!AH:AH))</f>
        <v>No</v>
      </c>
      <c r="BB307" s="2" t="str">
        <f>_xlfn.XLOOKUP(B307,'Base stats'!B:B,'Base stats'!AG:AG)</f>
        <v>No</v>
      </c>
      <c r="BC307" s="23" t="str">
        <f>_xlfn.XLOOKUP(_xlfn.XLOOKUP(B307,'Base stats'!B:B,'Base stats'!E:E),Groups!A:A,Groups!AL:AL)</f>
        <v>Jellyfish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 t="str">
        <f>IF(J307&gt;0.3,"No",_xlfn.XLOOKUP(_xlfn.XLOOKUP(Animals!B307,'Base stats'!B:B,'Base stats'!E:E),Groups!A:A,Groups!AP:AP))</f>
        <v>No</v>
      </c>
      <c r="BG307" s="2" t="str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No</v>
      </c>
      <c r="BH307" s="2">
        <f>IF(AND(_xlfn.XLOOKUP(_xlfn.XLOOKUP(B307,'Base stats'!B:B,'Base stats'!E:E),Groups!A:A,Groups!AQ:AQ)=1,AO307&lt;=0.35),8,12)</f>
        <v>12</v>
      </c>
      <c r="BI307" s="2" t="str">
        <f>IF(_xlfn.XLOOKUP(_xlfn.XLOOKUP(B307,'Base stats'!B:B,'Base stats'!E:E),Groups!A:A,Groups!D:D)=0,_xlfn.XLOOKUP(_xlfn.XLOOKUP(B307,'Base stats'!B:B,'Base stats'!E:E),Groups!A:A,Groups!AR:AR),"None")</f>
        <v>None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45"/>
        <v>0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46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stats'!AN324="Standard",_xlfn.XLOOKUP(_xlfn.XLOOKUP(B307,'Base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100</v>
      </c>
      <c r="BS307" s="8">
        <f t="shared" si="47"/>
        <v>0.2</v>
      </c>
      <c r="BT307" s="8" t="str">
        <f>_xlfn.XLOOKUP(B307,'Base stats'!B:B,'Base stats'!AF:AF)</f>
        <v>No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true</v>
      </c>
      <c r="BV307" s="2" t="str">
        <f>IF(_xlfn.XLOOKUP(B307,'Base stats'!B:B,'Base stats'!AI:AI)=1,"true","false")</f>
        <v>false</v>
      </c>
      <c r="BW307" s="25" t="str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AnimalUncommon, AnimalFighter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stats'!AM:AM)=1,0.1,1)*IF(AND(_xlfn.XLOOKUP(B307,'Base stats'!B:B,'Base stats'!AM:AM)=1,D307="sarg.alphaanimals"),0.5,1)/100,IF(_xlfn.XLOOKUP(B307,'Base stats'!B:B,'Base stats'!AM:AM)=1,0.001,0.025)),0.5)))</f>
        <v>2E-3</v>
      </c>
      <c r="CA307" s="25" t="str">
        <f>IF(P307="Standard","No",MAX(0.001,MIN(MROUND(IF(OR(D307="sarg.alphaanimals",AND(BJ307="True",CC307="False")),POWER(10,3.47*LOG10(_xlfn.XLOOKUP(B307,'Base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True</v>
      </c>
      <c r="CD307" s="25" t="str">
        <f t="shared" si="48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1535</v>
      </c>
      <c r="B308" s="6" t="str">
        <f>_xlfn.XLOOKUP(A308,'Base stats'!A:A,'Base stats'!B:B)</f>
        <v>Noctiluca oculatus</v>
      </c>
      <c r="C308" s="28" t="s">
        <v>1536</v>
      </c>
      <c r="D308" s="28" t="s">
        <v>1348</v>
      </c>
      <c r="E308" s="28" t="s">
        <v>674</v>
      </c>
      <c r="F308" s="28" t="s">
        <v>674</v>
      </c>
      <c r="G308" s="28" t="s">
        <v>674</v>
      </c>
      <c r="H308" s="2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550</v>
      </c>
      <c r="I308" s="2">
        <f>MROUND(ROUNDDOWN(_xlfn.XLOOKUP(B308,'Base stats'!B:B,'Base stats'!L:L)/3.6/(23.3/11),1),0.5)</f>
        <v>8.5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0.75</v>
      </c>
      <c r="K308" s="2">
        <f>ROUNDUP(AO308*_xlfn.XLOOKUP(_xlfn.XLOOKUP(B308,'Base stats'!B:B,'Base stats'!E:E),Groups!A:A,Groups!E:E),0)</f>
        <v>2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-30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7.5</v>
      </c>
      <c r="R308" s="7">
        <f>IF(Q308="No","No",MAX(1,MROUND(_xlfn.XLOOKUP(B308,'Base stats'!B:B,'Base stats'!C:C)^0.165,0.05)))</f>
        <v>2.0500000000000003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str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No</v>
      </c>
      <c r="Y308" s="7" t="str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No</v>
      </c>
      <c r="Z308" s="7" t="str">
        <f>IF(X308="No","No",_xlfn.XLOOKUP(_xlfn.XLOOKUP(B308,'Base stats'!B:B,'Base stats'!E:E),Groups!A:A,Groups!W:W))</f>
        <v>No</v>
      </c>
      <c r="AA308" s="7" t="str">
        <f>IF(X308="No","No",_xlfn.XLOOKUP(_xlfn.XLOOKUP(B308,'Base stats'!B:B,'Base stats'!E:E),Groups!A:A,Groups!X:X))</f>
        <v>No</v>
      </c>
      <c r="AB308" s="7" t="str">
        <f>IF(X308="No","No",_xlfn.XLOOKUP(_xlfn.XLOOKUP(B308,'Base stats'!B:B,'Base stats'!E:E),Groups!A:A,Groups!Y:Y))</f>
        <v>No</v>
      </c>
      <c r="AC308" s="7" t="str">
        <f>_xlfn.XLOOKUP(Animals!B308,'Base stats'!B:B,'Base stats'!X:X)</f>
        <v>False</v>
      </c>
      <c r="AD308" s="13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14.5</v>
      </c>
      <c r="AE308" s="7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1.6500000000000001</v>
      </c>
      <c r="AF308" s="7" t="str">
        <f>IF(AD308="No","No",_xlfn.XLOOKUP(_xlfn.XLOOKUP(B308,'Base stats'!B:B,'Base stats'!E:E),Groups!A:A,Groups!AA:AA))</f>
        <v>Teeth</v>
      </c>
      <c r="AG308" s="7" t="str">
        <f>IF(AD308="No","No",_xlfn.XLOOKUP(_xlfn.XLOOKUP(B308,'Base stats'!B:B,'Base stats'!E:E),Groups!A:A,Groups!AB:AB))</f>
        <v>canines</v>
      </c>
      <c r="AH308" s="7" t="str">
        <f>IF(AD308="No","No",_xlfn.XLOOKUP(_xlfn.XLOOKUP(B308,'Base stats'!B:B,'Base stats'!E:E),Groups!A:A,Groups!AC:AC))</f>
        <v>Bite</v>
      </c>
      <c r="AI308" s="13" t="str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No</v>
      </c>
      <c r="AJ308" s="7" t="str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No</v>
      </c>
      <c r="AK308" s="7" t="str">
        <f>IF(AI308="No","No",_xlfn.XLOOKUP(_xlfn.XLOOKUP(B308,'Base stats'!B:B,'Base stats'!E:E),Groups!A:A,Groups!AF:AF))</f>
        <v>No</v>
      </c>
      <c r="AL308" s="7" t="str">
        <f>IF(AI308="No","No",_xlfn.XLOOKUP(_xlfn.XLOOKUP(B308,'Base stats'!B:B,'Base stats'!E:E),Groups!A:A,Groups!AG:AG))</f>
        <v>No</v>
      </c>
      <c r="AM308" s="7" t="str">
        <f>IF(AI308="No","No",_xlfn.XLOOKUP(_xlfn.XLOOKUP(B308,'Base stats'!B:B,'Base stats'!E:E),Groups!A:A,Groups!AH:AH))</f>
        <v>No</v>
      </c>
      <c r="AN308" s="2">
        <f t="shared" si="42"/>
        <v>20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1.05</v>
      </c>
      <c r="AP308" s="8">
        <f>MROUND(AO308*_xlfn.XLOOKUP(_xlfn.XLOOKUP(B308,'Base stats'!B:B,'Base stats'!E:E),Groups!A:A,Groups!AI:AI)*_xlfn.XLOOKUP(B308,'Base stats'!B:B,'Base stats'!Z:Z),0.05)</f>
        <v>1.25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0.60000000000000009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15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7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0.4</v>
      </c>
      <c r="AU308" s="8">
        <f t="shared" si="43"/>
        <v>0.2</v>
      </c>
      <c r="AV308" s="8">
        <f>IFERROR(IFERROR(MROUND(_xlfn.XLOOKUP(B308,'Base stats'!B:B,'Base stats'!J:J),0.1),"Lay eggs"),"Cannot breed")</f>
        <v>4</v>
      </c>
      <c r="AW308" s="2" t="str">
        <f t="shared" si="44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CarnivoreAnimal,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 t="str">
        <f>IF(AND(_xlfn.XLOOKUP(B308,'Base stats'!B:B,'Base stats'!AH:AH)="&lt;li&gt;Seal&lt;/li&gt;",G308="Odyssey"),"&lt;li&gt;AEXP_Seal&lt;/li&gt;",_xlfn.XLOOKUP(B308,'Base stats'!B:B,'Base stats'!AH:AH))</f>
        <v>&lt;li&gt;AA_Nightling&lt;/li&gt;</v>
      </c>
      <c r="BB308" s="2" t="str">
        <f>_xlfn.XLOOKUP(B308,'Base stats'!B:B,'Base stats'!AG:AG)</f>
        <v>Leather_Night</v>
      </c>
      <c r="BC308" s="23" t="str">
        <f>_xlfn.XLOOKUP(_xlfn.XLOOKUP(B308,'Base stats'!B:B,'Base stats'!E:E),Groups!A:A,Groups!AL:AL)</f>
        <v>QuadrupedAnimalWithPawsAndTail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0.1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0.3</v>
      </c>
      <c r="BF308" s="2" t="str">
        <f>IF(J308&gt;0.3,"No",_xlfn.XLOOKUP(_xlfn.XLOOKUP(Animals!B308,'Base stats'!B:B,'Base stats'!E:E),Groups!A:A,Groups!AP:AP))</f>
        <v>No</v>
      </c>
      <c r="BG308" s="2" t="str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No</v>
      </c>
      <c r="BH308" s="2">
        <f>IF(AND(_xlfn.XLOOKUP(_xlfn.XLOOKUP(B308,'Base stats'!B:B,'Base stats'!E:E),Groups!A:A,Groups!AQ:AQ)=1,AO308&lt;=0.35),8,12)</f>
        <v>12</v>
      </c>
      <c r="BI308" s="2" t="str">
        <f>IF(_xlfn.XLOOKUP(_xlfn.XLOOKUP(B308,'Base stats'!B:B,'Base stats'!E:E),Groups!A:A,Groups!D:D)=0,_xlfn.XLOOKUP(_xlfn.XLOOKUP(B308,'Base stats'!B:B,'Base stats'!E:E),Groups!A:A,Groups!AR:AR),"None")</f>
        <v>Advanced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true</v>
      </c>
      <c r="BK308" s="2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2.75</v>
      </c>
      <c r="BL308" s="2">
        <f t="shared" si="45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46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AttackTarget</v>
      </c>
      <c r="BQ308" s="25" t="str">
        <f>IF(
   AND(
      'Base stats'!AN279="Standard",_xlfn.XLOOKUP(_xlfn.XLOOKUP(B308,'Base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120</v>
      </c>
      <c r="BS308" s="8">
        <f t="shared" si="47"/>
        <v>0.70000000000000007</v>
      </c>
      <c r="BT308" s="8" t="str">
        <f>_xlfn.XLOOKUP(B308,'Base stats'!B:B,'Base stats'!AF:AF)</f>
        <v>1~3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true</v>
      </c>
      <c r="BV308" s="2" t="str">
        <f>IF(_xlfn.XLOOKUP(B308,'Base stats'!B:B,'Base stats'!AI:AI)=1,"true","false")</f>
        <v>false</v>
      </c>
      <c r="BW308" s="25" t="str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AnimalUncommon, AnimalFighter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stats'!AM:AM)=1,0.1,1)*IF(AND(_xlfn.XLOOKUP(B308,'Base stats'!B:B,'Base stats'!AM:AM)=1,D308="sarg.alphaanimals"),0.5,1)/100,IF(_xlfn.XLOOKUP(B308,'Base stats'!B:B,'Base stats'!AM:AM)=1,0.001,0.025)),0.5)))</f>
        <v>3.0000000000000001E-3</v>
      </c>
      <c r="CA308" s="25" t="str">
        <f>IF(P308="Standard","No",MAX(0.001,MIN(MROUND(IF(OR(D308="sarg.alphaanimals",AND(BJ308="True",CC308="False")),POWER(10,3.47*LOG10(_xlfn.XLOOKUP(B308,'Base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True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48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True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1537</v>
      </c>
      <c r="B309" s="6" t="str">
        <f>_xlfn.XLOOKUP(A309,'Base stats'!A:A,'Base stats'!B:B)</f>
        <v>Colossus herbosus</v>
      </c>
      <c r="C309" s="28" t="s">
        <v>1538</v>
      </c>
      <c r="D309" s="28" t="s">
        <v>1348</v>
      </c>
      <c r="E309" s="28" t="s">
        <v>674</v>
      </c>
      <c r="F309" s="28" t="s">
        <v>674</v>
      </c>
      <c r="G309" s="28" t="s">
        <v>674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35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42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43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44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0.3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45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46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stats'!AN303="Standard",_xlfn.XLOOKUP(_xlfn.XLOOKUP(B309,'Base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47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/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stats'!AM:AM)=1,0.1,1)*IF(AND(_xlfn.XLOOKUP(B309,'Base stats'!B:B,'Base stats'!AM:AM)=1,D309="sarg.alphaanimals"),0.5,1)/100,IF(_xlfn.XLOOKUP(B309,'Base stats'!B:B,'Base stats'!AM:AM)=1,0.001,0.025)),0.5)))</f>
        <v>2E-3</v>
      </c>
      <c r="CA309" s="25" t="str">
        <f>IF(P309="Standard","No",MAX(0.001,MIN(MROUND(IF(OR(D309="sarg.alphaanimals",AND(BJ309="True",CC309="False")),POWER(10,3.47*LOG10(_xlfn.XLOOKUP(B309,'Base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48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1539</v>
      </c>
      <c r="B310" s="6" t="str">
        <f>_xlfn.XLOOKUP(A310,'Base stats'!A:A,'Base stats'!B:B)</f>
        <v>Megacancer lapidus</v>
      </c>
      <c r="C310" s="28" t="s">
        <v>1540</v>
      </c>
      <c r="D310" s="28" t="s">
        <v>1348</v>
      </c>
      <c r="E310" s="28" t="s">
        <v>674</v>
      </c>
      <c r="F310" s="28" t="s">
        <v>674</v>
      </c>
      <c r="G310" s="28" t="s">
        <v>674</v>
      </c>
      <c r="H310" s="2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125</v>
      </c>
      <c r="I310" s="2">
        <f>MROUND(ROUNDDOWN(_xlfn.XLOOKUP(B310,'Base stats'!B:B,'Base stats'!L:L)/3.6/(23.3/11),1),0.5)</f>
        <v>1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0.8</v>
      </c>
      <c r="K310" s="2">
        <f>ROUNDUP(AO310*_xlfn.XLOOKUP(_xlfn.XLOOKUP(B310,'Base stats'!B:B,'Base stats'!E:E),Groups!A:A,Groups!E:E),0)</f>
        <v>1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5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35</v>
      </c>
      <c r="N310" s="8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0.5</v>
      </c>
      <c r="O310" s="8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0.05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5</v>
      </c>
      <c r="R310" s="7">
        <f>IF(Q310="No","No",MAX(1,MROUND(_xlfn.XLOOKUP(B310,'Base stats'!B:B,'Base stats'!C:C)^0.165,0.05)))</f>
        <v>1.7000000000000002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str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No</v>
      </c>
      <c r="Y310" s="7" t="str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No</v>
      </c>
      <c r="Z310" s="7" t="str">
        <f>IF(X310="No","No",_xlfn.XLOOKUP(_xlfn.XLOOKUP(B310,'Base stats'!B:B,'Base stats'!E:E),Groups!A:A,Groups!W:W))</f>
        <v>No</v>
      </c>
      <c r="AA310" s="7" t="str">
        <f>IF(X310="No","No",_xlfn.XLOOKUP(_xlfn.XLOOKUP(B310,'Base stats'!B:B,'Base stats'!E:E),Groups!A:A,Groups!X:X))</f>
        <v>No</v>
      </c>
      <c r="AB310" s="7" t="str">
        <f>IF(X310="No","No",_xlfn.XLOOKUP(_xlfn.XLOOKUP(B310,'Base stats'!B:B,'Base stats'!E:E),Groups!A:A,Groups!Y:Y))</f>
        <v>No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11</v>
      </c>
      <c r="AJ310" s="7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2.0500000000000003</v>
      </c>
      <c r="AK310" s="7" t="str">
        <f>IF(AI310="No","No",_xlfn.XLOOKUP(_xlfn.XLOOKUP(B310,'Base stats'!B:B,'Base stats'!E:E),Groups!A:A,Groups!AF:AF))</f>
        <v>FrontLeftClaws, FrontRightClaws</v>
      </c>
      <c r="AL310" s="7" t="str">
        <f>IF(AI310="No","No",_xlfn.XLOOKUP(_xlfn.XLOOKUP(B310,'Base stats'!B:B,'Base stats'!E:E),Groups!A:A,Groups!AG:AG))</f>
        <v>left claw, right claw</v>
      </c>
      <c r="AM310" s="7" t="str">
        <f>IF(AI310="No","No",_xlfn.XLOOKUP(_xlfn.XLOOKUP(B310,'Base stats'!B:B,'Base stats'!E:E),Groups!A:A,Groups!AH:AH))</f>
        <v>Scratch</v>
      </c>
      <c r="AN310" s="2" t="str">
        <f t="shared" si="42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0.65</v>
      </c>
      <c r="AP310" s="8">
        <f>MROUND(AO310*_xlfn.XLOOKUP(_xlfn.XLOOKUP(B310,'Base stats'!B:B,'Base stats'!E:E),Groups!A:A,Groups!AI:AI)*_xlfn.XLOOKUP(B310,'Base stats'!B:B,'Base stats'!Z:Z),0.05)</f>
        <v>0.65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0.1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21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0.60000000000000009</v>
      </c>
      <c r="AU310" s="8">
        <f t="shared" si="43"/>
        <v>0.30000000000000004</v>
      </c>
      <c r="AV310" s="8">
        <f>IFERROR(IFERROR(MROUND(_xlfn.XLOOKUP(B310,'Base stats'!B:B,'Base stats'!J:J),0.1),"Lay eggs"),"Cannot breed")</f>
        <v>2</v>
      </c>
      <c r="AW310" s="2" t="str">
        <f t="shared" si="44"/>
        <v>false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OmnivoreRoughAnimal, OvivoreAnimal</v>
      </c>
      <c r="AZ310" s="2">
        <f>IF(_xlfn.XLOOKUP(_xlfn.XLOOKUP(B310,'Base stats'!B:B,'Base stats'!E:E),Groups!A:A,Groups!D:D)=1,MROUND((1-J310)*5+1,2)*IF(J310&lt;=0.4,2,1),"No")</f>
        <v>2</v>
      </c>
      <c r="BA310" s="2" t="str">
        <f>IF(AND(_xlfn.XLOOKUP(B310,'Base stats'!B:B,'Base stats'!AH:AH)="&lt;li&gt;Seal&lt;/li&gt;",G310="Odyssey"),"&lt;li&gt;AEXP_Seal&lt;/li&gt;",_xlfn.XLOOKUP(B310,'Base stats'!B:B,'Base stats'!AH:AH))</f>
        <v>&lt;li&gt;AA_BoulderMit&lt;/li&gt;</v>
      </c>
      <c r="BB310" s="2" t="str">
        <f>_xlfn.XLOOKUP(B310,'Base stats'!B:B,'Base stats'!AG:AG)</f>
        <v>No</v>
      </c>
      <c r="BC310" s="23" t="str">
        <f>_xlfn.XLOOKUP(_xlfn.XLOOKUP(B310,'Base stats'!B:B,'Base stats'!E:E),Groups!A:A,Groups!AL:AL)</f>
        <v>Crab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0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</v>
      </c>
      <c r="BF310" s="2" t="str">
        <f>IF(J310&gt;0.3,"No",_xlfn.XLOOKUP(_xlfn.XLOOKUP(Animals!B310,'Base stats'!B:B,'Base stats'!E:E),Groups!A:A,Groups!AP:AP))</f>
        <v>No</v>
      </c>
      <c r="BG310" s="2" t="str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No</v>
      </c>
      <c r="BH310" s="2">
        <f>IF(AND(_xlfn.XLOOKUP(_xlfn.XLOOKUP(B310,'Base stats'!B:B,'Base stats'!E:E),Groups!A:A,Groups!AQ:AQ)=1,AO310&lt;=0.35),8,12)</f>
        <v>12</v>
      </c>
      <c r="BI310" s="2" t="str">
        <f>IF(_xlfn.XLOOKUP(_xlfn.XLOOKUP(B310,'Base stats'!B:B,'Base stats'!E:E),Groups!A:A,Groups!D:D)=0,_xlfn.XLOOKUP(_xlfn.XLOOKUP(B310,'Base stats'!B:B,'Base stats'!E:E),Groups!A:A,Groups!AR:AR),"None")</f>
        <v>None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45"/>
        <v>0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46"/>
        <v>true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>
        <f>IF(
   AND(
      'Base stats'!AN254="Standard",_xlfn.XLOOKUP(_xlfn.XLOOKUP(B310,'Base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1</v>
      </c>
      <c r="BR310" s="9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75</v>
      </c>
      <c r="BS310" s="8">
        <f t="shared" si="47"/>
        <v>0.2</v>
      </c>
      <c r="BT310" s="8" t="str">
        <f>_xlfn.XLOOKUP(B310,'Base stats'!B:B,'Base stats'!AF:AF)</f>
        <v>No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str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AnimalUncommon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/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stats'!AM:AM)=1,0.1,1)*IF(AND(_xlfn.XLOOKUP(B310,'Base stats'!B:B,'Base stats'!AM:AM)=1,D310="sarg.alphaanimals"),0.5,1)/100,IF(_xlfn.XLOOKUP(B310,'Base stats'!B:B,'Base stats'!AM:AM)=1,0.001,0.025)),0.5)))</f>
        <v>3.0000000000000001E-3</v>
      </c>
      <c r="CA310" s="25" t="str">
        <f>IF(P310="Standard","No",MAX(0.001,MIN(MROUND(IF(OR(D310="sarg.alphaanimals",AND(BJ310="True",CC310="False")),POWER(10,3.47*LOG10(_xlfn.XLOOKUP(B310,'Base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True</v>
      </c>
      <c r="CD310" s="25" t="str">
        <f t="shared" si="48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Flesh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1541</v>
      </c>
      <c r="B311" s="6" t="str">
        <f>_xlfn.XLOOKUP(A311,'Base stats'!A:A,'Base stats'!B:B)</f>
        <v>Velociraptor nobilis</v>
      </c>
      <c r="C311" s="28" t="s">
        <v>1542</v>
      </c>
      <c r="D311" s="28" t="s">
        <v>1348</v>
      </c>
      <c r="E311" s="28" t="s">
        <v>674</v>
      </c>
      <c r="F311" s="28" t="s">
        <v>674</v>
      </c>
      <c r="G311" s="28" t="s">
        <v>674</v>
      </c>
      <c r="H311" s="2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125</v>
      </c>
      <c r="I311" s="2">
        <f>MROUND(ROUNDDOWN(_xlfn.XLOOKUP(B311,'Base stats'!B:B,'Base stats'!L:L)/3.6/(23.3/11),1),0.5)</f>
        <v>2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1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5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7.5</v>
      </c>
      <c r="T311" s="7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1.6500000000000001</v>
      </c>
      <c r="U311" s="7" t="str">
        <f>IF(S311="No","No",_xlfn.XLOOKUP(_xlfn.XLOOKUP(B311,'Base stats'!B:B,'Base stats'!E:E),Groups!A:A,Groups!R:R))</f>
        <v>Feet</v>
      </c>
      <c r="V311" s="7" t="str">
        <f>IF(S311="No","No",_xlfn.XLOOKUP(_xlfn.XLOOKUP(B311,'Base stats'!B:B,'Base stats'!E:E),Groups!A:A,Groups!S:S))</f>
        <v>rear left claw, rear  right claw</v>
      </c>
      <c r="W311" s="7" t="str">
        <f>IF(S311="No","No",_xlfn.XLOOKUP(_xlfn.XLOOKUP(B311,'Base stats'!B:B,'Base stats'!E:E),Groups!A:A,Groups!T:T))</f>
        <v>Scratch</v>
      </c>
      <c r="X311" s="13" t="str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No</v>
      </c>
      <c r="Y311" s="7" t="str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No</v>
      </c>
      <c r="Z311" s="7" t="str">
        <f>IF(X311="No","No",_xlfn.XLOOKUP(_xlfn.XLOOKUP(B311,'Base stats'!B:B,'Base stats'!E:E),Groups!A:A,Groups!W:W))</f>
        <v>No</v>
      </c>
      <c r="AA311" s="7" t="str">
        <f>IF(X311="No","No",_xlfn.XLOOKUP(_xlfn.XLOOKUP(B311,'Base stats'!B:B,'Base stats'!E:E),Groups!A:A,Groups!X:X))</f>
        <v>No</v>
      </c>
      <c r="AB311" s="7" t="str">
        <f>IF(X311="No","No",_xlfn.XLOOKUP(_xlfn.XLOOKUP(B311,'Base stats'!B:B,'Base stats'!E:E),Groups!A:A,Groups!Y:Y))</f>
        <v>No</v>
      </c>
      <c r="AC311" s="7" t="str">
        <f>_xlfn.XLOOKUP(Animals!B311,'Base stats'!B:B,'Base stats'!X:X)</f>
        <v>False</v>
      </c>
      <c r="AD311" s="13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6</v>
      </c>
      <c r="AE311" s="7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1.4000000000000001</v>
      </c>
      <c r="AF311" s="7" t="str">
        <f>IF(AD311="No","No",_xlfn.XLOOKUP(_xlfn.XLOOKUP(B311,'Base stats'!B:B,'Base stats'!E:E),Groups!A:A,Groups!AA:AA))</f>
        <v>Teeth</v>
      </c>
      <c r="AG311" s="7" t="str">
        <f>IF(AD311="No","No",_xlfn.XLOOKUP(_xlfn.XLOOKUP(B311,'Base stats'!B:B,'Base stats'!E:E),Groups!A:A,Groups!AB:AB))</f>
        <v>teeth</v>
      </c>
      <c r="AH311" s="7" t="str">
        <f>IF(AD311="No","No",_xlfn.XLOOKUP(_xlfn.XLOOKUP(B311,'Base stats'!B:B,'Base stats'!E:E),Groups!A:A,Groups!AC:AC))</f>
        <v>Bite</v>
      </c>
      <c r="AI311" s="13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7</v>
      </c>
      <c r="AJ311" s="7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1.1500000000000001</v>
      </c>
      <c r="AK311" s="7" t="str">
        <f>IF(AI311="No","No",_xlfn.XLOOKUP(_xlfn.XLOOKUP(B311,'Base stats'!B:B,'Base stats'!E:E),Groups!A:A,Groups!AF:AF))</f>
        <v>FrontLeftClaws, FrontRightClaws</v>
      </c>
      <c r="AL311" s="7" t="str">
        <f>IF(AI311="No","No",_xlfn.XLOOKUP(_xlfn.XLOOKUP(B311,'Base stats'!B:B,'Base stats'!E:E),Groups!A:A,Groups!AG:AG))</f>
        <v>left claw, right claw</v>
      </c>
      <c r="AM311" s="7" t="str">
        <f>IF(AI311="No","No",_xlfn.XLOOKUP(_xlfn.XLOOKUP(B311,'Base stats'!B:B,'Base stats'!E:E),Groups!A:A,Groups!AH:AH))</f>
        <v>Scratch</v>
      </c>
      <c r="AN311" s="2">
        <f t="shared" si="42"/>
        <v>20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0.65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0.1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12</v>
      </c>
      <c r="AS311" s="35" t="str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Lay eggs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0.3</v>
      </c>
      <c r="AU311" s="8">
        <f t="shared" si="43"/>
        <v>0.15000000000000002</v>
      </c>
      <c r="AV311" s="8" t="str">
        <f>IFERROR(IFERROR(MROUND(_xlfn.XLOOKUP(B311,'Base stats'!B:B,'Base stats'!J:J),0.1),"Lay eggs"),"Cannot breed")</f>
        <v>Lay eggs</v>
      </c>
      <c r="AW311" s="2" t="str">
        <f t="shared" si="44"/>
        <v>false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CarnivoreAnimal,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 t="str">
        <f>IF(AND(_xlfn.XLOOKUP(B311,'Base stats'!B:B,'Base stats'!AH:AH)="&lt;li&gt;Seal&lt;/li&gt;",G311="Odyssey"),"&lt;li&gt;AEXP_Seal&lt;/li&gt;",_xlfn.XLOOKUP(B311,'Base stats'!B:B,'Base stats'!AH:AH))</f>
        <v>No</v>
      </c>
      <c r="BB311" s="2" t="str">
        <f>_xlfn.XLOOKUP(B311,'Base stats'!B:B,'Base stats'!AG:AG)</f>
        <v>Leather_Bird</v>
      </c>
      <c r="BC311" s="23" t="str">
        <f>_xlfn.XLOOKUP(_xlfn.XLOOKUP(B311,'Base stats'!B:B,'Base stats'!E:E),Groups!A:A,Groups!AL:AL)</f>
        <v>Theropod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0.1</v>
      </c>
      <c r="BF311" s="2" t="str">
        <f>IF(J311&gt;0.3,"No",_xlfn.XLOOKUP(_xlfn.XLOOKUP(Animals!B311,'Base stats'!B:B,'Base stats'!E:E),Groups!A:A,Groups!AP:AP))</f>
        <v>No</v>
      </c>
      <c r="BG311" s="2" t="str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No</v>
      </c>
      <c r="BH311" s="2">
        <f>IF(AND(_xlfn.XLOOKUP(_xlfn.XLOOKUP(B311,'Base stats'!B:B,'Base stats'!E:E),Groups!A:A,Groups!AQ:AQ)=1,AO311&lt;=0.35),8,12)</f>
        <v>12</v>
      </c>
      <c r="BI311" s="2" t="str">
        <f>IF(_xlfn.XLOOKUP(_xlfn.XLOOKUP(B311,'Base stats'!B:B,'Base stats'!E:E),Groups!A:A,Groups!D:D)=0,_xlfn.XLOOKUP(_xlfn.XLOOKUP(B311,'Base stats'!B:B,'Base stats'!E:E),Groups!A:A,Groups!AR:AR),"None")</f>
        <v>Intermediate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true</v>
      </c>
      <c r="BK311" s="2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0.5</v>
      </c>
      <c r="BL311" s="2">
        <f t="shared" si="45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46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AttackTarget</v>
      </c>
      <c r="BQ311" s="25" t="str">
        <f>IF(
   AND(
      'Base stats'!AN317="Standard",_xlfn.XLOOKUP(_xlfn.XLOOKUP(B311,'Base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55</v>
      </c>
      <c r="BS311" s="8">
        <f t="shared" si="47"/>
        <v>0.2</v>
      </c>
      <c r="BT311" s="8" t="str">
        <f>_xlfn.XLOOKUP(B311,'Base stats'!B:B,'Base stats'!AF:AF)</f>
        <v>No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true</v>
      </c>
      <c r="BV311" s="2" t="str">
        <f>IF(_xlfn.XLOOKUP(B311,'Base stats'!B:B,'Base stats'!AI:AI)=1,"true","false")</f>
        <v>false</v>
      </c>
      <c r="BW311" s="25" t="str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AnimalCommon, AnimalPet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stats'!AM:AM)=1,0.1,1)*IF(AND(_xlfn.XLOOKUP(B311,'Base stats'!B:B,'Base stats'!AM:AM)=1,D311="sarg.alphaanimals"),0.5,1)/100,IF(_xlfn.XLOOKUP(B311,'Base stats'!B:B,'Base stats'!AM:AM)=1,0.001,0.025)),0.5)))</f>
        <v>7.5000000000000011E-2</v>
      </c>
      <c r="CA311" s="25" t="str">
        <f>IF(P311="Standard","No",MAX(0.001,MIN(MROUND(IF(OR(D311="sarg.alphaanimals",AND(BJ311="True",CC311="False")),POWER(10,3.47*LOG10(_xlfn.XLOOKUP(B311,'Base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True</v>
      </c>
      <c r="CD311" s="25" t="str">
        <f t="shared" si="48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1543</v>
      </c>
      <c r="B312" s="6" t="str">
        <f>_xlfn.XLOOKUP(A312,'Base stats'!A:A,'Base stats'!B:B)</f>
        <v>Feliscopus phoenix</v>
      </c>
      <c r="C312" s="28" t="s">
        <v>1544</v>
      </c>
      <c r="D312" s="28" t="s">
        <v>1348</v>
      </c>
      <c r="E312" s="28" t="s">
        <v>674</v>
      </c>
      <c r="F312" s="28" t="s">
        <v>674</v>
      </c>
      <c r="G312" s="28" t="s">
        <v>674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42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43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44"/>
        <v>false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&lt;li&gt;Cat&lt;/li&gt;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45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46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stats'!AN293="Standard",_xlfn.XLOOKUP(_xlfn.XLOOKUP(B312,'Base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47"/>
        <v>0.30000000000000004</v>
      </c>
      <c r="BT312" s="8" t="str">
        <f>_xlfn.XLOOKUP(B312,'Base stats'!B:B,'Base stats'!AF:AF)</f>
        <v>No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stats'!AM:AM)=1,0.1,1)*IF(AND(_xlfn.XLOOKUP(B312,'Base stats'!B:B,'Base stats'!AM:AM)=1,D312="sarg.alphaanimals"),0.5,1)/100,IF(_xlfn.XLOOKUP(B312,'Base stats'!B:B,'Base stats'!AM:AM)=1,0.001,0.025)),0.5)))</f>
        <v>5.0000000000000001E-3</v>
      </c>
      <c r="CA312" s="25" t="str">
        <f>IF(P312="Standard","No",MAX(0.001,MIN(MROUND(IF(OR(D312="sarg.alphaanimals",AND(BJ312="True",CC312="False")),POWER(10,3.47*LOG10(_xlfn.XLOOKUP(B312,'Base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48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1545</v>
      </c>
      <c r="B313" s="6" t="str">
        <f>_xlfn.XLOOKUP(A313,'Base stats'!A:A,'Base stats'!B:B)</f>
        <v>Plasmodium morphicus</v>
      </c>
      <c r="C313" s="28" t="s">
        <v>1546</v>
      </c>
      <c r="D313" s="28" t="s">
        <v>1348</v>
      </c>
      <c r="E313" s="28" t="s">
        <v>674</v>
      </c>
      <c r="F313" s="28" t="s">
        <v>674</v>
      </c>
      <c r="G313" s="28" t="s">
        <v>674</v>
      </c>
      <c r="H313" s="2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75</v>
      </c>
      <c r="I313" s="2">
        <f>MROUND(ROUNDDOWN(_xlfn.XLOOKUP(B313,'Base stats'!B:B,'Base stats'!L:L)/3.6/(23.3/11),1),0.5)</f>
        <v>0.5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0.5</v>
      </c>
      <c r="K313" s="2">
        <f>ROUNDUP(AO313*_xlfn.XLOOKUP(_xlfn.XLOOKUP(B313,'Base stats'!B:B,'Base stats'!E:E),Groups!A:A,Groups!E:E),0)</f>
        <v>7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5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35</v>
      </c>
      <c r="N313" s="8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0.45</v>
      </c>
      <c r="O313" s="8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0.05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4.5</v>
      </c>
      <c r="R313" s="7">
        <f>IF(Q313="No","No",MAX(1,MROUND(_xlfn.XLOOKUP(B313,'Base stats'!B:B,'Base stats'!C:C)^0.165,0.05)))</f>
        <v>1.6500000000000001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str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No</v>
      </c>
      <c r="Y313" s="7" t="str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No</v>
      </c>
      <c r="Z313" s="7" t="str">
        <f>IF(X313="No","No",_xlfn.XLOOKUP(_xlfn.XLOOKUP(B313,'Base stats'!B:B,'Base stats'!E:E),Groups!A:A,Groups!W:W))</f>
        <v>No</v>
      </c>
      <c r="AA313" s="7" t="str">
        <f>IF(X313="No","No",_xlfn.XLOOKUP(_xlfn.XLOOKUP(B313,'Base stats'!B:B,'Base stats'!E:E),Groups!A:A,Groups!X:X))</f>
        <v>No</v>
      </c>
      <c r="AB313" s="7" t="str">
        <f>IF(X313="No","No",_xlfn.XLOOKUP(_xlfn.XLOOKUP(B313,'Base stats'!B:B,'Base stats'!E:E),Groups!A:A,Groups!Y:Y))</f>
        <v>No</v>
      </c>
      <c r="AC313" s="7" t="str">
        <f>_xlfn.XLOOKUP(Animals!B313,'Base stats'!B:B,'Base stats'!X:X)</f>
        <v>False</v>
      </c>
      <c r="AD313" s="13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5</v>
      </c>
      <c r="AE313" s="7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1.6500000000000001</v>
      </c>
      <c r="AF313" s="7" t="str">
        <f>IF(AD313="No","No",_xlfn.XLOOKUP(_xlfn.XLOOKUP(B313,'Base stats'!B:B,'Base stats'!E:E),Groups!A:A,Groups!AA:AA))</f>
        <v>Mouth</v>
      </c>
      <c r="AG313" s="7" t="str">
        <f>IF(AD313="No","No",_xlfn.XLOOKUP(_xlfn.XLOOKUP(B313,'Base stats'!B:B,'Base stats'!E:E),Groups!A:A,Groups!AB:AB))</f>
        <v>radula</v>
      </c>
      <c r="AH313" s="7" t="str">
        <f>IF(AD313="No","No",_xlfn.XLOOKUP(_xlfn.XLOOKUP(B313,'Base stats'!B:B,'Base stats'!E:E),Groups!A:A,Groups!AC:AC))</f>
        <v>Bite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42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0.55000000000000004</v>
      </c>
      <c r="AP313" s="8">
        <f>MROUND(AO313*_xlfn.XLOOKUP(_xlfn.XLOOKUP(B313,'Base stats'!B:B,'Base stats'!E:E),Groups!A:A,Groups!AI:AI)*_xlfn.XLOOKUP(B313,'Base stats'!B:B,'Base stats'!Z:Z),0.05)</f>
        <v>0.55000000000000004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0.1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15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7.5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0.8</v>
      </c>
      <c r="AU313" s="8">
        <f t="shared" si="43"/>
        <v>0.4</v>
      </c>
      <c r="AV313" s="8">
        <f>IFERROR(IFERROR(MROUND(_xlfn.XLOOKUP(B313,'Base stats'!B:B,'Base stats'!J:J),0.1),"Lay eggs"),"Cannot breed")</f>
        <v>10</v>
      </c>
      <c r="AW313" s="2" t="str">
        <f t="shared" si="44"/>
        <v>false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VegetarianRoughAnimal</v>
      </c>
      <c r="AZ313" s="2" t="str">
        <f>IF(_xlfn.XLOOKUP(_xlfn.XLOOKUP(B313,'Base stats'!B:B,'Base stats'!E:E),Groups!A:A,Groups!D:D)=1,MROUND((1-J313)*5+1,2)*IF(J313&lt;=0.4,2,1),"No")</f>
        <v>No</v>
      </c>
      <c r="BA313" s="2" t="str">
        <f>IF(AND(_xlfn.XLOOKUP(B313,'Base stats'!B:B,'Base stats'!AH:AH)="&lt;li&gt;Seal&lt;/li&gt;",G313="Odyssey"),"&lt;li&gt;AEXP_Seal&lt;/li&gt;",_xlfn.XLOOKUP(B313,'Base stats'!B:B,'Base stats'!AH:AH))</f>
        <v>&lt;li&gt;AA_Helixien&lt;/li&gt;</v>
      </c>
      <c r="BB313" s="2" t="str">
        <f>_xlfn.XLOOKUP(B313,'Base stats'!B:B,'Base stats'!AG:AG)</f>
        <v>No</v>
      </c>
      <c r="BC313" s="23" t="str">
        <f>_xlfn.XLOOKUP(_xlfn.XLOOKUP(B313,'Base stats'!B:B,'Base stats'!E:E),Groups!A:A,Groups!AL:AL)</f>
        <v>Snail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 t="str">
        <f>IF(J313&gt;0.3,"No",_xlfn.XLOOKUP(_xlfn.XLOOKUP(Animals!B313,'Base stats'!B:B,'Base stats'!E:E),Groups!A:A,Groups!AP:AP))</f>
        <v>No</v>
      </c>
      <c r="BG313" s="2" t="str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No</v>
      </c>
      <c r="BH313" s="2">
        <f>IF(AND(_xlfn.XLOOKUP(_xlfn.XLOOKUP(B313,'Base stats'!B:B,'Base stats'!E:E),Groups!A:A,Groups!AQ:AQ)=1,AO313&lt;=0.35),8,12)</f>
        <v>12</v>
      </c>
      <c r="BI313" s="2" t="str">
        <f>IF(_xlfn.XLOOKUP(_xlfn.XLOOKUP(B313,'Base stats'!B:B,'Base stats'!E:E),Groups!A:A,Groups!D:D)=0,_xlfn.XLOOKUP(_xlfn.XLOOKUP(B313,'Base stats'!B:B,'Base stats'!E:E),Groups!A:A,Groups!AR:AR),"None")</f>
        <v>None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45"/>
        <v>0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46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stats'!AN287="Standard",_xlfn.XLOOKUP(_xlfn.XLOOKUP(B313,'Base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45</v>
      </c>
      <c r="BS313" s="8">
        <f t="shared" si="47"/>
        <v>0.2</v>
      </c>
      <c r="BT313" s="8" t="str">
        <f>_xlfn.XLOOKUP(B313,'Base stats'!B:B,'Base stats'!AF:AF)</f>
        <v>No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str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AnimalUncommon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/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stats'!AM:AM)=1,0.1,1)*IF(AND(_xlfn.XLOOKUP(B313,'Base stats'!B:B,'Base stats'!AM:AM)=1,D313="sarg.alphaanimals"),0.5,1)/100,IF(_xlfn.XLOOKUP(B313,'Base stats'!B:B,'Base stats'!AM:AM)=1,0.001,0.025)),0.5)))</f>
        <v>4.0000000000000001E-3</v>
      </c>
      <c r="CA313" s="25" t="str">
        <f>IF(P313="Standard","No",MAX(0.001,MIN(MROUND(IF(OR(D313="sarg.alphaanimals",AND(BJ313="True",CC313="False")),POWER(10,3.47*LOG10(_xlfn.XLOOKUP(B313,'Base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True</v>
      </c>
      <c r="CD313" s="25" t="str">
        <f t="shared" si="48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1547</v>
      </c>
      <c r="B314" s="6" t="str">
        <f>_xlfn.XLOOKUP(A314,'Base stats'!A:A,'Base stats'!B:B)</f>
        <v>Bos radiatus</v>
      </c>
      <c r="C314" s="28" t="s">
        <v>1548</v>
      </c>
      <c r="D314" s="28" t="s">
        <v>1348</v>
      </c>
      <c r="E314" s="28" t="s">
        <v>674</v>
      </c>
      <c r="F314" s="28" t="s">
        <v>674</v>
      </c>
      <c r="G314" s="28" t="s">
        <v>674</v>
      </c>
      <c r="H314" s="2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300</v>
      </c>
      <c r="I314" s="2">
        <f>MROUND(ROUNDDOWN(_xlfn.XLOOKUP(B314,'Base stats'!B:B,'Base stats'!L:L)/3.6/(23.3/11),1),0.5)</f>
        <v>4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0.35000000000000003</v>
      </c>
      <c r="K314" s="2">
        <f>ROUNDUP(AO314*_xlfn.XLOOKUP(_xlfn.XLOOKUP(B314,'Base stats'!B:B,'Base stats'!E:E),Groups!A:A,Groups!E:E),0)</f>
        <v>13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-30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35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>
        <f>_xlfn.XLOOKUP(B314,'Base stats'!B:B,'Base stats'!R:R)</f>
        <v>1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17</v>
      </c>
      <c r="T314" s="7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2.6500000000000004</v>
      </c>
      <c r="U314" s="7" t="str">
        <f>IF(S314="No","No",_xlfn.XLOOKUP(_xlfn.XLOOKUP(B314,'Base stats'!B:B,'Base stats'!E:E),Groups!A:A,Groups!R:R))</f>
        <v>FrontLeftLeg, FrontRightLeg</v>
      </c>
      <c r="V314" s="7" t="str">
        <f>IF(S314="No","No",_xlfn.XLOOKUP(_xlfn.XLOOKUP(B314,'Base stats'!B:B,'Base stats'!E:E),Groups!A:A,Groups!S:S))</f>
        <v>left hoof, right hoof</v>
      </c>
      <c r="W314" s="7" t="str">
        <f>IF(S314="No","No",_xlfn.XLOOKUP(_xlfn.XLOOKUP(B314,'Base stats'!B:B,'Base stats'!E:E),Groups!A:A,Groups!T:T))</f>
        <v>Blunt</v>
      </c>
      <c r="X314" s="13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14</v>
      </c>
      <c r="Y314" s="7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2.25</v>
      </c>
      <c r="Z314" s="7" t="str">
        <f>IF(X314="No","No",_xlfn.XLOOKUP(_xlfn.XLOOKUP(B314,'Base stats'!B:B,'Base stats'!E:E),Groups!A:A,Groups!W:W))</f>
        <v>HeadAttackTool</v>
      </c>
      <c r="AA314" s="7" t="str">
        <f>IF(X314="No","No",_xlfn.XLOOKUP(_xlfn.XLOOKUP(B314,'Base stats'!B:B,'Base stats'!E:E),Groups!A:A,Groups!X:X))</f>
        <v>horn</v>
      </c>
      <c r="AB314" s="7" t="str">
        <f>IF(X314="No","No",_xlfn.XLOOKUP(_xlfn.XLOOKUP(B314,'Base stats'!B:B,'Base stats'!E:E),Groups!A:A,Groups!Y:Y))</f>
        <v>Scratch</v>
      </c>
      <c r="AC314" s="7" t="str">
        <f>_xlfn.XLOOKUP(Animals!B314,'Base stats'!B:B,'Base stats'!X:X)</f>
        <v>True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42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2.5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18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11.5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0.3</v>
      </c>
      <c r="AU314" s="8">
        <f t="shared" si="43"/>
        <v>0.15000000000000002</v>
      </c>
      <c r="AV314" s="8">
        <f>IFERROR(IFERROR(MROUND(_xlfn.XLOOKUP(B314,'Base stats'!B:B,'Base stats'!J:J),0.1),"Lay eggs"),"Cannot breed")</f>
        <v>1</v>
      </c>
      <c r="AW314" s="2" t="str">
        <f t="shared" si="44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VegetarianRoughAnimal</v>
      </c>
      <c r="AZ314" s="2">
        <f>IF(_xlfn.XLOOKUP(_xlfn.XLOOKUP(B314,'Base stats'!B:B,'Base stats'!E:E),Groups!A:A,Groups!D:D)=1,MROUND((1-J314)*5+1,2)*IF(J314&lt;=0.4,2,1),"No")</f>
        <v>8</v>
      </c>
      <c r="BA314" s="2" t="str">
        <f>IF(AND(_xlfn.XLOOKUP(B314,'Base stats'!B:B,'Base stats'!AH:AH)="&lt;li&gt;Seal&lt;/li&gt;",G314="Odyssey"),"&lt;li&gt;AEXP_Seal&lt;/li&gt;",_xlfn.XLOOKUP(B314,'Base stats'!B:B,'Base stats'!AH:AH))</f>
        <v>&lt;li&gt;Cow&lt;/li&gt;</v>
      </c>
      <c r="BB314" s="2" t="str">
        <f>_xlfn.XLOOKUP(B314,'Base stats'!B:B,'Base stats'!AG:AG)</f>
        <v>Leather_Chitin</v>
      </c>
      <c r="BC314" s="23" t="str">
        <f>_xlfn.XLOOKUP(_xlfn.XLOOKUP(B314,'Base stats'!B:B,'Base stats'!E:E),Groups!A:A,Groups!AL:AL)</f>
        <v>QuadrupedAnimalWithHooves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 t="str">
        <f>IF(J314&gt;0.3,"No",_xlfn.XLOOKUP(_xlfn.XLOOKUP(Animals!B314,'Base stats'!B:B,'Base stats'!E:E),Groups!A:A,Groups!AP:AP))</f>
        <v>No</v>
      </c>
      <c r="BG314" s="2" t="str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No</v>
      </c>
      <c r="BH314" s="2">
        <f>IF(AND(_xlfn.XLOOKUP(_xlfn.XLOOKUP(B314,'Base stats'!B:B,'Base stats'!E:E),Groups!A:A,Groups!AQ:AQ)=1,AO314&lt;=0.35),8,12)</f>
        <v>12</v>
      </c>
      <c r="BI314" s="2" t="str">
        <f>IF(_xlfn.XLOOKUP(_xlfn.XLOOKUP(B314,'Base stats'!B:B,'Base stats'!E:E),Groups!A:A,Groups!D:D)=0,_xlfn.XLOOKUP(_xlfn.XLOOKUP(B314,'Base stats'!B:B,'Base stats'!E:E),Groups!A:A,Groups!AR:AR),"None")</f>
        <v>None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45"/>
        <v>0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46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stats'!AN268="Standard",_xlfn.XLOOKUP(_xlfn.XLOOKUP(B314,'Base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150</v>
      </c>
      <c r="BS314" s="8">
        <f t="shared" si="47"/>
        <v>1.35</v>
      </c>
      <c r="BT314" s="8" t="str">
        <f>_xlfn.XLOOKUP(B314,'Base stats'!B:B,'Base stats'!AF:AF)</f>
        <v>3~10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true</v>
      </c>
      <c r="BW314" s="25" t="str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AnimalUncommon, AnimalFarm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/>
      </c>
      <c r="BY314" s="25" t="str">
        <f>IF(_xlfn.XLOOKUP(B314,'Base stats'!B:B,'Base stats'!AJ:AJ)=1,"true","false")</f>
        <v>false</v>
      </c>
      <c r="BZ314" s="25">
        <f>IF(_xlfn.XLOOKUP(B314,'Base stats'!B:B,'Base stats'!N:N)=1,"No",MAX(0.001,MIN(MROUND(IF(OR(D314="sarg.alphaanimals",AND(BJ314="True",CC314="False")),POWER(10,3.47*LOG10(_xlfn.XLOOKUP(B314,'Base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stats'!AM:AM)=1,0.1,1)*IF(AND(_xlfn.XLOOKUP(B314,'Base stats'!B:B,'Base stats'!AM:AM)=1,D314="sarg.alphaanimals"),0.5,1)/100,IF(_xlfn.XLOOKUP(B314,'Base stats'!B:B,'Base stats'!AM:AM)=1,0.001,0.025)),0.5)))</f>
        <v>2E-3</v>
      </c>
      <c r="CA314" s="25">
        <f>IF(P314="Standard","No",MAX(0.001,MIN(MROUND(IF(OR(D314="sarg.alphaanimals",AND(BJ314="True",CC314="False")),POWER(10,3.47*LOG10(_xlfn.XLOOKUP(B314,'Base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5.0000000000000001E-3</v>
      </c>
      <c r="CB314" s="25" t="str">
        <f>IF(_xlfn.XLOOKUP(_xlfn.XLOOKUP(B314,'Base stats'!B:B,'Base stats'!E:E),Groups!A:A,Groups!AJ:AJ)="Mammal","True","False")</f>
        <v>True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48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True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1549</v>
      </c>
      <c r="B315" s="6" t="str">
        <f>_xlfn.XLOOKUP(A315,'Base stats'!A:A,'Base stats'!B:B)</f>
        <v>Caridea raptrix</v>
      </c>
      <c r="C315" s="28" t="s">
        <v>1550</v>
      </c>
      <c r="D315" s="28" t="s">
        <v>1348</v>
      </c>
      <c r="E315" s="28" t="s">
        <v>674</v>
      </c>
      <c r="F315" s="28" t="s">
        <v>674</v>
      </c>
      <c r="G315" s="28" t="s">
        <v>674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1225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0.95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35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FrontLeftPaw, FrontRightPaw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42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43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44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0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45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46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stats'!AN263="Standard",_xlfn.XLOOKUP(_xlfn.XLOOKUP(B315,'Base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47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/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stats'!AM:AM)=1,0.1,1)*IF(AND(_xlfn.XLOOKUP(B315,'Base stats'!B:B,'Base stats'!AM:AM)=1,D315="sarg.alphaanimals"),0.5,1)/100,IF(_xlfn.XLOOKUP(B315,'Base stats'!B:B,'Base stats'!AM:AM)=1,0.001,0.025)),0.5)))</f>
        <v>2E-3</v>
      </c>
      <c r="CA315" s="25" t="str">
        <f>IF(P315="Standard","No",MAX(0.001,MIN(MROUND(IF(OR(D315="sarg.alphaanimals",AND(BJ315="True",CC315="False")),POWER(10,3.47*LOG10(_xlfn.XLOOKUP(B315,'Base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48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1551</v>
      </c>
      <c r="B316" s="6" t="str">
        <f>_xlfn.XLOOKUP(A316,'Base stats'!A:A,'Base stats'!B:B)</f>
        <v>Devastator rapax</v>
      </c>
      <c r="C316" s="28" t="s">
        <v>1552</v>
      </c>
      <c r="D316" s="28" t="s">
        <v>1348</v>
      </c>
      <c r="E316" s="28" t="s">
        <v>1755</v>
      </c>
      <c r="F316" s="28" t="s">
        <v>674</v>
      </c>
      <c r="G316" s="28" t="s">
        <v>674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42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43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44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45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e">
        <f t="shared" si="46"/>
        <v>#REF!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AttackTarget, AttackTarget</v>
      </c>
      <c r="BQ316" s="25" t="e">
        <f>IF(
   AND(
      'Base stats'!#REF!="Standard",_xlfn.XLOOKUP(_xlfn.XLOOKUP(B316,'Base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#REF!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47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stats'!AM:AM)=1,0.1,1)*IF(AND(_xlfn.XLOOKUP(B316,'Base stats'!B:B,'Base stats'!AM:AM)=1,D316="sarg.alphaanimals"),0.5,1)/100,IF(_xlfn.XLOOKUP(B316,'Base stats'!B:B,'Base stats'!AM:AM)=1,0.001,0.025)),0.5)))</f>
        <v>2E-3</v>
      </c>
      <c r="CA316" s="25">
        <f>IF(P316="Standard","No",MAX(0.001,MIN(MROUND(IF(OR(D316="sarg.alphaanimals",AND(BJ316="True",CC316="False")),POWER(10,3.47*LOG10(_xlfn.XLOOKUP(B316,'Base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5.0000000000000001E-3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48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1553</v>
      </c>
      <c r="B317" s="6" t="str">
        <f>_xlfn.XLOOKUP(A317,'Base stats'!A:A,'Base stats'!B:B)</f>
        <v>Salvator electronis</v>
      </c>
      <c r="C317" s="28" t="s">
        <v>1554</v>
      </c>
      <c r="D317" s="28" t="s">
        <v>1348</v>
      </c>
      <c r="E317" s="28" t="s">
        <v>674</v>
      </c>
      <c r="F317" s="28" t="s">
        <v>674</v>
      </c>
      <c r="G317" s="28" t="s">
        <v>674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35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>IF(BJ317="false","No",MROUND(AO317*5+15*1,5))</f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>IF(AT317="No","No",IFERROR(MROUND(AT317/2,0.05),"Unknown"))</f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>IF(BT317="No","false","true")</f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>IF(BI317&lt;&gt;"None",1,0)</f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>IF(OR(BM317&lt;&gt;"No",BQ317=1),"true","false")</f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stats'!AN294="Standard",_xlfn.XLOOKUP(_xlfn.XLOOKUP(B317,'Base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>MROUND(AO317 * 0.2 + AQ317 * 0.8,0.05)</f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/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stats'!AM:AM)=1,0.1,1)*IF(AND(_xlfn.XLOOKUP(B317,'Base stats'!B:B,'Base stats'!AM:AM)=1,D317="sarg.alphaanimals"),0.5,1)/100,IF(_xlfn.XLOOKUP(B317,'Base stats'!B:B,'Base stats'!AM:AM)=1,0.001,0.025)),0.5)))</f>
        <v>3.0000000000000001E-3</v>
      </c>
      <c r="CA317" s="25" t="str">
        <f>IF(P317="Standard","No",MAX(0.001,MIN(MROUND(IF(OR(D317="sarg.alphaanimals",AND(BJ317="True",CC317="False")),POWER(10,3.47*LOG10(_xlfn.XLOOKUP(B317,'Base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>IF(J317&gt;0.95,"True","False")</f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Flesh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1555</v>
      </c>
      <c r="B318" s="6" t="str">
        <f>_xlfn.XLOOKUP(A318,'Base stats'!A:A,'Base stats'!B:B)</f>
        <v>Jaculus acutis</v>
      </c>
      <c r="C318" s="28" t="s">
        <v>1556</v>
      </c>
      <c r="D318" s="28" t="s">
        <v>1348</v>
      </c>
      <c r="E318" s="28" t="s">
        <v>674</v>
      </c>
      <c r="F318" s="28" t="s">
        <v>674</v>
      </c>
      <c r="G318" s="28" t="s">
        <v>674</v>
      </c>
      <c r="H318" s="2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550</v>
      </c>
      <c r="I318" s="2">
        <f>MROUND(ROUNDDOWN(_xlfn.XLOOKUP(B318,'Base stats'!B:B,'Base stats'!L:L)/3.6/(23.3/11),1),0.5)</f>
        <v>8.5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0.75</v>
      </c>
      <c r="K318" s="2">
        <f>ROUNDUP(AO318*_xlfn.XLOOKUP(_xlfn.XLOOKUP(B318,'Base stats'!B:B,'Base stats'!E:E),Groups!A:A,Groups!E:E),0)</f>
        <v>1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-25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35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7</v>
      </c>
      <c r="R318" s="7">
        <f>IF(Q318="No","No",MAX(1,MROUND(_xlfn.XLOOKUP(B318,'Base stats'!B:B,'Base stats'!C:C)^0.165,0.05)))</f>
        <v>2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str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No</v>
      </c>
      <c r="Y318" s="7" t="str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No</v>
      </c>
      <c r="Z318" s="7" t="str">
        <f>IF(X318="No","No",_xlfn.XLOOKUP(_xlfn.XLOOKUP(B318,'Base stats'!B:B,'Base stats'!E:E),Groups!A:A,Groups!W:W))</f>
        <v>No</v>
      </c>
      <c r="AA318" s="7" t="str">
        <f>IF(X318="No","No",_xlfn.XLOOKUP(_xlfn.XLOOKUP(B318,'Base stats'!B:B,'Base stats'!E:E),Groups!A:A,Groups!X:X))</f>
        <v>No</v>
      </c>
      <c r="AB318" s="7" t="str">
        <f>IF(X318="No","No",_xlfn.XLOOKUP(_xlfn.XLOOKUP(B318,'Base stats'!B:B,'Base stats'!E:E),Groups!A:A,Groups!Y:Y))</f>
        <v>No</v>
      </c>
      <c r="AC318" s="7" t="str">
        <f>_xlfn.XLOOKUP(Animals!B318,'Base stats'!B:B,'Base stats'!X:X)</f>
        <v>False</v>
      </c>
      <c r="AD318" s="13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14</v>
      </c>
      <c r="AE318" s="7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1.6</v>
      </c>
      <c r="AF318" s="7" t="str">
        <f>IF(AD318="No","No",_xlfn.XLOOKUP(_xlfn.XLOOKUP(B318,'Base stats'!B:B,'Base stats'!E:E),Groups!A:A,Groups!AA:AA))</f>
        <v>Teeth</v>
      </c>
      <c r="AG318" s="7" t="str">
        <f>IF(AD318="No","No",_xlfn.XLOOKUP(_xlfn.XLOOKUP(B318,'Base stats'!B:B,'Base stats'!E:E),Groups!A:A,Groups!AB:AB))</f>
        <v>canines</v>
      </c>
      <c r="AH318" s="7" t="str">
        <f>IF(AD318="No","No",_xlfn.XLOOKUP(_xlfn.XLOOKUP(B318,'Base stats'!B:B,'Base stats'!E:E),Groups!A:A,Groups!AC:AC))</f>
        <v>Bite</v>
      </c>
      <c r="AI318" s="13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11</v>
      </c>
      <c r="AJ318" s="7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1.4000000000000001</v>
      </c>
      <c r="AK318" s="7" t="str">
        <f>IF(AI318="No","No",_xlfn.XLOOKUP(_xlfn.XLOOKUP(B318,'Base stats'!B:B,'Base stats'!E:E),Groups!A:A,Groups!AF:AF))</f>
        <v>FrontLeftPaw, FrontRightPaw</v>
      </c>
      <c r="AL318" s="7" t="str">
        <f>IF(AI318="No","No",_xlfn.XLOOKUP(_xlfn.XLOOKUP(B318,'Base stats'!B:B,'Base stats'!E:E),Groups!A:A,Groups!AG:AG))</f>
        <v>left claw, right claw</v>
      </c>
      <c r="AM318" s="7" t="str">
        <f>IF(AI318="No","No",_xlfn.XLOOKUP(_xlfn.XLOOKUP(B318,'Base stats'!B:B,'Base stats'!E:E),Groups!A:A,Groups!AH:AH))</f>
        <v>AA_InfectedClaws</v>
      </c>
      <c r="AN318" s="2">
        <f t="shared" si="42"/>
        <v>20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</v>
      </c>
      <c r="AP318" s="8">
        <f>MROUND(AO318*_xlfn.XLOOKUP(_xlfn.XLOOKUP(B318,'Base stats'!B:B,'Base stats'!E:E),Groups!A:A,Groups!AI:AI)*_xlfn.XLOOKUP(B318,'Base stats'!B:B,'Base stats'!Z:Z),0.05)</f>
        <v>1.2000000000000002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0.55000000000000004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25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7.5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0.4</v>
      </c>
      <c r="AU318" s="8">
        <f t="shared" si="43"/>
        <v>0.2</v>
      </c>
      <c r="AV318" s="8">
        <f>IFERROR(IFERROR(MROUND(_xlfn.XLOOKUP(B318,'Base stats'!B:B,'Base stats'!J:J),0.1),"Lay eggs"),"Cannot breed")</f>
        <v>2</v>
      </c>
      <c r="AW318" s="2" t="str">
        <f t="shared" si="44"/>
        <v>false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CarnivoreAnimal,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 t="str">
        <f>IF(AND(_xlfn.XLOOKUP(B318,'Base stats'!B:B,'Base stats'!AH:AH)="&lt;li&gt;Seal&lt;/li&gt;",G318="Odyssey"),"&lt;li&gt;AEXP_Seal&lt;/li&gt;",_xlfn.XLOOKUP(B318,'Base stats'!B:B,'Base stats'!AH:AH))</f>
        <v>No</v>
      </c>
      <c r="BB318" s="2" t="str">
        <f>_xlfn.XLOOKUP(B318,'Base stats'!B:B,'Base stats'!AG:AG)</f>
        <v>Leather_Plain</v>
      </c>
      <c r="BC318" s="23" t="str">
        <f>_xlfn.XLOOKUP(_xlfn.XLOOKUP(B318,'Base stats'!B:B,'Base stats'!E:E),Groups!A:A,Groups!AL:AL)</f>
        <v>QuadrupedAnimalWithPawsAndTail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0.1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0.3</v>
      </c>
      <c r="BF318" s="2" t="str">
        <f>IF(J318&gt;0.3,"No",_xlfn.XLOOKUP(_xlfn.XLOOKUP(Animals!B318,'Base stats'!B:B,'Base stats'!E:E),Groups!A:A,Groups!AP:AP))</f>
        <v>No</v>
      </c>
      <c r="BG318" s="2" t="str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No</v>
      </c>
      <c r="BH318" s="2">
        <f>IF(AND(_xlfn.XLOOKUP(_xlfn.XLOOKUP(B318,'Base stats'!B:B,'Base stats'!E:E),Groups!A:A,Groups!AQ:AQ)=1,AO318&lt;=0.35),8,12)</f>
        <v>12</v>
      </c>
      <c r="BI318" s="2" t="str">
        <f>IF(_xlfn.XLOOKUP(_xlfn.XLOOKUP(B318,'Base stats'!B:B,'Base stats'!E:E),Groups!A:A,Groups!D:D)=0,_xlfn.XLOOKUP(_xlfn.XLOOKUP(B318,'Base stats'!B:B,'Base stats'!E:E),Groups!A:A,Groups!AR:AR),"None")</f>
        <v>Advanced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true</v>
      </c>
      <c r="BK318" s="2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1.75</v>
      </c>
      <c r="BL318" s="2">
        <f t="shared" si="45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46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AttackTarget</v>
      </c>
      <c r="BQ318" s="25" t="str">
        <f>IF(
   AND(
      'Base stats'!AN246="Standard",_xlfn.XLOOKUP(_xlfn.XLOOKUP(B318,'Base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120</v>
      </c>
      <c r="BS318" s="8">
        <f t="shared" si="47"/>
        <v>0.65</v>
      </c>
      <c r="BT318" s="8" t="str">
        <f>_xlfn.XLOOKUP(B318,'Base stats'!B:B,'Base stats'!AF:AF)</f>
        <v>No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true</v>
      </c>
      <c r="BV318" s="2" t="str">
        <f>IF(_xlfn.XLOOKUP(B318,'Base stats'!B:B,'Base stats'!AI:AI)=1,"true","false")</f>
        <v>false</v>
      </c>
      <c r="BW318" s="25" t="str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AnimalUncommon, AnimalFighter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/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stats'!AM:AM)=1,0.1,1)*IF(AND(_xlfn.XLOOKUP(B318,'Base stats'!B:B,'Base stats'!AM:AM)=1,D318="sarg.alphaanimals"),0.5,1)/100,IF(_xlfn.XLOOKUP(B318,'Base stats'!B:B,'Base stats'!AM:AM)=1,0.001,0.025)),0.5)))</f>
        <v>3.0000000000000001E-3</v>
      </c>
      <c r="CA318" s="25" t="str">
        <f>IF(P318="Standard","No",MAX(0.001,MIN(MROUND(IF(OR(D318="sarg.alphaanimals",AND(BJ318="True",CC318="False")),POWER(10,3.47*LOG10(_xlfn.XLOOKUP(B318,'Base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True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48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Bone</v>
      </c>
      <c r="CI318" s="25" t="str">
        <f>IF(_xlfn.XLOOKUP(_xlfn.XLOOKUP(B318,'Base stats'!B:B,'Base stats'!E:E),Groups!A:A,Groups!BB:BB),"True","False")</f>
        <v>True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1557</v>
      </c>
      <c r="B319" s="6" t="str">
        <f>_xlfn.XLOOKUP(A319,'Base stats'!A:A,'Base stats'!B:B)</f>
        <v>Protofluidum rubrum</v>
      </c>
      <c r="C319" s="28" t="s">
        <v>1558</v>
      </c>
      <c r="D319" s="28" t="s">
        <v>1348</v>
      </c>
      <c r="E319" s="28" t="s">
        <v>674</v>
      </c>
      <c r="F319" s="28" t="s">
        <v>674</v>
      </c>
      <c r="G319" s="28" t="s">
        <v>674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225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0.60000000000000009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7</v>
      </c>
      <c r="R319" s="7">
        <f>IF(Q319="No","No",MAX(1,MROUND(_xlfn.XLOOKUP(B319,'Base stats'!B:B,'Base stats'!C:C)^0.165,0.05)))</f>
        <v>1.9500000000000002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8.5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1.4500000000000002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arms</v>
      </c>
      <c r="AM319" s="7" t="str">
        <f>IF(AI319="No","No",_xlfn.XLOOKUP(_xlfn.XLOOKUP(B319,'Base stats'!B:B,'Base stats'!E:E),Groups!A:A,Groups!AH:AH))</f>
        <v>Blunt</v>
      </c>
      <c r="AN319" s="2" t="str">
        <f t="shared" si="42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0.95000000000000007</v>
      </c>
      <c r="AP319" s="8">
        <f>MROUND(AO319*_xlfn.XLOOKUP(_xlfn.XLOOKUP(B319,'Base stats'!B:B,'Base stats'!E:E),Groups!A:A,Groups!AI:AI)*_xlfn.XLOOKUP(B319,'Base stats'!B:B,'Base stats'!Z:Z),0.05)</f>
        <v>0.95000000000000007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0.15000000000000002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0.3</v>
      </c>
      <c r="AU319" s="8">
        <f t="shared" si="43"/>
        <v>0.15000000000000002</v>
      </c>
      <c r="AV319" s="8" t="str">
        <f>IFERROR(IFERROR(MROUND(_xlfn.XLOOKUP(B319,'Base stats'!B:B,'Base stats'!J:J),0.1),"Lay eggs"),"Cannot breed")</f>
        <v>Lay eggs</v>
      </c>
      <c r="AW319" s="2" t="str">
        <f t="shared" si="44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45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46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stats'!AN230="Standard",_xlfn.XLOOKUP(_xlfn.XLOOKUP(B319,'Base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70</v>
      </c>
      <c r="BS319" s="8">
        <f t="shared" si="47"/>
        <v>0.30000000000000004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stats'!AM:AM)=1,0.1,1)*IF(AND(_xlfn.XLOOKUP(B319,'Base stats'!B:B,'Base stats'!AM:AM)=1,D319="sarg.alphaanimals"),0.5,1)/100,IF(_xlfn.XLOOKUP(B319,'Base stats'!B:B,'Base stats'!AM:AM)=1,0.001,0.025)),0.5)))</f>
        <v>3.0000000000000001E-3</v>
      </c>
      <c r="CA319" s="25" t="str">
        <f>IF(P319="Standard","No",MAX(0.001,MIN(MROUND(IF(OR(D319="sarg.alphaanimals",AND(BJ319="True",CC319="False")),POWER(10,3.47*LOG10(_xlfn.XLOOKUP(B319,'Base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48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1559</v>
      </c>
      <c r="B320" s="6" t="str">
        <f>_xlfn.XLOOKUP(A320,'Base stats'!A:A,'Base stats'!B:B)</f>
        <v>Sporus ruber</v>
      </c>
      <c r="C320" s="28" t="s">
        <v>1560</v>
      </c>
      <c r="D320" s="28" t="s">
        <v>1348</v>
      </c>
      <c r="E320" s="28" t="s">
        <v>674</v>
      </c>
      <c r="F320" s="28" t="s">
        <v>674</v>
      </c>
      <c r="G320" s="28" t="s">
        <v>674</v>
      </c>
      <c r="H320" s="2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600</v>
      </c>
      <c r="I320" s="2">
        <f>MROUND(ROUNDDOWN(_xlfn.XLOOKUP(B320,'Base stats'!B:B,'Base stats'!L:L)/3.6/(23.3/11),1),0.5)</f>
        <v>3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0.75</v>
      </c>
      <c r="K320" s="2">
        <f>ROUNDUP(AO320*_xlfn.XLOOKUP(_xlfn.XLOOKUP(B320,'Base stats'!B:B,'Base stats'!E:E),Groups!A:A,Groups!E:E),0)</f>
        <v>2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str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No</v>
      </c>
      <c r="Y320" s="7" t="str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No</v>
      </c>
      <c r="Z320" s="7" t="str">
        <f>IF(X320="No","No",_xlfn.XLOOKUP(_xlfn.XLOOKUP(B320,'Base stats'!B:B,'Base stats'!E:E),Groups!A:A,Groups!W:W))</f>
        <v>No</v>
      </c>
      <c r="AA320" s="7" t="str">
        <f>IF(X320="No","No",_xlfn.XLOOKUP(_xlfn.XLOOKUP(B320,'Base stats'!B:B,'Base stats'!E:E),Groups!A:A,Groups!X:X))</f>
        <v>No</v>
      </c>
      <c r="AB320" s="7" t="str">
        <f>IF(X320="No","No",_xlfn.XLOOKUP(_xlfn.XLOOKUP(B320,'Base stats'!B:B,'Base stats'!E:E),Groups!A:A,Groups!Y:Y))</f>
        <v>No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15.5</v>
      </c>
      <c r="AJ320" s="7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1.85</v>
      </c>
      <c r="AK320" s="7" t="str">
        <f>IF(AI320="No","No",_xlfn.XLOOKUP(_xlfn.XLOOKUP(B320,'Base stats'!B:B,'Base stats'!E:E),Groups!A:A,Groups!AF:AF))</f>
        <v>Arms</v>
      </c>
      <c r="AL320" s="7" t="str">
        <f>IF(AI320="No","No",_xlfn.XLOOKUP(_xlfn.XLOOKUP(B320,'Base stats'!B:B,'Base stats'!E:E),Groups!A:A,Groups!AG:AG))</f>
        <v>tentacles</v>
      </c>
      <c r="AM320" s="7" t="str">
        <f>IF(AI320="No","No",_xlfn.XLOOKUP(_xlfn.XLOOKUP(B320,'Base stats'!B:B,'Base stats'!E:E),Groups!A:A,Groups!AH:AH))</f>
        <v>Blunt</v>
      </c>
      <c r="AN320" s="2" t="str">
        <f t="shared" si="42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2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0.25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3</v>
      </c>
      <c r="AS320" s="35" t="str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Lay eggs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0.3</v>
      </c>
      <c r="AU320" s="8">
        <f t="shared" si="43"/>
        <v>0.15000000000000002</v>
      </c>
      <c r="AV320" s="8" t="str">
        <f>IFERROR(IFERROR(MROUND(_xlfn.XLOOKUP(B320,'Base stats'!B:B,'Base stats'!J:J),0.1),"Lay eggs"),"Cannot breed")</f>
        <v>Lay eggs</v>
      </c>
      <c r="AW320" s="2" t="str">
        <f t="shared" si="44"/>
        <v>false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VegetarianRoughAnimal</v>
      </c>
      <c r="AZ320" s="2">
        <f>IF(_xlfn.XLOOKUP(_xlfn.XLOOKUP(B320,'Base stats'!B:B,'Base stats'!E:E),Groups!A:A,Groups!D:D)=1,MROUND((1-J320)*5+1,2)*IF(J320&lt;=0.4,2,1),"No")</f>
        <v>2</v>
      </c>
      <c r="BA320" s="2" t="str">
        <f>IF(AND(_xlfn.XLOOKUP(B320,'Base stats'!B:B,'Base stats'!AH:AH)="&lt;li&gt;Seal&lt;/li&gt;",G320="Odyssey"),"&lt;li&gt;AEXP_Seal&lt;/li&gt;",_xlfn.XLOOKUP(B320,'Base stats'!B:B,'Base stats'!AH:AH))</f>
        <v>&lt;li&gt;Megaspider&lt;/li&gt;</v>
      </c>
      <c r="BB320" s="2" t="str">
        <f>_xlfn.XLOOKUP(B320,'Base stats'!B:B,'Base stats'!AG:AG)</f>
        <v>No</v>
      </c>
      <c r="BC320" s="23" t="str">
        <f>_xlfn.XLOOKUP(_xlfn.XLOOKUP(B320,'Base stats'!B:B,'Base stats'!E:E),Groups!A:A,Groups!AL:AL)</f>
        <v>Jellyfish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 t="str">
        <f>IF(J320&gt;0.3,"No",_xlfn.XLOOKUP(_xlfn.XLOOKUP(Animals!B320,'Base stats'!B:B,'Base stats'!E:E),Groups!A:A,Groups!AP:AP))</f>
        <v>No</v>
      </c>
      <c r="BG320" s="2" t="str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No</v>
      </c>
      <c r="BH320" s="2">
        <f>IF(AND(_xlfn.XLOOKUP(_xlfn.XLOOKUP(B320,'Base stats'!B:B,'Base stats'!E:E),Groups!A:A,Groups!AQ:AQ)=1,AO320&lt;=0.35),8,12)</f>
        <v>12</v>
      </c>
      <c r="BI320" s="2" t="str">
        <f>IF(_xlfn.XLOOKUP(_xlfn.XLOOKUP(B320,'Base stats'!B:B,'Base stats'!E:E),Groups!A:A,Groups!D:D)=0,_xlfn.XLOOKUP(_xlfn.XLOOKUP(B320,'Base stats'!B:B,'Base stats'!E:E),Groups!A:A,Groups!AR:AR),"None")</f>
        <v>None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45"/>
        <v>0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46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stats'!AN255="Standard",_xlfn.XLOOKUP(_xlfn.XLOOKUP(B320,'Base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200</v>
      </c>
      <c r="BS320" s="8">
        <f t="shared" si="47"/>
        <v>0.60000000000000009</v>
      </c>
      <c r="BT320" s="8" t="str">
        <f>_xlfn.XLOOKUP(B320,'Base stats'!B:B,'Base stats'!AF:AF)</f>
        <v>No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true</v>
      </c>
      <c r="BV320" s="2" t="str">
        <f>IF(_xlfn.XLOOKUP(B320,'Base stats'!B:B,'Base stats'!AI:AI)=1,"true","false")</f>
        <v>false</v>
      </c>
      <c r="BW320" s="25" t="str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AnimalUncommon, AnimalFighter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stats'!AM:AM)=1,0.1,1)*IF(AND(_xlfn.XLOOKUP(B320,'Base stats'!B:B,'Base stats'!AM:AM)=1,D320="sarg.alphaanimals"),0.5,1)/100,IF(_xlfn.XLOOKUP(B320,'Base stats'!B:B,'Base stats'!AM:AM)=1,0.001,0.025)),0.5)))</f>
        <v>1E-3</v>
      </c>
      <c r="CA320" s="25" t="str">
        <f>IF(P320="Standard","No",MAX(0.001,MIN(MROUND(IF(OR(D320="sarg.alphaanimals",AND(BJ320="True",CC320="False")),POWER(10,3.47*LOG10(_xlfn.XLOOKUP(B320,'Base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True</v>
      </c>
      <c r="CD320" s="25" t="str">
        <f t="shared" si="48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1561</v>
      </c>
      <c r="B321" s="6" t="str">
        <f>_xlfn.XLOOKUP(A321,'Base stats'!A:A,'Base stats'!B:B)</f>
        <v>Canis lacerator</v>
      </c>
      <c r="C321" s="28" t="s">
        <v>1562</v>
      </c>
      <c r="D321" s="28" t="s">
        <v>1348</v>
      </c>
      <c r="E321" s="28" t="s">
        <v>674</v>
      </c>
      <c r="F321" s="28" t="s">
        <v>674</v>
      </c>
      <c r="G321" s="28" t="s">
        <v>674</v>
      </c>
      <c r="H321" s="2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675</v>
      </c>
      <c r="I321" s="2">
        <f>MROUND(ROUNDDOWN(_xlfn.XLOOKUP(B321,'Base stats'!B:B,'Base stats'!L:L)/3.6/(23.3/11),1),0.5)</f>
        <v>8.5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0.85000000000000009</v>
      </c>
      <c r="K321" s="2">
        <f>ROUNDUP(AO321*_xlfn.XLOOKUP(_xlfn.XLOOKUP(B321,'Base stats'!B:B,'Base stats'!E:E),Groups!A:A,Groups!E:E),0)</f>
        <v>2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-30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9.5</v>
      </c>
      <c r="R321" s="7">
        <f>IF(Q321="No","No",MAX(1,MROUND(_xlfn.XLOOKUP(B321,'Base stats'!B:B,'Base stats'!C:C)^0.165,0.05)))</f>
        <v>2.3000000000000003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10.5</v>
      </c>
      <c r="Y321" s="7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1.9500000000000002</v>
      </c>
      <c r="Z321" s="7" t="str">
        <f>IF(X321="No","No",_xlfn.XLOOKUP(_xlfn.XLOOKUP(B321,'Base stats'!B:B,'Base stats'!E:E),Groups!A:A,Groups!W:W))</f>
        <v>HeadAttackTool</v>
      </c>
      <c r="AA321" s="7" t="str">
        <f>IF(X321="No","No",_xlfn.XLOOKUP(_xlfn.XLOOKUP(B321,'Base stats'!B:B,'Base stats'!E:E),Groups!A:A,Groups!X:X))</f>
        <v>shoulder claw</v>
      </c>
      <c r="AB321" s="7" t="str">
        <f>IF(X321="No","No",_xlfn.XLOOKUP(_xlfn.XLOOKUP(B321,'Base stats'!B:B,'Base stats'!E:E),Groups!A:A,Groups!Y:Y))</f>
        <v>Scratch</v>
      </c>
      <c r="AC321" s="7" t="str">
        <f>_xlfn.XLOOKUP(Animals!B321,'Base stats'!B:B,'Base stats'!X:X)</f>
        <v>False</v>
      </c>
      <c r="AD321" s="13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19</v>
      </c>
      <c r="AE321" s="7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1.85</v>
      </c>
      <c r="AF321" s="7" t="str">
        <f>IF(AD321="No","No",_xlfn.XLOOKUP(_xlfn.XLOOKUP(B321,'Base stats'!B:B,'Base stats'!E:E),Groups!A:A,Groups!AA:AA))</f>
        <v>Teeth</v>
      </c>
      <c r="AG321" s="7" t="str">
        <f>IF(AD321="No","No",_xlfn.XLOOKUP(_xlfn.XLOOKUP(B321,'Base stats'!B:B,'Base stats'!E:E),Groups!A:A,Groups!AB:AB))</f>
        <v>canines</v>
      </c>
      <c r="AH321" s="7" t="str">
        <f>IF(AD321="No","No",_xlfn.XLOOKUP(_xlfn.XLOOKUP(B321,'Base stats'!B:B,'Base stats'!E:E),Groups!A:A,Groups!AC:AC))</f>
        <v>Bite</v>
      </c>
      <c r="AI321" s="13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12.5</v>
      </c>
      <c r="AJ321" s="7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1.6</v>
      </c>
      <c r="AK321" s="7" t="str">
        <f>IF(AI321="No","No",_xlfn.XLOOKUP(_xlfn.XLOOKUP(B321,'Base stats'!B:B,'Base stats'!E:E),Groups!A:A,Groups!AF:AF))</f>
        <v>FrontLeftPaw, FrontRightPaw</v>
      </c>
      <c r="AL321" s="7" t="str">
        <f>IF(AI321="No","No",_xlfn.XLOOKUP(_xlfn.XLOOKUP(B321,'Base stats'!B:B,'Base stats'!E:E),Groups!A:A,Groups!AG:AG))</f>
        <v>left claw, right claw</v>
      </c>
      <c r="AM321" s="7" t="str">
        <f>IF(AI321="No","No",_xlfn.XLOOKUP(_xlfn.XLOOKUP(B321,'Base stats'!B:B,'Base stats'!E:E),Groups!A:A,Groups!AH:AH))</f>
        <v>AA_InfectedClaws</v>
      </c>
      <c r="AN321" s="2">
        <f>IF(BJ321="false","No",MROUND(AO321*5+15*1,5))</f>
        <v>25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1.5</v>
      </c>
      <c r="AP321" s="8">
        <f>MROUND(AO321*_xlfn.XLOOKUP(_xlfn.XLOOKUP(B321,'Base stats'!B:B,'Base stats'!E:E),Groups!A:A,Groups!AI:AI)*_xlfn.XLOOKUP(B321,'Base stats'!B:B,'Base stats'!Z:Z),0.05)</f>
        <v>1.8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0.75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15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7.5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0.4</v>
      </c>
      <c r="AU321" s="8">
        <f>IF(AT321="No","No",IFERROR(MROUND(AT321/2,0.05),"Unknown"))</f>
        <v>0.2</v>
      </c>
      <c r="AV321" s="8">
        <f>IFERROR(IFERROR(MROUND(_xlfn.XLOOKUP(B321,'Base stats'!B:B,'Base stats'!J:J),0.1),"Lay eggs"),"Cannot breed")</f>
        <v>3</v>
      </c>
      <c r="AW321" s="2" t="str">
        <f>IF(BT321="No","false","true")</f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CarnivoreAnimal,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 t="str">
        <f>IF(AND(_xlfn.XLOOKUP(B321,'Base stats'!B:B,'Base stats'!AH:AH)="&lt;li&gt;Seal&lt;/li&gt;",G321="Odyssey"),"&lt;li&gt;AEXP_Seal&lt;/li&gt;",_xlfn.XLOOKUP(B321,'Base stats'!B:B,'Base stats'!AH:AH))</f>
        <v>&lt;li&gt;YorkshireTerrier&lt;/li&gt;</v>
      </c>
      <c r="BB321" s="2" t="str">
        <f>_xlfn.XLOOKUP(B321,'Base stats'!B:B,'Base stats'!AG:AG)</f>
        <v>Leather_Dog</v>
      </c>
      <c r="BC321" s="23" t="str">
        <f>_xlfn.XLOOKUP(_xlfn.XLOOKUP(B321,'Base stats'!B:B,'Base stats'!E:E),Groups!A:A,Groups!AL:AL)</f>
        <v>QuadrupedAnimalWithPawsAndTail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0.1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0.3</v>
      </c>
      <c r="BF321" s="2" t="str">
        <f>IF(J321&gt;0.3,"No",_xlfn.XLOOKUP(_xlfn.XLOOKUP(Animals!B321,'Base stats'!B:B,'Base stats'!E:E),Groups!A:A,Groups!AP:AP))</f>
        <v>No</v>
      </c>
      <c r="BG321" s="2" t="str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No</v>
      </c>
      <c r="BH321" s="2">
        <f>IF(AND(_xlfn.XLOOKUP(_xlfn.XLOOKUP(B321,'Base stats'!B:B,'Base stats'!E:E),Groups!A:A,Groups!AQ:AQ)=1,AO321&lt;=0.35),8,12)</f>
        <v>12</v>
      </c>
      <c r="BI321" s="2" t="str">
        <f>IF(_xlfn.XLOOKUP(_xlfn.XLOOKUP(B321,'Base stats'!B:B,'Base stats'!E:E),Groups!A:A,Groups!D:D)=0,_xlfn.XLOOKUP(_xlfn.XLOOKUP(B321,'Base stats'!B:B,'Base stats'!E:E),Groups!A:A,Groups!AR:AR),"None")</f>
        <v>Advanced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true</v>
      </c>
      <c r="BK321" s="2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4</v>
      </c>
      <c r="BL321" s="2">
        <f>IF(BI321&lt;&gt;"None",1,0)</f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>IF(OR(BM321&lt;&gt;"No",BQ321=1),"true","false")</f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AttackTarget</v>
      </c>
      <c r="BQ321" s="25" t="str">
        <f>IF(
   AND(
      'Base stats'!AN197="Standard",_xlfn.XLOOKUP(_xlfn.XLOOKUP(B321,'Base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150</v>
      </c>
      <c r="BS321" s="8">
        <f>MROUND(AO321 * 0.2 + AQ321 * 0.8,0.05)</f>
        <v>0.9</v>
      </c>
      <c r="BT321" s="8" t="str">
        <f>_xlfn.XLOOKUP(B321,'Base stats'!B:B,'Base stats'!AF:AF)</f>
        <v>1~3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true</v>
      </c>
      <c r="BV321" s="2" t="str">
        <f>IF(_xlfn.XLOOKUP(B321,'Base stats'!B:B,'Base stats'!AI:AI)=1,"true","false")</f>
        <v>false</v>
      </c>
      <c r="BW321" s="25" t="str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AnimalUncommon, AnimalFighter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stats'!AM:AM)=1,0.1,1)*IF(AND(_xlfn.XLOOKUP(B321,'Base stats'!B:B,'Base stats'!AM:AM)=1,D321="sarg.alphaanimals"),0.5,1)/100,IF(_xlfn.XLOOKUP(B321,'Base stats'!B:B,'Base stats'!AM:AM)=1,0.001,0.025)),0.5)))</f>
        <v>3.0000000000000001E-3</v>
      </c>
      <c r="CA321" s="25" t="str">
        <f>IF(P321="Standard","No",MAX(0.001,MIN(MROUND(IF(OR(D321="sarg.alphaanimals",AND(BJ321="True",CC321="False")),POWER(10,3.47*LOG10(_xlfn.XLOOKUP(B321,'Base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True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>IF(J321&gt;0.95,"True","False")</f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Bone</v>
      </c>
      <c r="CI321" s="25" t="str">
        <f>IF(_xlfn.XLOOKUP(_xlfn.XLOOKUP(B321,'Base stats'!B:B,'Base stats'!E:E),Groups!A:A,Groups!BB:BB),"True","False")</f>
        <v>True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1563</v>
      </c>
      <c r="B322" s="6" t="str">
        <f>_xlfn.XLOOKUP(A322,'Base stats'!A:A,'Base stats'!B:B)</f>
        <v>Varanus squamosus</v>
      </c>
      <c r="C322" s="28" t="s">
        <v>1564</v>
      </c>
      <c r="D322" s="28" t="s">
        <v>1348</v>
      </c>
      <c r="E322" s="28" t="s">
        <v>674</v>
      </c>
      <c r="F322" s="28" t="s">
        <v>674</v>
      </c>
      <c r="G322" s="28" t="s">
        <v>674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400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35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16.5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>IF(BJ322="false","No",MROUND(AO322*5+15*1,5))</f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>IF(AT322="No","No",IFERROR(MROUND(AT322/2,0.05),"Unknown"))</f>
        <v>0.4</v>
      </c>
      <c r="AV322" s="8" t="str">
        <f>IFERROR(IFERROR(MROUND(_xlfn.XLOOKUP(B322,'Base stats'!B:B,'Base stats'!J:J),0.1),"Lay eggs"),"Cannot breed")</f>
        <v>Lay eggs</v>
      </c>
      <c r="AW322" s="2" t="str">
        <f>IF(BT322="No","false","true")</f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>IF(BI322&lt;&gt;"None",1,0)</f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>IF(OR(BM322&lt;&gt;"No",BQ322=1),"true","false")</f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stats'!AN250="Standard",_xlfn.XLOOKUP(_xlfn.XLOOKUP(B322,'Base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125</v>
      </c>
      <c r="BS322" s="8">
        <f>MROUND(AO322 * 0.2 + AQ322 * 0.8,0.05)</f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/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stats'!AM:AM)=1,0.1,1)*IF(AND(_xlfn.XLOOKUP(B322,'Base stats'!B:B,'Base stats'!AM:AM)=1,D322="sarg.alphaanimals"),0.5,1)/100,IF(_xlfn.XLOOKUP(B322,'Base stats'!B:B,'Base stats'!AM:AM)=1,0.001,0.025)),0.5)))</f>
        <v>3.0000000000000001E-3</v>
      </c>
      <c r="CA322" s="25" t="str">
        <f>IF(P322="Standard","No",MAX(0.001,MIN(MROUND(IF(OR(D322="sarg.alphaanimals",AND(BJ322="True",CC322="False")),POWER(10,3.47*LOG10(_xlfn.XLOOKUP(B322,'Base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>IF(J322&gt;0.95,"True","False")</f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1565</v>
      </c>
      <c r="B323" s="6" t="str">
        <f>_xlfn.XLOOKUP(A323,'Base stats'!A:A,'Base stats'!B:B)</f>
        <v>Avis regalis</v>
      </c>
      <c r="C323" s="28" t="s">
        <v>1566</v>
      </c>
      <c r="D323" s="28" t="s">
        <v>1348</v>
      </c>
      <c r="E323" s="28" t="s">
        <v>674</v>
      </c>
      <c r="F323" s="28" t="s">
        <v>674</v>
      </c>
      <c r="G323" s="28" t="s">
        <v>674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1175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101.5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>IF(BJ323="false","No",MROUND(AO323*5+15*1,5))</f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>IF(AT323="No","No",IFERROR(MROUND(AT323/2,0.05),"Unknown"))</f>
        <v>0.2</v>
      </c>
      <c r="AV323" s="8" t="str">
        <f>IFERROR(IFERROR(MROUND(_xlfn.XLOOKUP(B323,'Base stats'!B:B,'Base stats'!J:J),0.1),"Lay eggs"),"Cannot breed")</f>
        <v>Lay eggs</v>
      </c>
      <c r="AW323" s="2" t="str">
        <f>IF(BT323="No","false","true")</f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Advanced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>IF(BI323&lt;&gt;"None",1,0)</f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>IF(OR(BM323&lt;&gt;"No",BQ323=1),"true","false")</f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stats'!AN252="Standard",_xlfn.XLOOKUP(_xlfn.XLOOKUP(B323,'Base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345</v>
      </c>
      <c r="BS323" s="8">
        <f>MROUND(AO323 * 0.2 + AQ323 * 0.8,0.05)</f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stats'!AM:AM)=1,0.1,1)*IF(AND(_xlfn.XLOOKUP(B323,'Base stats'!B:B,'Base stats'!AM:AM)=1,D323="sarg.alphaanimals"),0.5,1)/100,IF(_xlfn.XLOOKUP(B323,'Base stats'!B:B,'Base stats'!AM:AM)=1,0.001,0.025)),0.5)))</f>
        <v>3.0000000000000001E-3</v>
      </c>
      <c r="CA323" s="25" t="str">
        <f>IF(P323="Standard","No",MAX(0.001,MIN(MROUND(IF(OR(D323="sarg.alphaanimals",AND(BJ323="True",CC323="False")),POWER(10,3.47*LOG10(_xlfn.XLOOKUP(B323,'Base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>IF(J323&gt;0.95,"True","False")</f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1567</v>
      </c>
      <c r="B324" s="6" t="str">
        <f>_xlfn.XLOOKUP(A324,'Base stats'!A:A,'Base stats'!B:B)</f>
        <v>Panthera arenae</v>
      </c>
      <c r="C324" s="28" t="s">
        <v>1568</v>
      </c>
      <c r="D324" s="28" t="s">
        <v>1348</v>
      </c>
      <c r="E324" s="28" t="s">
        <v>674</v>
      </c>
      <c r="F324" s="28" t="s">
        <v>674</v>
      </c>
      <c r="G324" s="28" t="s">
        <v>674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1175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40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14</v>
      </c>
      <c r="R324" s="7">
        <f>IF(Q324="No","No",MAX(1,MROUND(_xlfn.XLOOKUP(B324,'Base stats'!B:B,'Base stats'!C:C)^0.165,0.05)))</f>
        <v>2.6500000000000004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25.5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1.85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21.5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1.7000000000000002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>IF(BJ324="false","No",MROUND(AO324*5+15*1,5))</f>
        <v>30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2.5</v>
      </c>
      <c r="AP324" s="8">
        <f>MROUND(AO324*_xlfn.XLOOKUP(_xlfn.XLOOKUP(B324,'Base stats'!B:B,'Base stats'!E:E),Groups!A:A,Groups!AI:AI)*_xlfn.XLOOKUP(B324,'Base stats'!B:B,'Base stats'!Z:Z),0.05)</f>
        <v>3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1.05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>IF(AT324="No","No",IFERROR(MROUND(AT324/2,0.05),"Unknown"))</f>
        <v>0.2</v>
      </c>
      <c r="AV324" s="8">
        <f>IFERROR(IFERROR(MROUND(_xlfn.XLOOKUP(B324,'Base stats'!B:B,'Base stats'!J:J),0.1),"Lay eggs"),"Cannot breed")</f>
        <v>3</v>
      </c>
      <c r="AW324" s="2" t="str">
        <f>IF(BT324="No","false","true")</f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4.5</v>
      </c>
      <c r="BL324" s="2">
        <f>IF(BI324&lt;&gt;"None",1,0)</f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>IF(OR(BM324&lt;&gt;"No",BQ324=1),"true","false")</f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stats'!AN244="Standard",_xlfn.XLOOKUP(_xlfn.XLOOKUP(B324,'Base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315</v>
      </c>
      <c r="BS324" s="8">
        <f>MROUND(AO324 * 0.2 + AQ324 * 0.8,0.05)</f>
        <v>1.35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/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stats'!AM:AM)=1,0.1,1)*IF(AND(_xlfn.XLOOKUP(B324,'Base stats'!B:B,'Base stats'!AM:AM)=1,D324="sarg.alphaanimals"),0.5,1)/100,IF(_xlfn.XLOOKUP(B324,'Base stats'!B:B,'Base stats'!AM:AM)=1,0.001,0.025)),0.5)))</f>
        <v>2E-3</v>
      </c>
      <c r="CA324" s="25" t="str">
        <f>IF(P324="Standard","No",MAX(0.001,MIN(MROUND(IF(OR(D324="sarg.alphaanimals",AND(BJ324="True",CC324="False")),POWER(10,3.47*LOG10(_xlfn.XLOOKUP(B324,'Base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>IF(J324&gt;0.95,"True","False")</f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1569</v>
      </c>
      <c r="B325" s="6" t="str">
        <f>_xlfn.XLOOKUP(A325,'Base stats'!A:A,'Base stats'!B:B)</f>
        <v>Carcharofelis arenae</v>
      </c>
      <c r="C325" s="28" t="s">
        <v>1570</v>
      </c>
      <c r="D325" s="28" t="s">
        <v>1348</v>
      </c>
      <c r="E325" s="28" t="s">
        <v>674</v>
      </c>
      <c r="F325" s="28" t="s">
        <v>674</v>
      </c>
      <c r="G325" s="28" t="s">
        <v>674</v>
      </c>
      <c r="H325" s="2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975</v>
      </c>
      <c r="I325" s="2">
        <f>MROUND(ROUNDDOWN(_xlfn.XLOOKUP(B325,'Base stats'!B:B,'Base stats'!L:L)/3.6/(23.3/11),1),0.5)</f>
        <v>2.5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0.95</v>
      </c>
      <c r="K325" s="2">
        <f>ROUNDUP(AO325*_xlfn.XLOOKUP(_xlfn.XLOOKUP(B325,'Base stats'!B:B,'Base stats'!E:E),Groups!A:A,Groups!E:E),0)</f>
        <v>3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35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15.5</v>
      </c>
      <c r="R325" s="7">
        <f>IF(Q325="No","No",MAX(1,MROUND(_xlfn.XLOOKUP(B325,'Base stats'!B:B,'Base stats'!C:C)^0.165,0.05)))</f>
        <v>2.8000000000000003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str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No</v>
      </c>
      <c r="Y325" s="7" t="str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No</v>
      </c>
      <c r="Z325" s="7" t="str">
        <f>IF(X325="No","No",_xlfn.XLOOKUP(_xlfn.XLOOKUP(B325,'Base stats'!B:B,'Base stats'!E:E),Groups!A:A,Groups!W:W))</f>
        <v>No</v>
      </c>
      <c r="AA325" s="7" t="str">
        <f>IF(X325="No","No",_xlfn.XLOOKUP(_xlfn.XLOOKUP(B325,'Base stats'!B:B,'Base stats'!E:E),Groups!A:A,Groups!X:X))</f>
        <v>No</v>
      </c>
      <c r="AB325" s="7" t="str">
        <f>IF(X325="No","No",_xlfn.XLOOKUP(_xlfn.XLOOKUP(B325,'Base stats'!B:B,'Base stats'!E:E),Groups!A:A,Groups!Y:Y))</f>
        <v>No</v>
      </c>
      <c r="AC325" s="7" t="str">
        <f>_xlfn.XLOOKUP(Animals!B325,'Base stats'!B:B,'Base stats'!X:X)</f>
        <v>False</v>
      </c>
      <c r="AD325" s="13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32</v>
      </c>
      <c r="AE325" s="7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2.35</v>
      </c>
      <c r="AF325" s="7" t="str">
        <f>IF(AD325="No","No",_xlfn.XLOOKUP(_xlfn.XLOOKUP(B325,'Base stats'!B:B,'Base stats'!E:E),Groups!A:A,Groups!AA:AA))</f>
        <v>Teeth</v>
      </c>
      <c r="AG325" s="7" t="str">
        <f>IF(AD325="No","No",_xlfn.XLOOKUP(_xlfn.XLOOKUP(B325,'Base stats'!B:B,'Base stats'!E:E),Groups!A:A,Groups!AB:AB))</f>
        <v>teeth</v>
      </c>
      <c r="AH325" s="7" t="str">
        <f>IF(AD325="No","No",_xlfn.XLOOKUP(_xlfn.XLOOKUP(B325,'Base stats'!B:B,'Base stats'!E:E),Groups!A:A,Groups!AC:AC))</f>
        <v>ToxicBite</v>
      </c>
      <c r="AI325" s="13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23</v>
      </c>
      <c r="AJ325" s="7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1.9500000000000002</v>
      </c>
      <c r="AK325" s="7" t="str">
        <f>IF(AI325="No","No",_xlfn.XLOOKUP(_xlfn.XLOOKUP(B325,'Base stats'!B:B,'Base stats'!E:E),Groups!A:A,Groups!AF:AF))</f>
        <v>FrontLeftClaws, FrontRightClaws</v>
      </c>
      <c r="AL325" s="7" t="str">
        <f>IF(AI325="No","No",_xlfn.XLOOKUP(_xlfn.XLOOKUP(B325,'Base stats'!B:B,'Base stats'!E:E),Groups!A:A,Groups!AG:AG))</f>
        <v>left claw, right claw</v>
      </c>
      <c r="AM325" s="7" t="str">
        <f>IF(AI325="No","No",_xlfn.XLOOKUP(_xlfn.XLOOKUP(B325,'Base stats'!B:B,'Base stats'!E:E),Groups!A:A,Groups!AH:AH))</f>
        <v>Scratch</v>
      </c>
      <c r="AN325" s="2">
        <f t="shared" ref="AN325:AN339" si="49">IF(BJ325="false","No",MROUND(AO325*5+15*1,5))</f>
        <v>30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2.75</v>
      </c>
      <c r="AP325" s="8">
        <f>MROUND(AO325*_xlfn.XLOOKUP(_xlfn.XLOOKUP(B325,'Base stats'!B:B,'Base stats'!E:E),Groups!A:A,Groups!AI:AI)*_xlfn.XLOOKUP(B325,'Base stats'!B:B,'Base stats'!Z:Z),0.05)</f>
        <v>3.3000000000000003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0.30000000000000004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35</v>
      </c>
      <c r="AS325" s="35" t="str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Lay eggs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0.8</v>
      </c>
      <c r="AU325" s="8">
        <f t="shared" ref="AU325:AU339" si="50">IF(AT325="No","No",IFERROR(MROUND(AT325/2,0.05),"Unknown"))</f>
        <v>0.4</v>
      </c>
      <c r="AV325" s="8" t="str">
        <f>IFERROR(IFERROR(MROUND(_xlfn.XLOOKUP(B325,'Base stats'!B:B,'Base stats'!J:J),0.1),"Lay eggs"),"Cannot breed")</f>
        <v>Lay eggs</v>
      </c>
      <c r="AW325" s="2" t="str">
        <f t="shared" ref="AW325:AW339" si="51">IF(BT325="No","false","true")</f>
        <v>false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CarnivoreAnimal,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 t="str">
        <f>IF(AND(_xlfn.XLOOKUP(B325,'Base stats'!B:B,'Base stats'!AH:AH)="&lt;li&gt;Seal&lt;/li&gt;",G325="Odyssey"),"&lt;li&gt;AEXP_Seal&lt;/li&gt;",_xlfn.XLOOKUP(B325,'Base stats'!B:B,'Base stats'!AH:AH))</f>
        <v>&lt;li&gt;Iguana&lt;/li&gt;</v>
      </c>
      <c r="BB325" s="2" t="str">
        <f>_xlfn.XLOOKUP(B325,'Base stats'!B:B,'Base stats'!AG:AG)</f>
        <v>Leather_Lizard</v>
      </c>
      <c r="BC325" s="23" t="str">
        <f>_xlfn.XLOOKUP(_xlfn.XLOOKUP(B325,'Base stats'!B:B,'Base stats'!E:E),Groups!A:A,Groups!AL:AL)</f>
        <v>QuadrupedAnimalWithClawsTailAndJowl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0.1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0.3</v>
      </c>
      <c r="BF325" s="2" t="str">
        <f>IF(J325&gt;0.3,"No",_xlfn.XLOOKUP(_xlfn.XLOOKUP(Animals!B325,'Base stats'!B:B,'Base stats'!E:E),Groups!A:A,Groups!AP:AP))</f>
        <v>No</v>
      </c>
      <c r="BG325" s="2" t="str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No</v>
      </c>
      <c r="BH325" s="2">
        <f>IF(AND(_xlfn.XLOOKUP(_xlfn.XLOOKUP(B325,'Base stats'!B:B,'Base stats'!E:E),Groups!A:A,Groups!AQ:AQ)=1,AO325&lt;=0.35),8,12)</f>
        <v>12</v>
      </c>
      <c r="BI325" s="2" t="str">
        <f>IF(_xlfn.XLOOKUP(_xlfn.XLOOKUP(B325,'Base stats'!B:B,'Base stats'!E:E),Groups!A:A,Groups!D:D)=0,_xlfn.XLOOKUP(_xlfn.XLOOKUP(B325,'Base stats'!B:B,'Base stats'!E:E),Groups!A:A,Groups!AR:AR),"None")</f>
        <v>Intermediate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true</v>
      </c>
      <c r="BK325" s="2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3</v>
      </c>
      <c r="BL325" s="2">
        <f t="shared" ref="BL325:BL339" si="52">IF(BI325&lt;&gt;"None",1,0)</f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ref="BN325:BN339" si="53">IF(OR(BM325&lt;&gt;"No",BQ325=1),"true","false")</f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AttackTarget</v>
      </c>
      <c r="BQ325" s="25" t="str">
        <f>IF(
   AND(
      'Base stats'!AN276="Standard",_xlfn.XLOOKUP(_xlfn.XLOOKUP(B325,'Base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315</v>
      </c>
      <c r="BS325" s="8">
        <f t="shared" ref="BS325:BS339" si="54">MROUND(AO325 * 0.2 + AQ325 * 0.8,0.05)</f>
        <v>0.8</v>
      </c>
      <c r="BT325" s="8" t="str">
        <f>_xlfn.XLOOKUP(B325,'Base stats'!B:B,'Base stats'!AF:AF)</f>
        <v>No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true</v>
      </c>
      <c r="BV325" s="2" t="str">
        <f>IF(_xlfn.XLOOKUP(B325,'Base stats'!B:B,'Base stats'!AI:AI)=1,"true","false")</f>
        <v>false</v>
      </c>
      <c r="BW325" s="25" t="str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AnimalUncommon, AnimalFighter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/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stats'!AM:AM)=1,0.1,1)*IF(AND(_xlfn.XLOOKUP(B325,'Base stats'!B:B,'Base stats'!AM:AM)=1,D325="sarg.alphaanimals"),0.5,1)/100,IF(_xlfn.XLOOKUP(B325,'Base stats'!B:B,'Base stats'!AM:AM)=1,0.001,0.025)),0.5)))</f>
        <v>2E-3</v>
      </c>
      <c r="CA325" s="25" t="str">
        <f>IF(P325="Standard","No",MAX(0.001,MIN(MROUND(IF(OR(D325="sarg.alphaanimals",AND(BJ325="True",CC325="False")),POWER(10,3.47*LOG10(_xlfn.XLOOKUP(B325,'Base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True</v>
      </c>
      <c r="CD325" s="25" t="str">
        <f t="shared" ref="CD325:CD339" si="55">IF(J325&gt;0.95,"True","False")</f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Flesh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1571</v>
      </c>
      <c r="B326" s="6" t="str">
        <f>_xlfn.XLOOKUP(A326,'Base stats'!A:A,'Base stats'!B:B)</f>
        <v>Loligo arenae</v>
      </c>
      <c r="C326" s="28" t="s">
        <v>1572</v>
      </c>
      <c r="D326" s="28" t="s">
        <v>1348</v>
      </c>
      <c r="E326" s="28" t="s">
        <v>674</v>
      </c>
      <c r="F326" s="28" t="s">
        <v>674</v>
      </c>
      <c r="G326" s="28" t="s">
        <v>674</v>
      </c>
      <c r="H326" s="2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350</v>
      </c>
      <c r="I326" s="2">
        <f>MROUND(ROUNDDOWN(_xlfn.XLOOKUP(B326,'Base stats'!B:B,'Base stats'!L:L)/3.6/(23.3/11),1),0.5)</f>
        <v>1.5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0.35000000000000003</v>
      </c>
      <c r="K326" s="2">
        <f>ROUNDUP(AO326*_xlfn.XLOOKUP(_xlfn.XLOOKUP(B326,'Base stats'!B:B,'Base stats'!E:E),Groups!A:A,Groups!E:E),0)</f>
        <v>2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35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>
        <f>_xlfn.XLOOKUP(B326,'Base stats'!B:B,'Base stats'!R:R)</f>
        <v>0.8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</v>
      </c>
      <c r="R326" s="7">
        <f>IF(Q326="No","No",MAX(1,MROUND(_xlfn.XLOOKUP(B326,'Base stats'!B:B,'Base stats'!C:C)^0.165,0.05)))</f>
        <v>2.4000000000000004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str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No</v>
      </c>
      <c r="Y326" s="7" t="str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No</v>
      </c>
      <c r="Z326" s="7" t="str">
        <f>IF(X326="No","No",_xlfn.XLOOKUP(_xlfn.XLOOKUP(B326,'Base stats'!B:B,'Base stats'!E:E),Groups!A:A,Groups!W:W))</f>
        <v>No</v>
      </c>
      <c r="AA326" s="7" t="str">
        <f>IF(X326="No","No",_xlfn.XLOOKUP(_xlfn.XLOOKUP(B326,'Base stats'!B:B,'Base stats'!E:E),Groups!A:A,Groups!X:X))</f>
        <v>No</v>
      </c>
      <c r="AB326" s="7" t="str">
        <f>IF(X326="No","No",_xlfn.XLOOKUP(_xlfn.XLOOKUP(B326,'Base stats'!B:B,'Base stats'!E:E),Groups!A:A,Groups!Y:Y))</f>
        <v>No</v>
      </c>
      <c r="AC326" s="7" t="str">
        <f>_xlfn.XLOOKUP(Animals!B326,'Base stats'!B:B,'Base stats'!X:X)</f>
        <v>False</v>
      </c>
      <c r="AD326" s="13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18</v>
      </c>
      <c r="AE326" s="7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2.4000000000000004</v>
      </c>
      <c r="AF326" s="7" t="str">
        <f>IF(AD326="No","No",_xlfn.XLOOKUP(_xlfn.XLOOKUP(B326,'Base stats'!B:B,'Base stats'!E:E),Groups!A:A,Groups!AA:AA))</f>
        <v>Beak</v>
      </c>
      <c r="AG326" s="7" t="str">
        <f>IF(AD326="No","No",_xlfn.XLOOKUP(_xlfn.XLOOKUP(B326,'Base stats'!B:B,'Base stats'!E:E),Groups!A:A,Groups!AB:AB))</f>
        <v>beak</v>
      </c>
      <c r="AH326" s="7" t="str">
        <f>IF(AD326="No","No",_xlfn.XLOOKUP(_xlfn.XLOOKUP(B326,'Base stats'!B:B,'Base stats'!E:E),Groups!A:A,Groups!AC:AC))</f>
        <v>Bite</v>
      </c>
      <c r="AI326" s="13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14.5</v>
      </c>
      <c r="AJ326" s="7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1.8</v>
      </c>
      <c r="AK326" s="7" t="str">
        <f>IF(AI326="No","No",_xlfn.XLOOKUP(_xlfn.XLOOKUP(B326,'Base stats'!B:B,'Base stats'!E:E),Groups!A:A,Groups!AF:AF))</f>
        <v>Arms</v>
      </c>
      <c r="AL326" s="7" t="str">
        <f>IF(AI326="No","No",_xlfn.XLOOKUP(_xlfn.XLOOKUP(B326,'Base stats'!B:B,'Base stats'!E:E),Groups!A:A,Groups!AG:AG))</f>
        <v>tentacles</v>
      </c>
      <c r="AM326" s="7" t="str">
        <f>IF(AI326="No","No",_xlfn.XLOOKUP(_xlfn.XLOOKUP(B326,'Base stats'!B:B,'Base stats'!E:E),Groups!A:A,Groups!AH:AH))</f>
        <v>Blunt</v>
      </c>
      <c r="AN326" s="2" t="str">
        <f t="shared" si="49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1.8</v>
      </c>
      <c r="AP326" s="8">
        <f>MROUND(AO326*_xlfn.XLOOKUP(_xlfn.XLOOKUP(B326,'Base stats'!B:B,'Base stats'!E:E),Groups!A:A,Groups!AI:AI)*_xlfn.XLOOKUP(B326,'Base stats'!B:B,'Base stats'!Z:Z),0.05)</f>
        <v>1.8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0.2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18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9.5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0.3</v>
      </c>
      <c r="AU326" s="8">
        <f t="shared" si="50"/>
        <v>0.15000000000000002</v>
      </c>
      <c r="AV326" s="8">
        <f>IFERROR(IFERROR(MROUND(_xlfn.XLOOKUP(B326,'Base stats'!B:B,'Base stats'!J:J),0.1),"Lay eggs"),"Cannot breed")</f>
        <v>3</v>
      </c>
      <c r="AW326" s="2" t="str">
        <f t="shared" si="51"/>
        <v>false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OmnivoreRoughAnimal, OvivoreAnimal</v>
      </c>
      <c r="AZ326" s="2">
        <f>IF(_xlfn.XLOOKUP(_xlfn.XLOOKUP(B326,'Base stats'!B:B,'Base stats'!E:E),Groups!A:A,Groups!D:D)=1,MROUND((1-J326)*5+1,2)*IF(J326&lt;=0.4,2,1),"No")</f>
        <v>8</v>
      </c>
      <c r="BA326" s="2" t="str">
        <f>IF(AND(_xlfn.XLOOKUP(B326,'Base stats'!B:B,'Base stats'!AH:AH)="&lt;li&gt;Seal&lt;/li&gt;",G326="Odyssey"),"&lt;li&gt;AEXP_Seal&lt;/li&gt;",_xlfn.XLOOKUP(B326,'Base stats'!B:B,'Base stats'!AH:AH))</f>
        <v>No</v>
      </c>
      <c r="BB326" s="2" t="str">
        <f>_xlfn.XLOOKUP(B326,'Base stats'!B:B,'Base stats'!AG:AG)</f>
        <v>No</v>
      </c>
      <c r="BC326" s="23" t="str">
        <f>_xlfn.XLOOKUP(_xlfn.XLOOKUP(B326,'Base stats'!B:B,'Base stats'!E:E),Groups!A:A,Groups!AL:AL)</f>
        <v>CephalopodBiped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0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</v>
      </c>
      <c r="BF326" s="2" t="str">
        <f>IF(J326&gt;0.3,"No",_xlfn.XLOOKUP(_xlfn.XLOOKUP(Animals!B326,'Base stats'!B:B,'Base stats'!E:E),Groups!A:A,Groups!AP:AP))</f>
        <v>No</v>
      </c>
      <c r="BG326" s="2" t="str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No</v>
      </c>
      <c r="BH326" s="2">
        <f>IF(AND(_xlfn.XLOOKUP(_xlfn.XLOOKUP(B326,'Base stats'!B:B,'Base stats'!E:E),Groups!A:A,Groups!AQ:AQ)=1,AO326&lt;=0.35),8,12)</f>
        <v>12</v>
      </c>
      <c r="BI326" s="2" t="str">
        <f>IF(_xlfn.XLOOKUP(_xlfn.XLOOKUP(B326,'Base stats'!B:B,'Base stats'!E:E),Groups!A:A,Groups!D:D)=0,_xlfn.XLOOKUP(_xlfn.XLOOKUP(B326,'Base stats'!B:B,'Base stats'!E:E),Groups!A:A,Groups!AR:AR),"None")</f>
        <v>None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52"/>
        <v>0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53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stats'!AN318="Standard",_xlfn.XLOOKUP(_xlfn.XLOOKUP(B326,'Base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130</v>
      </c>
      <c r="BS326" s="8">
        <f t="shared" si="54"/>
        <v>0.5</v>
      </c>
      <c r="BT326" s="8" t="str">
        <f>_xlfn.XLOOKUP(B326,'Base stats'!B:B,'Base stats'!AF:AF)</f>
        <v>No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str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AnimalUncommon, AnimalFarm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/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stats'!AM:AM)=1,0.1,1)*IF(AND(_xlfn.XLOOKUP(B326,'Base stats'!B:B,'Base stats'!AM:AM)=1,D326="sarg.alphaanimals"),0.5,1)/100,IF(_xlfn.XLOOKUP(B326,'Base stats'!B:B,'Base stats'!AM:AM)=1,0.001,0.025)),0.5)))</f>
        <v>3.0000000000000001E-3</v>
      </c>
      <c r="CA326" s="25">
        <f>IF(P326="Standard","No",MAX(0.001,MIN(MROUND(IF(OR(D326="sarg.alphaanimals",AND(BJ326="True",CC326="False")),POWER(10,3.47*LOG10(_xlfn.XLOOKUP(B326,'Base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4.0000000000000001E-3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True</v>
      </c>
      <c r="CD326" s="25" t="str">
        <f t="shared" si="55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1573</v>
      </c>
      <c r="B327" s="6" t="str">
        <f>_xlfn.XLOOKUP(A327,'Base stats'!A:A,'Base stats'!B:B)</f>
        <v>Crepiscuovis umbrosus</v>
      </c>
      <c r="C327" s="28" t="s">
        <v>1574</v>
      </c>
      <c r="D327" s="28" t="s">
        <v>1348</v>
      </c>
      <c r="E327" s="28" t="s">
        <v>674</v>
      </c>
      <c r="F327" s="28" t="s">
        <v>674</v>
      </c>
      <c r="G327" s="28" t="s">
        <v>674</v>
      </c>
      <c r="H327" s="2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350</v>
      </c>
      <c r="I327" s="2">
        <f>MROUND(ROUNDDOWN(_xlfn.XLOOKUP(B327,'Base stats'!B:B,'Base stats'!L:L)/3.6/(23.3/11),1),0.5)</f>
        <v>6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0.70000000000000007</v>
      </c>
      <c r="K327" s="2">
        <f>ROUNDUP(AO327*_xlfn.XLOOKUP(_xlfn.XLOOKUP(B327,'Base stats'!B:B,'Base stats'!E:E),Groups!A:A,Groups!E:E),0)</f>
        <v>13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-30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17</v>
      </c>
      <c r="T327" s="7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2.6500000000000004</v>
      </c>
      <c r="U327" s="7" t="str">
        <f>IF(S327="No","No",_xlfn.XLOOKUP(_xlfn.XLOOKUP(B327,'Base stats'!B:B,'Base stats'!E:E),Groups!A:A,Groups!R:R))</f>
        <v>FrontLeftLeg, FrontRightLeg</v>
      </c>
      <c r="V327" s="7" t="str">
        <f>IF(S327="No","No",_xlfn.XLOOKUP(_xlfn.XLOOKUP(B327,'Base stats'!B:B,'Base stats'!E:E),Groups!A:A,Groups!S:S))</f>
        <v>left hoof, right hoof</v>
      </c>
      <c r="W327" s="7" t="str">
        <f>IF(S327="No","No",_xlfn.XLOOKUP(_xlfn.XLOOKUP(B327,'Base stats'!B:B,'Base stats'!E:E),Groups!A:A,Groups!T:T))</f>
        <v>Blunt</v>
      </c>
      <c r="X327" s="13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19</v>
      </c>
      <c r="Y327" s="7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2.25</v>
      </c>
      <c r="Z327" s="7" t="str">
        <f>IF(X327="No","No",_xlfn.XLOOKUP(_xlfn.XLOOKUP(B327,'Base stats'!B:B,'Base stats'!E:E),Groups!A:A,Groups!W:W))</f>
        <v>HeadAttackTool</v>
      </c>
      <c r="AA327" s="7" t="str">
        <f>IF(X327="No","No",_xlfn.XLOOKUP(_xlfn.XLOOKUP(B327,'Base stats'!B:B,'Base stats'!E:E),Groups!A:A,Groups!X:X))</f>
        <v>horn</v>
      </c>
      <c r="AB327" s="7" t="str">
        <f>IF(X327="No","No",_xlfn.XLOOKUP(_xlfn.XLOOKUP(B327,'Base stats'!B:B,'Base stats'!E:E),Groups!A:A,Groups!Y:Y))</f>
        <v>Blunt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49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2.5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15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10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0.4</v>
      </c>
      <c r="AU327" s="8">
        <f t="shared" si="50"/>
        <v>0.2</v>
      </c>
      <c r="AV327" s="8">
        <f>IFERROR(IFERROR(MROUND(_xlfn.XLOOKUP(B327,'Base stats'!B:B,'Base stats'!J:J),0.1),"Lay eggs"),"Cannot breed")</f>
        <v>1</v>
      </c>
      <c r="AW327" s="2" t="str">
        <f t="shared" si="51"/>
        <v>true</v>
      </c>
      <c r="AX327" s="2" t="str">
        <f>IF(_xlfn.XLOOKUP(_xlfn.XLOOKUP(Animals!B327,'Base stats'!B:B,'Base stats'!E:E),Groups!A:A,Groups!AK:AK)=1,"true","false")</f>
        <v>true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VegetarianRoughAnimal</v>
      </c>
      <c r="AZ327" s="2">
        <f>IF(_xlfn.XLOOKUP(_xlfn.XLOOKUP(B327,'Base stats'!B:B,'Base stats'!E:E),Groups!A:A,Groups!D:D)=1,MROUND((1-J327)*5+1,2)*IF(J327&lt;=0.4,2,1),"No")</f>
        <v>2</v>
      </c>
      <c r="BA327" s="2" t="str">
        <f>IF(AND(_xlfn.XLOOKUP(B327,'Base stats'!B:B,'Base stats'!AH:AH)="&lt;li&gt;Seal&lt;/li&gt;",G327="Odyssey"),"&lt;li&gt;AEXP_Seal&lt;/li&gt;",_xlfn.XLOOKUP(B327,'Base stats'!B:B,'Base stats'!AH:AH))</f>
        <v>&lt;li&gt;Sheep&lt;/li&gt;</v>
      </c>
      <c r="BB327" s="2" t="str">
        <f>_xlfn.XLOOKUP(B327,'Base stats'!B:B,'Base stats'!AG:AG)</f>
        <v>Leather_Night</v>
      </c>
      <c r="BC327" s="23" t="str">
        <f>_xlfn.XLOOKUP(_xlfn.XLOOKUP(B327,'Base stats'!B:B,'Base stats'!E:E),Groups!A:A,Groups!AL:AL)</f>
        <v>QuadrupedAnimalWithHooves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 t="str">
        <f>IF(J327&gt;0.3,"No",_xlfn.XLOOKUP(_xlfn.XLOOKUP(Animals!B327,'Base stats'!B:B,'Base stats'!E:E),Groups!A:A,Groups!AP:AP))</f>
        <v>No</v>
      </c>
      <c r="BG327" s="2" t="str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No</v>
      </c>
      <c r="BH327" s="2">
        <f>IF(AND(_xlfn.XLOOKUP(_xlfn.XLOOKUP(B327,'Base stats'!B:B,'Base stats'!E:E),Groups!A:A,Groups!AQ:AQ)=1,AO327&lt;=0.35),8,12)</f>
        <v>12</v>
      </c>
      <c r="BI327" s="2" t="str">
        <f>IF(_xlfn.XLOOKUP(_xlfn.XLOOKUP(B327,'Base stats'!B:B,'Base stats'!E:E),Groups!A:A,Groups!D:D)=0,_xlfn.XLOOKUP(_xlfn.XLOOKUP(B327,'Base stats'!B:B,'Base stats'!E:E),Groups!A:A,Groups!AR:AR),"None")</f>
        <v>None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52"/>
        <v>0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53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stats'!AN267="Standard",_xlfn.XLOOKUP(_xlfn.XLOOKUP(B327,'Base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165</v>
      </c>
      <c r="BS327" s="8">
        <f t="shared" si="54"/>
        <v>1.35</v>
      </c>
      <c r="BT327" s="8" t="str">
        <f>_xlfn.XLOOKUP(B327,'Base stats'!B:B,'Base stats'!AF:AF)</f>
        <v>3~10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str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AnimalUncommon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/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stats'!AM:AM)=1,0.1,1)*IF(AND(_xlfn.XLOOKUP(B327,'Base stats'!B:B,'Base stats'!AM:AM)=1,D327="sarg.alphaanimals"),0.5,1)/100,IF(_xlfn.XLOOKUP(B327,'Base stats'!B:B,'Base stats'!AM:AM)=1,0.001,0.025)),0.5)))</f>
        <v>2E-3</v>
      </c>
      <c r="CA327" s="25" t="str">
        <f>IF(P327="Standard","No",MAX(0.001,MIN(MROUND(IF(OR(D327="sarg.alphaanimals",AND(BJ327="True",CC327="False")),POWER(10,3.47*LOG10(_xlfn.XLOOKUP(B327,'Base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True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55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True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1575</v>
      </c>
      <c r="B328" s="6" t="str">
        <f>_xlfn.XLOOKUP(A328,'Base stats'!A:A,'Base stats'!B:B)</f>
        <v>Capra electronica</v>
      </c>
      <c r="C328" s="28" t="s">
        <v>1576</v>
      </c>
      <c r="D328" s="28" t="s">
        <v>1348</v>
      </c>
      <c r="E328" s="28" t="s">
        <v>674</v>
      </c>
      <c r="F328" s="28" t="s">
        <v>674</v>
      </c>
      <c r="G328" s="28" t="s">
        <v>674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150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0.25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49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50"/>
        <v>0.2</v>
      </c>
      <c r="AV328" s="8">
        <f>IFERROR(IFERROR(MROUND(_xlfn.XLOOKUP(B328,'Base stats'!B:B,'Base stats'!J:J),0.1),"Lay eggs"),"Cannot breed")</f>
        <v>1</v>
      </c>
      <c r="AW328" s="2" t="str">
        <f t="shared" si="51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8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52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53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stats'!AN271="Standard",_xlfn.XLOOKUP(_xlfn.XLOOKUP(B328,'Base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54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stats'!AM:AM)=1,0.1,1)*IF(AND(_xlfn.XLOOKUP(B328,'Base stats'!B:B,'Base stats'!AM:AM)=1,D328="sarg.alphaanimals"),0.5,1)/100,IF(_xlfn.XLOOKUP(B328,'Base stats'!B:B,'Base stats'!AM:AM)=1,0.001,0.025)),0.5)))</f>
        <v>3.0000000000000001E-3</v>
      </c>
      <c r="CA328" s="25" t="str">
        <f>IF(P328="Standard","No",MAX(0.001,MIN(MROUND(IF(OR(D328="sarg.alphaanimals",AND(BJ328="True",CC328="False")),POWER(10,3.47*LOG10(_xlfn.XLOOKUP(B328,'Base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55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1577</v>
      </c>
      <c r="B329" s="6" t="str">
        <f>_xlfn.XLOOKUP(A329,'Base stats'!A:A,'Base stats'!B:B)</f>
        <v>Canis saltator</v>
      </c>
      <c r="C329" s="28" t="s">
        <v>1578</v>
      </c>
      <c r="D329" s="28" t="s">
        <v>1348</v>
      </c>
      <c r="E329" s="28" t="s">
        <v>674</v>
      </c>
      <c r="F329" s="28" t="s">
        <v>674</v>
      </c>
      <c r="G329" s="28" t="s">
        <v>674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500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0.70000000000000007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11.5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49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50"/>
        <v>0.2</v>
      </c>
      <c r="AV329" s="8">
        <f>IFERROR(IFERROR(MROUND(_xlfn.XLOOKUP(B329,'Base stats'!B:B,'Base stats'!J:J),0.1),"Lay eggs"),"Cannot breed")</f>
        <v>6</v>
      </c>
      <c r="AW329" s="2" t="str">
        <f t="shared" si="51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0.1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 t="str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No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52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53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stats'!AN272="Standard",_xlfn.XLOOKUP(_xlfn.XLOOKUP(B329,'Base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100</v>
      </c>
      <c r="BS329" s="8">
        <f t="shared" si="54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stats'!AM:AM)=1,0.1,1)*IF(AND(_xlfn.XLOOKUP(B329,'Base stats'!B:B,'Base stats'!AM:AM)=1,D329="sarg.alphaanimals"),0.5,1)/100,IF(_xlfn.XLOOKUP(B329,'Base stats'!B:B,'Base stats'!AM:AM)=1,0.001,0.025)),0.5)))</f>
        <v>3.0000000000000001E-3</v>
      </c>
      <c r="CA329" s="25" t="str">
        <f>IF(P329="Standard","No",MAX(0.001,MIN(MROUND(IF(OR(D329="sarg.alphaanimals",AND(BJ329="True",CC329="False")),POWER(10,3.47*LOG10(_xlfn.XLOOKUP(B329,'Base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55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1579</v>
      </c>
      <c r="B330" s="6" t="str">
        <f>_xlfn.XLOOKUP(A330,'Base stats'!A:A,'Base stats'!B:B)</f>
        <v>Anguilla coelestis</v>
      </c>
      <c r="C330" s="28" t="s">
        <v>1580</v>
      </c>
      <c r="D330" s="28" t="s">
        <v>1348</v>
      </c>
      <c r="E330" s="28" t="s">
        <v>674</v>
      </c>
      <c r="F330" s="28" t="s">
        <v>674</v>
      </c>
      <c r="G330" s="28" t="s">
        <v>674</v>
      </c>
      <c r="H330" s="2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125</v>
      </c>
      <c r="I330" s="2">
        <f>MROUND(ROUNDDOWN(_xlfn.XLOOKUP(B330,'Base stats'!B:B,'Base stats'!L:L)/3.6/(23.3/11),1),0.5)</f>
        <v>3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0.70000000000000007</v>
      </c>
      <c r="K330" s="2">
        <f>ROUNDUP(AO330*_xlfn.XLOOKUP(_xlfn.XLOOKUP(B330,'Base stats'!B:B,'Base stats'!E:E),Groups!A:A,Groups!E:E),0)</f>
        <v>1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3.5</v>
      </c>
      <c r="R330" s="7">
        <f>IF(Q330="No","No",MAX(1,MROUND(_xlfn.XLOOKUP(B330,'Base stats'!B:B,'Base stats'!C:C)^0.165,0.05)))</f>
        <v>1.4500000000000002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str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No</v>
      </c>
      <c r="Y330" s="7" t="str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No</v>
      </c>
      <c r="Z330" s="7" t="str">
        <f>IF(X330="No","No",_xlfn.XLOOKUP(_xlfn.XLOOKUP(B330,'Base stats'!B:B,'Base stats'!E:E),Groups!A:A,Groups!W:W))</f>
        <v>No</v>
      </c>
      <c r="AA330" s="7" t="str">
        <f>IF(X330="No","No",_xlfn.XLOOKUP(_xlfn.XLOOKUP(B330,'Base stats'!B:B,'Base stats'!E:E),Groups!A:A,Groups!X:X))</f>
        <v>No</v>
      </c>
      <c r="AB330" s="7" t="str">
        <f>IF(X330="No","No",_xlfn.XLOOKUP(_xlfn.XLOOKUP(B330,'Base stats'!B:B,'Base stats'!E:E),Groups!A:A,Groups!Y:Y))</f>
        <v>No</v>
      </c>
      <c r="AC330" s="7" t="str">
        <f>_xlfn.XLOOKUP(Animals!B330,'Base stats'!B:B,'Base stats'!X:X)</f>
        <v>False</v>
      </c>
      <c r="AD330" s="13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4.5</v>
      </c>
      <c r="AE330" s="7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1.1500000000000001</v>
      </c>
      <c r="AF330" s="7" t="str">
        <f>IF(AD330="No","No",_xlfn.XLOOKUP(_xlfn.XLOOKUP(B330,'Base stats'!B:B,'Base stats'!E:E),Groups!A:A,Groups!AA:AA))</f>
        <v>Mouth</v>
      </c>
      <c r="AG330" s="7" t="str">
        <f>IF(AD330="No","No",_xlfn.XLOOKUP(_xlfn.XLOOKUP(B330,'Base stats'!B:B,'Base stats'!E:E),Groups!A:A,Groups!AB:AB))</f>
        <v>teeth</v>
      </c>
      <c r="AH330" s="7" t="str">
        <f>IF(AD330="No","No",_xlfn.XLOOKUP(_xlfn.XLOOKUP(B330,'Base stats'!B:B,'Base stats'!E:E),Groups!A:A,Groups!AC:AC))</f>
        <v>AA_Electric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>
        <f t="shared" si="49"/>
        <v>15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0.4</v>
      </c>
      <c r="AP330" s="8">
        <f>MROUND(AO330*_xlfn.XLOOKUP(_xlfn.XLOOKUP(B330,'Base stats'!B:B,'Base stats'!E:E),Groups!A:A,Groups!AI:AI)*_xlfn.XLOOKUP(B330,'Base stats'!B:B,'Base stats'!Z:Z),0.05)</f>
        <v>0.4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0.05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18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7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0.8</v>
      </c>
      <c r="AU330" s="8">
        <f t="shared" si="50"/>
        <v>0.4</v>
      </c>
      <c r="AV330" s="8">
        <f>IFERROR(IFERROR(MROUND(_xlfn.XLOOKUP(B330,'Base stats'!B:B,'Base stats'!J:J),0.1),"Lay eggs"),"Cannot breed")</f>
        <v>3</v>
      </c>
      <c r="AW330" s="2" t="str">
        <f t="shared" si="51"/>
        <v>false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CarnivoreAnimal,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 t="str">
        <f>IF(AND(_xlfn.XLOOKUP(B330,'Base stats'!B:B,'Base stats'!AH:AH)="&lt;li&gt;Seal&lt;/li&gt;",G330="Odyssey"),"&lt;li&gt;AEXP_Seal&lt;/li&gt;",_xlfn.XLOOKUP(B330,'Base stats'!B:B,'Base stats'!AH:AH))</f>
        <v>No</v>
      </c>
      <c r="BB330" s="2" t="str">
        <f>_xlfn.XLOOKUP(B330,'Base stats'!B:B,'Base stats'!AG:AG)</f>
        <v>No</v>
      </c>
      <c r="BC330" s="23" t="str">
        <f>_xlfn.XLOOKUP(_xlfn.XLOOKUP(B330,'Base stats'!B:B,'Base stats'!E:E),Groups!A:A,Groups!AL:AL)</f>
        <v>Snake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0.1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0.3</v>
      </c>
      <c r="BF330" s="2" t="str">
        <f>IF(J330&gt;0.3,"No",_xlfn.XLOOKUP(_xlfn.XLOOKUP(Animals!B330,'Base stats'!B:B,'Base stats'!E:E),Groups!A:A,Groups!AP:AP))</f>
        <v>No</v>
      </c>
      <c r="BG330" s="2" t="str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No</v>
      </c>
      <c r="BH330" s="2">
        <f>IF(AND(_xlfn.XLOOKUP(_xlfn.XLOOKUP(B330,'Base stats'!B:B,'Base stats'!E:E),Groups!A:A,Groups!AQ:AQ)=1,AO330&lt;=0.35),8,12)</f>
        <v>12</v>
      </c>
      <c r="BI330" s="2" t="str">
        <f>IF(_xlfn.XLOOKUP(_xlfn.XLOOKUP(B330,'Base stats'!B:B,'Base stats'!E:E),Groups!A:A,Groups!D:D)=0,_xlfn.XLOOKUP(_xlfn.XLOOKUP(B330,'Base stats'!B:B,'Base stats'!E:E),Groups!A:A,Groups!AR:AR),"None")</f>
        <v>Intermediate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true</v>
      </c>
      <c r="BK330" s="2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0.2</v>
      </c>
      <c r="BL330" s="2">
        <f t="shared" si="52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53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No</v>
      </c>
      <c r="BQ330" s="25" t="str">
        <f>IF(
   AND(
      'Base stats'!AN275="Standard",_xlfn.XLOOKUP(_xlfn.XLOOKUP(B330,'Base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40</v>
      </c>
      <c r="BS330" s="8">
        <f t="shared" si="54"/>
        <v>0.1</v>
      </c>
      <c r="BT330" s="8" t="str">
        <f>_xlfn.XLOOKUP(B330,'Base stats'!B:B,'Base stats'!AF:AF)</f>
        <v>No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true</v>
      </c>
      <c r="BV330" s="2" t="str">
        <f>IF(_xlfn.XLOOKUP(B330,'Base stats'!B:B,'Base stats'!AI:AI)=1,"true","false")</f>
        <v>false</v>
      </c>
      <c r="BW330" s="25" t="str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AnimalUncommon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stats'!AM:AM)=1,0.1,1)*IF(AND(_xlfn.XLOOKUP(B330,'Base stats'!B:B,'Base stats'!AM:AM)=1,D330="sarg.alphaanimals"),0.5,1)/100,IF(_xlfn.XLOOKUP(B330,'Base stats'!B:B,'Base stats'!AM:AM)=1,0.001,0.025)),0.5)))</f>
        <v>4.0000000000000001E-3</v>
      </c>
      <c r="CA330" s="25" t="str">
        <f>IF(P330="Standard","No",MAX(0.001,MIN(MROUND(IF(OR(D330="sarg.alphaanimals",AND(BJ330="True",CC330="False")),POWER(10,3.47*LOG10(_xlfn.XLOOKUP(B330,'Base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True</v>
      </c>
      <c r="CD330" s="25" t="str">
        <f t="shared" si="55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True</v>
      </c>
    </row>
    <row r="331" spans="1:88" ht="16.5" thickTop="1" thickBot="1" x14ac:dyDescent="0.3">
      <c r="A331" s="26" t="s">
        <v>1581</v>
      </c>
      <c r="B331" s="6" t="str">
        <f>_xlfn.XLOOKUP(A331,'Base stats'!A:A,'Base stats'!B:B)</f>
        <v>Technoscolopendra mucosa</v>
      </c>
      <c r="C331" s="28" t="s">
        <v>1582</v>
      </c>
      <c r="D331" s="28" t="s">
        <v>1348</v>
      </c>
      <c r="E331" s="28" t="s">
        <v>674</v>
      </c>
      <c r="F331" s="28" t="s">
        <v>674</v>
      </c>
      <c r="G331" s="28" t="s">
        <v>674</v>
      </c>
      <c r="H331" s="2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925</v>
      </c>
      <c r="I331" s="2">
        <f>MROUND(ROUNDDOWN(_xlfn.XLOOKUP(B331,'Base stats'!B:B,'Base stats'!L:L)/3.6/(23.3/11),1),0.5)</f>
        <v>1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5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-95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135</v>
      </c>
      <c r="N331" s="8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1</v>
      </c>
      <c r="O331" s="8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0.9</v>
      </c>
      <c r="P331" s="2">
        <f>_xlfn.XLOOKUP(B331,'Base stats'!B:B,'Base stats'!R:R)</f>
        <v>1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34</v>
      </c>
      <c r="R331" s="7">
        <f>IF(Q331="No","No",MAX(1,MROUND(_xlfn.XLOOKUP(B331,'Base stats'!B:B,'Base stats'!C:C)^0.165,0.05)))</f>
        <v>3.95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str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No</v>
      </c>
      <c r="Y331" s="7" t="str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No</v>
      </c>
      <c r="Z331" s="7" t="str">
        <f>IF(X331="No","No",_xlfn.XLOOKUP(_xlfn.XLOOKUP(B331,'Base stats'!B:B,'Base stats'!E:E),Groups!A:A,Groups!W:W))</f>
        <v>No</v>
      </c>
      <c r="AA331" s="7" t="str">
        <f>IF(X331="No","No",_xlfn.XLOOKUP(_xlfn.XLOOKUP(B331,'Base stats'!B:B,'Base stats'!E:E),Groups!A:A,Groups!X:X))</f>
        <v>No</v>
      </c>
      <c r="AB331" s="7" t="str">
        <f>IF(X331="No","No",_xlfn.XLOOKUP(_xlfn.XLOOKUP(B331,'Base stats'!B:B,'Base stats'!E:E),Groups!A:A,Groups!Y:Y))</f>
        <v>No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49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4.75</v>
      </c>
      <c r="AP331" s="8">
        <f>MROUND(AO331*_xlfn.XLOOKUP(_xlfn.XLOOKUP(B331,'Base stats'!B:B,'Base stats'!E:E),Groups!A:A,Groups!AI:AI)*_xlfn.XLOOKUP(B331,'Base stats'!B:B,'Base stats'!Z:Z),0.05)</f>
        <v>4.75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0.8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2500</v>
      </c>
      <c r="AS331" s="35" t="str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Lay eggs</v>
      </c>
      <c r="AT331" s="8" t="str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No</v>
      </c>
      <c r="AU331" s="8" t="str">
        <f t="shared" si="50"/>
        <v>No</v>
      </c>
      <c r="AV331" s="8" t="str">
        <f>IFERROR(IFERROR(MROUND(_xlfn.XLOOKUP(B331,'Base stats'!B:B,'Base stats'!J:J),0.1),"Lay eggs"),"Cannot breed")</f>
        <v>Lay eggs</v>
      </c>
      <c r="AW331" s="2" t="str">
        <f t="shared" si="51"/>
        <v>false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OmnivoreRoughAnimal, OvivoreAnimal</v>
      </c>
      <c r="AZ331" s="2">
        <f>IF(_xlfn.XLOOKUP(_xlfn.XLOOKUP(B331,'Base stats'!B:B,'Base stats'!E:E),Groups!A:A,Groups!D:D)=1,MROUND((1-J331)*5+1,2)*IF(J331&lt;=0.4,2,1),"No")</f>
        <v>12</v>
      </c>
      <c r="BA331" s="2" t="str">
        <f>IF(AND(_xlfn.XLOOKUP(B331,'Base stats'!B:B,'Base stats'!AH:AH)="&lt;li&gt;Seal&lt;/li&gt;",G331="Odyssey"),"&lt;li&gt;AEXP_Seal&lt;/li&gt;",_xlfn.XLOOKUP(B331,'Base stats'!B:B,'Base stats'!AH:AH))</f>
        <v>No</v>
      </c>
      <c r="BB331" s="2" t="str">
        <f>_xlfn.XLOOKUP(B331,'Base stats'!B:B,'Base stats'!AG:AG)</f>
        <v>No</v>
      </c>
      <c r="BC331" s="23" t="str">
        <f>_xlfn.XLOOKUP(_xlfn.XLOOKUP(B331,'Base stats'!B:B,'Base stats'!E:E),Groups!A:A,Groups!AL:AL)</f>
        <v>MechanicalCentipede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 t="str">
        <f>IF(J331&gt;0.3,"No",_xlfn.XLOOKUP(_xlfn.XLOOKUP(Animals!B331,'Base stats'!B:B,'Base stats'!E:E),Groups!A:A,Groups!AP:AP))</f>
        <v>No</v>
      </c>
      <c r="BG331" s="2" t="str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No</v>
      </c>
      <c r="BH331" s="2">
        <f>IF(AND(_xlfn.XLOOKUP(_xlfn.XLOOKUP(B331,'Base stats'!B:B,'Base stats'!E:E),Groups!A:A,Groups!AQ:AQ)=1,AO331&lt;=0.35),8,12)</f>
        <v>12</v>
      </c>
      <c r="BI331" s="2" t="str">
        <f>IF(_xlfn.XLOOKUP(_xlfn.XLOOKUP(B331,'Base stats'!B:B,'Base stats'!E:E),Groups!A:A,Groups!D:D)=0,_xlfn.XLOOKUP(_xlfn.XLOOKUP(B331,'Base stats'!B:B,'Base stats'!E:E),Groups!A:A,Groups!AR:AR),"None")</f>
        <v>None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52"/>
        <v>0</v>
      </c>
      <c r="BM331" s="25" t="str">
        <f>IF(_xlfn.XLOOKUP(B331,'Base stats'!B:B,'Base stats'!AN:AN)="Standard","No",MROUND((_xlfn.XLOOKUP(B331,'Base stats'!B:B,'Base stats'!AN:AN)/3.6)/I331,0.1))</f>
        <v>No</v>
      </c>
      <c r="BN331" s="25" t="e">
        <f t="shared" si="53"/>
        <v>#REF!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e">
        <f>IF(
   AND(
      'Base stats'!#REF!="Standard",_xlfn.XLOOKUP(_xlfn.XLOOKUP(B331,'Base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#REF!</v>
      </c>
      <c r="BR331" s="9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420</v>
      </c>
      <c r="BS331" s="8">
        <f t="shared" si="54"/>
        <v>1.6</v>
      </c>
      <c r="BT331" s="8" t="str">
        <f>_xlfn.XLOOKUP(B331,'Base stats'!B:B,'Base stats'!AF:AF)</f>
        <v>No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str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AnimalUncommon, AnimalFarm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 t="str">
        <f>IF(_xlfn.XLOOKUP(B331,'Base stats'!B:B,'Base stats'!N:N)=1,"No",MAX(0.001,MIN(MROUND(IF(OR(D331="sarg.alphaanimals",AND(BJ331="True",CC331="False")),POWER(10,3.47*LOG10(_xlfn.XLOOKUP(B331,'Base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stats'!AM:AM)=1,0.1,1)*IF(AND(_xlfn.XLOOKUP(B331,'Base stats'!B:B,'Base stats'!AM:AM)=1,D331="sarg.alphaanimals"),0.5,1)/100,IF(_xlfn.XLOOKUP(B331,'Base stats'!B:B,'Base stats'!AM:AM)=1,0.001,0.025)),0.5)))</f>
        <v>No</v>
      </c>
      <c r="CA331" s="25">
        <f>IF(P331="Standard","No",MAX(0.001,MIN(MROUND(IF(OR(D331="sarg.alphaanimals",AND(BJ331="True",CC331="False")),POWER(10,3.47*LOG10(_xlfn.XLOOKUP(B331,'Base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4.0000000000000001E-3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True</v>
      </c>
      <c r="CD331" s="25" t="str">
        <f t="shared" si="55"/>
        <v>False</v>
      </c>
      <c r="CE331" s="25" t="str">
        <f>IF(_xlfn.XLOOKUP(_xlfn.XLOOKUP(B331,'Base stats'!B:B,'Base stats'!E:E),Groups!A:A,Groups!AX:AX),"True","False")</f>
        <v>True</v>
      </c>
      <c r="CF331" s="25" t="str">
        <f>IF(_xlfn.XLOOKUP(_xlfn.XLOOKUP(B331,'Base stats'!B:B,'Base stats'!E:E),Groups!A:A,Groups!AY:AY),"True","False")</f>
        <v>True</v>
      </c>
      <c r="CG331" s="25" t="str">
        <f>IF(_xlfn.XLOOKUP(_xlfn.XLOOKUP(B331,'Base stats'!B:B,'Base stats'!E:E),Groups!A:A,Groups!AW:AW),"True","False")</f>
        <v>True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Bone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1583</v>
      </c>
      <c r="B332" s="6" t="str">
        <f>_xlfn.XLOOKUP(A332,'Base stats'!A:A,'Base stats'!B:B)</f>
        <v>Caprabos aculeus</v>
      </c>
      <c r="C332" s="28" t="s">
        <v>1584</v>
      </c>
      <c r="D332" s="28" t="s">
        <v>1348</v>
      </c>
      <c r="E332" s="28" t="s">
        <v>674</v>
      </c>
      <c r="F332" s="28" t="s">
        <v>674</v>
      </c>
      <c r="G332" s="28" t="s">
        <v>674</v>
      </c>
      <c r="H332" s="2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275</v>
      </c>
      <c r="I332" s="2">
        <f>MROUND(ROUNDDOWN(_xlfn.XLOOKUP(B332,'Base stats'!B:B,'Base stats'!L:L)/3.6/(23.3/11),1),0.5)</f>
        <v>4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14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-35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18.5</v>
      </c>
      <c r="T332" s="7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2.7</v>
      </c>
      <c r="U332" s="7" t="str">
        <f>IF(S332="No","No",_xlfn.XLOOKUP(_xlfn.XLOOKUP(B332,'Base stats'!B:B,'Base stats'!E:E),Groups!A:A,Groups!R:R))</f>
        <v>FrontLeftLeg, FrontRightLeg</v>
      </c>
      <c r="V332" s="7" t="str">
        <f>IF(S332="No","No",_xlfn.XLOOKUP(_xlfn.XLOOKUP(B332,'Base stats'!B:B,'Base stats'!E:E),Groups!A:A,Groups!S:S))</f>
        <v>left hoof, right hoof</v>
      </c>
      <c r="W332" s="7" t="str">
        <f>IF(S332="No","No",_xlfn.XLOOKUP(_xlfn.XLOOKUP(B332,'Base stats'!B:B,'Base stats'!E:E),Groups!A:A,Groups!T:T))</f>
        <v>Blunt</v>
      </c>
      <c r="X332" s="13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14.5</v>
      </c>
      <c r="Y332" s="7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2.3000000000000003</v>
      </c>
      <c r="Z332" s="7" t="str">
        <f>IF(X332="No","No",_xlfn.XLOOKUP(_xlfn.XLOOKUP(B332,'Base stats'!B:B,'Base stats'!E:E),Groups!A:A,Groups!W:W))</f>
        <v>HeadAttackTool</v>
      </c>
      <c r="AA332" s="7" t="str">
        <f>IF(X332="No","No",_xlfn.XLOOKUP(_xlfn.XLOOKUP(B332,'Base stats'!B:B,'Base stats'!E:E),Groups!A:A,Groups!X:X))</f>
        <v>horn</v>
      </c>
      <c r="AB332" s="7" t="str">
        <f>IF(X332="No","No",_xlfn.XLOOKUP(_xlfn.XLOOKUP(B332,'Base stats'!B:B,'Base stats'!E:E),Groups!A:A,Groups!Y:Y))</f>
        <v>Blunt</v>
      </c>
      <c r="AC332" s="7" t="str">
        <f>_xlfn.XLOOKUP(Animals!B332,'Base stats'!B:B,'Base stats'!X:X)</f>
        <v>True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49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2.75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18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10.5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0.3</v>
      </c>
      <c r="AU332" s="8">
        <f t="shared" si="50"/>
        <v>0.15000000000000002</v>
      </c>
      <c r="AV332" s="8">
        <f>IFERROR(IFERROR(MROUND(_xlfn.XLOOKUP(B332,'Base stats'!B:B,'Base stats'!J:J),0.1),"Lay eggs"),"Cannot breed")</f>
        <v>1</v>
      </c>
      <c r="AW332" s="2" t="str">
        <f t="shared" si="51"/>
        <v>true</v>
      </c>
      <c r="AX332" s="2" t="str">
        <f>IF(_xlfn.XLOOKUP(_xlfn.XLOOKUP(Animals!B332,'Base stats'!B:B,'Base stats'!E:E),Groups!A:A,Groups!AK:AK)=1,"true","false")</f>
        <v>true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VegetarianRoughAnimal</v>
      </c>
      <c r="AZ332" s="2">
        <f>IF(_xlfn.XLOOKUP(_xlfn.XLOOKUP(B332,'Base stats'!B:B,'Base stats'!E:E),Groups!A:A,Groups!D:D)=1,MROUND((1-J332)*5+1,2)*IF(J332&lt;=0.4,2,1),"No")</f>
        <v>12</v>
      </c>
      <c r="BA332" s="2" t="str">
        <f>IF(AND(_xlfn.XLOOKUP(B332,'Base stats'!B:B,'Base stats'!AH:AH)="&lt;li&gt;Seal&lt;/li&gt;",G332="Odyssey"),"&lt;li&gt;AEXP_Seal&lt;/li&gt;",_xlfn.XLOOKUP(B332,'Base stats'!B:B,'Base stats'!AH:AH))</f>
        <v>&lt;li&gt;Cow&lt;/li&gt;</v>
      </c>
      <c r="BB332" s="2" t="str">
        <f>_xlfn.XLOOKUP(B332,'Base stats'!B:B,'Base stats'!AG:AG)</f>
        <v>Leather_Plain</v>
      </c>
      <c r="BC332" s="23" t="str">
        <f>_xlfn.XLOOKUP(_xlfn.XLOOKUP(B332,'Base stats'!B:B,'Base stats'!E:E),Groups!A:A,Groups!AL:AL)</f>
        <v>QuadrupedAnimalWithHooves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 t="str">
        <f>IF(J332&gt;0.3,"No",_xlfn.XLOOKUP(_xlfn.XLOOKUP(Animals!B332,'Base stats'!B:B,'Base stats'!E:E),Groups!A:A,Groups!AP:AP))</f>
        <v>No</v>
      </c>
      <c r="BG332" s="2" t="str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No</v>
      </c>
      <c r="BH332" s="2">
        <f>IF(AND(_xlfn.XLOOKUP(_xlfn.XLOOKUP(B332,'Base stats'!B:B,'Base stats'!E:E),Groups!A:A,Groups!AQ:AQ)=1,AO332&lt;=0.35),8,12)</f>
        <v>12</v>
      </c>
      <c r="BI332" s="2" t="str">
        <f>IF(_xlfn.XLOOKUP(_xlfn.XLOOKUP(B332,'Base stats'!B:B,'Base stats'!E:E),Groups!A:A,Groups!D:D)=0,_xlfn.XLOOKUP(_xlfn.XLOOKUP(B332,'Base stats'!B:B,'Base stats'!E:E),Groups!A:A,Groups!AR:AR),"None")</f>
        <v>None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52"/>
        <v>0</v>
      </c>
      <c r="BM332" s="25" t="str">
        <f>IF(_xlfn.XLOOKUP(B332,'Base stats'!B:B,'Base stats'!AN:AN)="Standard","No",MROUND((_xlfn.XLOOKUP(B332,'Base stats'!B:B,'Base stats'!AN:AN)/3.6)/I332,0.1))</f>
        <v>No</v>
      </c>
      <c r="BN332" s="25" t="e">
        <f t="shared" si="53"/>
        <v>#REF!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e">
        <f>IF(
   AND(
      'Base stats'!#REF!="Standard",_xlfn.XLOOKUP(_xlfn.XLOOKUP(B332,'Base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#REF!</v>
      </c>
      <c r="BR332" s="9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165</v>
      </c>
      <c r="BS332" s="8">
        <f t="shared" si="54"/>
        <v>1.4500000000000002</v>
      </c>
      <c r="BT332" s="8" t="str">
        <f>_xlfn.XLOOKUP(B332,'Base stats'!B:B,'Base stats'!AF:AF)</f>
        <v>3~10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false</v>
      </c>
      <c r="BW332" s="25" t="str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AnimalUncommon, AnimalFarm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stats'!AM:AM)=1,0.1,1)*IF(AND(_xlfn.XLOOKUP(B332,'Base stats'!B:B,'Base stats'!AM:AM)=1,D332="sarg.alphaanimals"),0.5,1)/100,IF(_xlfn.XLOOKUP(B332,'Base stats'!B:B,'Base stats'!AM:AM)=1,0.001,0.025)),0.5)))</f>
        <v>2E-3</v>
      </c>
      <c r="CA332" s="25" t="str">
        <f>IF(P332="Standard","No",MAX(0.001,MIN(MROUND(IF(OR(D332="sarg.alphaanimals",AND(BJ332="True",CC332="False")),POWER(10,3.47*LOG10(_xlfn.XLOOKUP(B332,'Base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True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55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True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1585</v>
      </c>
      <c r="B333" s="6" t="str">
        <f>_xlfn.XLOOKUP(A333,'Base stats'!A:A,'Base stats'!B:B)</f>
        <v>Megacancer montanus</v>
      </c>
      <c r="C333" s="28" t="s">
        <v>1586</v>
      </c>
      <c r="D333" s="28" t="s">
        <v>1348</v>
      </c>
      <c r="E333" s="28" t="s">
        <v>674</v>
      </c>
      <c r="F333" s="28" t="s">
        <v>674</v>
      </c>
      <c r="G333" s="28" t="s">
        <v>674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6325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341.5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8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49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16.400000000000002</v>
      </c>
      <c r="AU333" s="8">
        <f t="shared" si="50"/>
        <v>8.2000000000000011</v>
      </c>
      <c r="AV333" s="8">
        <f>IFERROR(IFERROR(MROUND(_xlfn.XLOOKUP(B333,'Base stats'!B:B,'Base stats'!J:J),0.1),"Lay eggs"),"Cannot breed")</f>
        <v>2</v>
      </c>
      <c r="AW333" s="2" t="str">
        <f t="shared" si="51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0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52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e">
        <f t="shared" si="53"/>
        <v>#REF!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 t="e">
        <f>IF(
   AND(
      'Base stats'!#REF!="Standard",_xlfn.XLOOKUP(_xlfn.XLOOKUP(B333,'Base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#REF!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4315</v>
      </c>
      <c r="BS333" s="8">
        <f t="shared" si="54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stats'!AM:AM)=1,0.1,1)*IF(AND(_xlfn.XLOOKUP(B333,'Base stats'!B:B,'Base stats'!AM:AM)=1,D333="sarg.alphaanimals"),0.5,1)/100,IF(_xlfn.XLOOKUP(B333,'Base stats'!B:B,'Base stats'!AM:AM)=1,0.001,0.025)),0.5)))</f>
        <v>1E-3</v>
      </c>
      <c r="CA333" s="25" t="str">
        <f>IF(P333="Standard","No",MAX(0.001,MIN(MROUND(IF(OR(D333="sarg.alphaanimals",AND(BJ333="True",CC333="False")),POWER(10,3.47*LOG10(_xlfn.XLOOKUP(B333,'Base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55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Flesh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1587</v>
      </c>
      <c r="B334" s="6" t="str">
        <f>_xlfn.XLOOKUP(A334,'Base stats'!A:A,'Base stats'!B:B)</f>
        <v>Vermis collectivus</v>
      </c>
      <c r="C334" s="28" t="s">
        <v>1588</v>
      </c>
      <c r="D334" s="28" t="s">
        <v>1348</v>
      </c>
      <c r="E334" s="28" t="s">
        <v>674</v>
      </c>
      <c r="F334" s="28" t="s">
        <v>674</v>
      </c>
      <c r="G334" s="28" t="s">
        <v>674</v>
      </c>
      <c r="H334" s="2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125</v>
      </c>
      <c r="I334" s="2">
        <f>MROUND(ROUNDDOWN(_xlfn.XLOOKUP(B334,'Base stats'!B:B,'Base stats'!L:L)/3.6/(23.3/11),1),0.5)</f>
        <v>3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0.5</v>
      </c>
      <c r="K334" s="2">
        <f>ROUNDUP(AO334*_xlfn.XLOOKUP(_xlfn.XLOOKUP(B334,'Base stats'!B:B,'Base stats'!E:E),Groups!A:A,Groups!E:E),0)</f>
        <v>1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50</v>
      </c>
      <c r="N334" s="8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0.25</v>
      </c>
      <c r="O334" s="8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0.1</v>
      </c>
      <c r="P334" s="2">
        <f>_xlfn.XLOOKUP(B334,'Base stats'!B:B,'Base stats'!R:R)</f>
        <v>1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str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No</v>
      </c>
      <c r="Y334" s="7" t="str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No</v>
      </c>
      <c r="Z334" s="7" t="str">
        <f>IF(X334="No","No",_xlfn.XLOOKUP(_xlfn.XLOOKUP(B334,'Base stats'!B:B,'Base stats'!E:E),Groups!A:A,Groups!W:W))</f>
        <v>No</v>
      </c>
      <c r="AA334" s="7" t="str">
        <f>IF(X334="No","No",_xlfn.XLOOKUP(_xlfn.XLOOKUP(B334,'Base stats'!B:B,'Base stats'!E:E),Groups!A:A,Groups!X:X))</f>
        <v>No</v>
      </c>
      <c r="AB334" s="7" t="str">
        <f>IF(X334="No","No",_xlfn.XLOOKUP(_xlfn.XLOOKUP(B334,'Base stats'!B:B,'Base stats'!E:E),Groups!A:A,Groups!Y:Y))</f>
        <v>No</v>
      </c>
      <c r="AC334" s="7" t="str">
        <f>_xlfn.XLOOKUP(Animals!B334,'Base stats'!B:B,'Base stats'!X:X)</f>
        <v>False</v>
      </c>
      <c r="AD334" s="13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6.5</v>
      </c>
      <c r="AE334" s="7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1.55</v>
      </c>
      <c r="AF334" s="7" t="str">
        <f>IF(AD334="No","No",_xlfn.XLOOKUP(_xlfn.XLOOKUP(B334,'Base stats'!B:B,'Base stats'!E:E),Groups!A:A,Groups!AA:AA))</f>
        <v>Mouth</v>
      </c>
      <c r="AG334" s="7" t="str">
        <f>IF(AD334="No","No",_xlfn.XLOOKUP(_xlfn.XLOOKUP(B334,'Base stats'!B:B,'Base stats'!E:E),Groups!A:A,Groups!AB:AB))</f>
        <v>mandibles</v>
      </c>
      <c r="AH334" s="7" t="str">
        <f>IF(AD334="No","No",_xlfn.XLOOKUP(_xlfn.XLOOKUP(B334,'Base stats'!B:B,'Base stats'!E:E),Groups!A:A,Groups!AC:AC))</f>
        <v>Bite</v>
      </c>
      <c r="AI334" s="13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4.5</v>
      </c>
      <c r="AJ334" s="7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1.4000000000000001</v>
      </c>
      <c r="AK334" s="7" t="str">
        <f>IF(AI334="No","No",_xlfn.XLOOKUP(_xlfn.XLOOKUP(B334,'Base stats'!B:B,'Base stats'!E:E),Groups!A:A,Groups!AF:AF))</f>
        <v>HeadClaw</v>
      </c>
      <c r="AL334" s="7" t="str">
        <f>IF(AI334="No","No",_xlfn.XLOOKUP(_xlfn.XLOOKUP(B334,'Base stats'!B:B,'Base stats'!E:E),Groups!A:A,Groups!AG:AG))</f>
        <v>head claw</v>
      </c>
      <c r="AM334" s="7" t="str">
        <f>IF(AI334="No","No",_xlfn.XLOOKUP(_xlfn.XLOOKUP(B334,'Base stats'!B:B,'Base stats'!E:E),Groups!A:A,Groups!AH:AH))</f>
        <v>AA_SwarmlingClaws</v>
      </c>
      <c r="AN334" s="2">
        <f t="shared" si="49"/>
        <v>15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0.30000000000000004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0.05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6</v>
      </c>
      <c r="AS334" s="35" t="str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Lay eggs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0.3</v>
      </c>
      <c r="AU334" s="8">
        <f t="shared" si="50"/>
        <v>0.15000000000000002</v>
      </c>
      <c r="AV334" s="8" t="str">
        <f>IFERROR(IFERROR(MROUND(_xlfn.XLOOKUP(B334,'Base stats'!B:B,'Base stats'!J:J),0.1),"Lay eggs"),"Cannot breed")</f>
        <v>Lay eggs</v>
      </c>
      <c r="AW334" s="2" t="str">
        <f t="shared" si="51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 t="str">
        <f>IF(AND(_xlfn.XLOOKUP(B334,'Base stats'!B:B,'Base stats'!AH:AH)="&lt;li&gt;Seal&lt;/li&gt;",G334="Odyssey"),"&lt;li&gt;AEXP_Seal&lt;/li&gt;",_xlfn.XLOOKUP(B334,'Base stats'!B:B,'Base stats'!AH:AH))</f>
        <v>&lt;li&gt;Megaspider&lt;/li&gt;</v>
      </c>
      <c r="BB334" s="2" t="str">
        <f>_xlfn.XLOOKUP(B334,'Base stats'!B:B,'Base stats'!AG:AG)</f>
        <v>Leather_Chitin</v>
      </c>
      <c r="BC334" s="23" t="str">
        <f>_xlfn.XLOOKUP(_xlfn.XLOOKUP(B334,'Base stats'!B:B,'Base stats'!E:E),Groups!A:A,Groups!AL:AL)</f>
        <v>BeetleLikeWithClaw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 t="str">
        <f>IF(J334&gt;0.3,"No",_xlfn.XLOOKUP(_xlfn.XLOOKUP(Animals!B334,'Base stats'!B:B,'Base stats'!E:E),Groups!A:A,Groups!AP:AP))</f>
        <v>No</v>
      </c>
      <c r="BG334" s="2" t="str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No</v>
      </c>
      <c r="BH334" s="2">
        <f>IF(AND(_xlfn.XLOOKUP(_xlfn.XLOOKUP(B334,'Base stats'!B:B,'Base stats'!E:E),Groups!A:A,Groups!AQ:AQ)=1,AO334&lt;=0.35),8,12)</f>
        <v>12</v>
      </c>
      <c r="BI334" s="2" t="str">
        <f>IF(_xlfn.XLOOKUP(_xlfn.XLOOKUP(B334,'Base stats'!B:B,'Base stats'!E:E),Groups!A:A,Groups!D:D)=0,_xlfn.XLOOKUP(_xlfn.XLOOKUP(B334,'Base stats'!B:B,'Base stats'!E:E),Groups!A:A,Groups!AR:AR),"None")</f>
        <v>Advanced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true</v>
      </c>
      <c r="BK334" s="2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0.2</v>
      </c>
      <c r="BL334" s="2">
        <f t="shared" si="52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e">
        <f t="shared" si="53"/>
        <v>#REF!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Forage</v>
      </c>
      <c r="BQ334" s="25" t="e">
        <f>IF(
   AND(
      'Base stats'!#REF!="Standard",_xlfn.XLOOKUP(_xlfn.XLOOKUP(B334,'Base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#REF!</v>
      </c>
      <c r="BR334" s="9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45</v>
      </c>
      <c r="BS334" s="8">
        <f t="shared" si="54"/>
        <v>0.1</v>
      </c>
      <c r="BT334" s="8" t="str">
        <f>_xlfn.XLOOKUP(B334,'Base stats'!B:B,'Base stats'!AF:AF)</f>
        <v>3~10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true</v>
      </c>
      <c r="BV334" s="2" t="str">
        <f>IF(_xlfn.XLOOKUP(B334,'Base stats'!B:B,'Base stats'!AI:AI)=1,"true","false")</f>
        <v>false</v>
      </c>
      <c r="BW334" s="25" t="str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AnimalUncommon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/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stats'!AM:AM)=1,0.1,1)*IF(AND(_xlfn.XLOOKUP(B334,'Base stats'!B:B,'Base stats'!AM:AM)=1,D334="sarg.alphaanimals"),0.5,1)/100,IF(_xlfn.XLOOKUP(B334,'Base stats'!B:B,'Base stats'!AM:AM)=1,0.001,0.025)),0.5)))</f>
        <v>5.0000000000000001E-3</v>
      </c>
      <c r="CA334" s="25">
        <f>IF(P334="Standard","No",MAX(0.001,MIN(MROUND(IF(OR(D334="sarg.alphaanimals",AND(BJ334="True",CC334="False")),POWER(10,3.47*LOG10(_xlfn.XLOOKUP(B334,'Base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0.01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True</v>
      </c>
      <c r="CD334" s="25" t="str">
        <f t="shared" si="55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Bone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1589</v>
      </c>
      <c r="B335" s="6" t="str">
        <f>_xlfn.XLOOKUP(A335,'Base stats'!A:A,'Base stats'!B:B)</f>
        <v>Petrovorax asphaltus</v>
      </c>
      <c r="C335" s="28" t="s">
        <v>1590</v>
      </c>
      <c r="D335" s="28" t="s">
        <v>1348</v>
      </c>
      <c r="E335" s="28" t="s">
        <v>674</v>
      </c>
      <c r="F335" s="28" t="s">
        <v>674</v>
      </c>
      <c r="G335" s="28" t="s">
        <v>674</v>
      </c>
      <c r="H335" s="2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400</v>
      </c>
      <c r="I335" s="2">
        <f>MROUND(ROUNDDOWN(_xlfn.XLOOKUP(B335,'Base stats'!B:B,'Base stats'!L:L)/3.6/(23.3/11),1),0.5)</f>
        <v>1.5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0.75</v>
      </c>
      <c r="K335" s="2">
        <f>ROUNDUP(AO335*_xlfn.XLOOKUP(_xlfn.XLOOKUP(B335,'Base stats'!B:B,'Base stats'!E:E),Groups!A:A,Groups!E:E),0)</f>
        <v>2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35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>
        <f>_xlfn.XLOOKUP(B335,'Base stats'!B:B,'Base stats'!R:R)</f>
        <v>1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</v>
      </c>
      <c r="R335" s="7">
        <f>IF(Q335="No","No",MAX(1,MROUND(_xlfn.XLOOKUP(B335,'Base stats'!B:B,'Base stats'!C:C)^0.165,0.05)))</f>
        <v>2.4000000000000004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str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No</v>
      </c>
      <c r="Y335" s="7" t="str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No</v>
      </c>
      <c r="Z335" s="7" t="str">
        <f>IF(X335="No","No",_xlfn.XLOOKUP(_xlfn.XLOOKUP(B335,'Base stats'!B:B,'Base stats'!E:E),Groups!A:A,Groups!W:W))</f>
        <v>No</v>
      </c>
      <c r="AA335" s="7" t="str">
        <f>IF(X335="No","No",_xlfn.XLOOKUP(_xlfn.XLOOKUP(B335,'Base stats'!B:B,'Base stats'!E:E),Groups!A:A,Groups!X:X))</f>
        <v>No</v>
      </c>
      <c r="AB335" s="7" t="str">
        <f>IF(X335="No","No",_xlfn.XLOOKUP(_xlfn.XLOOKUP(B335,'Base stats'!B:B,'Base stats'!E:E),Groups!A:A,Groups!Y:Y))</f>
        <v>No</v>
      </c>
      <c r="AC335" s="7" t="str">
        <f>_xlfn.XLOOKUP(Animals!B335,'Base stats'!B:B,'Base stats'!X:X)</f>
        <v>False</v>
      </c>
      <c r="AD335" s="13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16</v>
      </c>
      <c r="AE335" s="7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2.4000000000000004</v>
      </c>
      <c r="AF335" s="7" t="str">
        <f>IF(AD335="No","No",_xlfn.XLOOKUP(_xlfn.XLOOKUP(B335,'Base stats'!B:B,'Base stats'!E:E),Groups!A:A,Groups!AA:AA))</f>
        <v>Beak</v>
      </c>
      <c r="AG335" s="7" t="str">
        <f>IF(AD335="No","No",_xlfn.XLOOKUP(_xlfn.XLOOKUP(B335,'Base stats'!B:B,'Base stats'!E:E),Groups!A:A,Groups!AB:AB))</f>
        <v>beak</v>
      </c>
      <c r="AH335" s="7" t="str">
        <f>IF(AD335="No","No",_xlfn.XLOOKUP(_xlfn.XLOOKUP(B335,'Base stats'!B:B,'Base stats'!E:E),Groups!A:A,Groups!AC:AC))</f>
        <v>Bite</v>
      </c>
      <c r="AI335" s="13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14.5</v>
      </c>
      <c r="AJ335" s="7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1.8</v>
      </c>
      <c r="AK335" s="7" t="str">
        <f>IF(AI335="No","No",_xlfn.XLOOKUP(_xlfn.XLOOKUP(B335,'Base stats'!B:B,'Base stats'!E:E),Groups!A:A,Groups!AF:AF))</f>
        <v>Arms</v>
      </c>
      <c r="AL335" s="7" t="str">
        <f>IF(AI335="No","No",_xlfn.XLOOKUP(_xlfn.XLOOKUP(B335,'Base stats'!B:B,'Base stats'!E:E),Groups!A:A,Groups!AG:AG))</f>
        <v>tentacles</v>
      </c>
      <c r="AM335" s="7" t="str">
        <f>IF(AI335="No","No",_xlfn.XLOOKUP(_xlfn.XLOOKUP(B335,'Base stats'!B:B,'Base stats'!E:E),Groups!A:A,Groups!AH:AH))</f>
        <v>Blunt</v>
      </c>
      <c r="AN335" s="2" t="str">
        <f t="shared" si="49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1.8</v>
      </c>
      <c r="AP335" s="8">
        <f>MROUND(AO335*_xlfn.XLOOKUP(_xlfn.XLOOKUP(B335,'Base stats'!B:B,'Base stats'!E:E),Groups!A:A,Groups!AI:AI)*_xlfn.XLOOKUP(B335,'Base stats'!B:B,'Base stats'!Z:Z),0.05)</f>
        <v>1.8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0.2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18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9.5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0.3</v>
      </c>
      <c r="AU335" s="8">
        <f t="shared" si="50"/>
        <v>0.15000000000000002</v>
      </c>
      <c r="AV335" s="8">
        <f>IFERROR(IFERROR(MROUND(_xlfn.XLOOKUP(B335,'Base stats'!B:B,'Base stats'!J:J),0.1),"Lay eggs"),"Cannot breed")</f>
        <v>1</v>
      </c>
      <c r="AW335" s="2" t="str">
        <f t="shared" si="51"/>
        <v>false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>
        <f>IF(_xlfn.XLOOKUP(_xlfn.XLOOKUP(B335,'Base stats'!B:B,'Base stats'!E:E),Groups!A:A,Groups!D:D)=1,MROUND((1-J335)*5+1,2)*IF(J335&lt;=0.4,2,1),"No")</f>
        <v>2</v>
      </c>
      <c r="BA335" s="2" t="str">
        <f>IF(AND(_xlfn.XLOOKUP(B335,'Base stats'!B:B,'Base stats'!AH:AH)="&lt;li&gt;Seal&lt;/li&gt;",G335="Odyssey"),"&lt;li&gt;AEXP_Seal&lt;/li&gt;",_xlfn.XLOOKUP(B335,'Base stats'!B:B,'Base stats'!AH:AH))</f>
        <v>&lt;li&gt;AA_SandSquid&lt;/li&gt;</v>
      </c>
      <c r="BB335" s="2" t="str">
        <f>_xlfn.XLOOKUP(B335,'Base stats'!B:B,'Base stats'!AG:AG)</f>
        <v>No</v>
      </c>
      <c r="BC335" s="23" t="str">
        <f>_xlfn.XLOOKUP(_xlfn.XLOOKUP(B335,'Base stats'!B:B,'Base stats'!E:E),Groups!A:A,Groups!AL:AL)</f>
        <v>CephalopodBiped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0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</v>
      </c>
      <c r="BF335" s="2" t="str">
        <f>IF(J335&gt;0.3,"No",_xlfn.XLOOKUP(_xlfn.XLOOKUP(Animals!B335,'Base stats'!B:B,'Base stats'!E:E),Groups!A:A,Groups!AP:AP))</f>
        <v>No</v>
      </c>
      <c r="BG335" s="2" t="str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No</v>
      </c>
      <c r="BH335" s="2">
        <f>IF(AND(_xlfn.XLOOKUP(_xlfn.XLOOKUP(B335,'Base stats'!B:B,'Base stats'!E:E),Groups!A:A,Groups!AQ:AQ)=1,AO335&lt;=0.35),8,12)</f>
        <v>12</v>
      </c>
      <c r="BI335" s="2" t="str">
        <f>IF(_xlfn.XLOOKUP(_xlfn.XLOOKUP(B335,'Base stats'!B:B,'Base stats'!E:E),Groups!A:A,Groups!D:D)=0,_xlfn.XLOOKUP(_xlfn.XLOOKUP(B335,'Base stats'!B:B,'Base stats'!E:E),Groups!A:A,Groups!AR:AR),"None")</f>
        <v>None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52"/>
        <v>0</v>
      </c>
      <c r="BM335" s="25" t="str">
        <f>IF(_xlfn.XLOOKUP(B335,'Base stats'!B:B,'Base stats'!AN:AN)="Standard","No",MROUND((_xlfn.XLOOKUP(B335,'Base stats'!B:B,'Base stats'!AN:AN)/3.6)/I335,0.1))</f>
        <v>No</v>
      </c>
      <c r="BN335" s="25" t="e">
        <f t="shared" si="53"/>
        <v>#REF!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e">
        <f>IF(
   AND(
      'Base stats'!#REF!="Standard",_xlfn.XLOOKUP(_xlfn.XLOOKUP(B335,'Base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#REF!</v>
      </c>
      <c r="BR335" s="9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125</v>
      </c>
      <c r="BS335" s="8">
        <f t="shared" si="54"/>
        <v>0.5</v>
      </c>
      <c r="BT335" s="8" t="str">
        <f>_xlfn.XLOOKUP(B335,'Base stats'!B:B,'Base stats'!AF:AF)</f>
        <v>No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true</v>
      </c>
      <c r="BV335" s="2" t="str">
        <f>IF(_xlfn.XLOOKUP(B335,'Base stats'!B:B,'Base stats'!AI:AI)=1,"true","false")</f>
        <v>false</v>
      </c>
      <c r="BW335" s="25" t="str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AnimalUncommon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/>
      </c>
      <c r="BY335" s="25" t="str">
        <f>IF(_xlfn.XLOOKUP(B335,'Base stats'!B:B,'Base stats'!AJ:AJ)=1,"true","false")</f>
        <v>false</v>
      </c>
      <c r="BZ335" s="25">
        <f>IF(_xlfn.XLOOKUP(B335,'Base stats'!B:B,'Base stats'!N:N)=1,"No",MAX(0.001,MIN(MROUND(IF(OR(D335="sarg.alphaanimals",AND(BJ335="True",CC335="False")),POWER(10,3.47*LOG10(_xlfn.XLOOKUP(B335,'Base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stats'!AM:AM)=1,0.1,1)*IF(AND(_xlfn.XLOOKUP(B335,'Base stats'!B:B,'Base stats'!AM:AM)=1,D335="sarg.alphaanimals"),0.5,1)/100,IF(_xlfn.XLOOKUP(B335,'Base stats'!B:B,'Base stats'!AM:AM)=1,0.001,0.025)),0.5)))</f>
        <v>3.0000000000000001E-3</v>
      </c>
      <c r="CA335" s="25">
        <f>IF(P335="Standard","No",MAX(0.001,MIN(MROUND(IF(OR(D335="sarg.alphaanimals",AND(BJ335="True",CC335="False")),POWER(10,3.47*LOG10(_xlfn.XLOOKUP(B335,'Base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5.0000000000000001E-3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True</v>
      </c>
      <c r="CD335" s="25" t="str">
        <f t="shared" si="55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1591</v>
      </c>
      <c r="B336" s="6" t="str">
        <f>_xlfn.XLOOKUP(A336,'Base stats'!A:A,'Base stats'!B:B)</f>
        <v>Teratomor primordius</v>
      </c>
      <c r="C336" s="28" t="s">
        <v>1592</v>
      </c>
      <c r="D336" s="28" t="s">
        <v>1348</v>
      </c>
      <c r="E336" s="28" t="s">
        <v>674</v>
      </c>
      <c r="F336" s="28" t="s">
        <v>674</v>
      </c>
      <c r="G336" s="28" t="s">
        <v>674</v>
      </c>
      <c r="H336" s="2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700</v>
      </c>
      <c r="I336" s="2">
        <f>MROUND(ROUNDDOWN(_xlfn.XLOOKUP(B336,'Base stats'!B:B,'Base stats'!L:L)/3.6/(23.3/11),1),0.5)</f>
        <v>1.5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0.8</v>
      </c>
      <c r="K336" s="2">
        <f>ROUNDUP(AO336*_xlfn.XLOOKUP(_xlfn.XLOOKUP(B336,'Base stats'!B:B,'Base stats'!E:E),Groups!A:A,Groups!E:E),0)</f>
        <v>3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35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15.5</v>
      </c>
      <c r="R336" s="7">
        <f>IF(Q336="No","No",MAX(1,MROUND(_xlfn.XLOOKUP(B336,'Base stats'!B:B,'Base stats'!C:C)^0.165,0.05)))</f>
        <v>2.8000000000000003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str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No</v>
      </c>
      <c r="Y336" s="7" t="str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No</v>
      </c>
      <c r="Z336" s="7" t="str">
        <f>IF(X336="No","No",_xlfn.XLOOKUP(_xlfn.XLOOKUP(B336,'Base stats'!B:B,'Base stats'!E:E),Groups!A:A,Groups!W:W))</f>
        <v>No</v>
      </c>
      <c r="AA336" s="7" t="str">
        <f>IF(X336="No","No",_xlfn.XLOOKUP(_xlfn.XLOOKUP(B336,'Base stats'!B:B,'Base stats'!E:E),Groups!A:A,Groups!X:X))</f>
        <v>No</v>
      </c>
      <c r="AB336" s="7" t="str">
        <f>IF(X336="No","No",_xlfn.XLOOKUP(_xlfn.XLOOKUP(B336,'Base stats'!B:B,'Base stats'!E:E),Groups!A:A,Groups!Y:Y))</f>
        <v>No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21</v>
      </c>
      <c r="AJ336" s="7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2.1</v>
      </c>
      <c r="AK336" s="7" t="str">
        <f>IF(AI336="No","No",_xlfn.XLOOKUP(_xlfn.XLOOKUP(B336,'Base stats'!B:B,'Base stats'!E:E),Groups!A:A,Groups!AF:AF))</f>
        <v>Arms</v>
      </c>
      <c r="AL336" s="7" t="str">
        <f>IF(AI336="No","No",_xlfn.XLOOKUP(_xlfn.XLOOKUP(B336,'Base stats'!B:B,'Base stats'!E:E),Groups!A:A,Groups!AG:AG))</f>
        <v>arms</v>
      </c>
      <c r="AM336" s="7" t="str">
        <f>IF(AI336="No","No",_xlfn.XLOOKUP(_xlfn.XLOOKUP(B336,'Base stats'!B:B,'Base stats'!E:E),Groups!A:A,Groups!AH:AH))</f>
        <v>Blunt</v>
      </c>
      <c r="AN336" s="2" t="str">
        <f t="shared" si="49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2.75</v>
      </c>
      <c r="AP336" s="8">
        <f>MROUND(AO336*_xlfn.XLOOKUP(_xlfn.XLOOKUP(B336,'Base stats'!B:B,'Base stats'!E:E),Groups!A:A,Groups!AI:AI)*_xlfn.XLOOKUP(B336,'Base stats'!B:B,'Base stats'!Z:Z),0.05)</f>
        <v>2.75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0.30000000000000004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3</v>
      </c>
      <c r="AS336" s="35" t="str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Lay eggs</v>
      </c>
      <c r="AT336" s="8" t="str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No</v>
      </c>
      <c r="AU336" s="8" t="str">
        <f t="shared" si="50"/>
        <v>No</v>
      </c>
      <c r="AV336" s="8" t="str">
        <f>IFERROR(IFERROR(MROUND(_xlfn.XLOOKUP(B336,'Base stats'!B:B,'Base stats'!J:J),0.1),"Lay eggs"),"Cannot breed")</f>
        <v>Lay eggs</v>
      </c>
      <c r="AW336" s="2" t="str">
        <f t="shared" si="51"/>
        <v>false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VegetarianRoughAnimal</v>
      </c>
      <c r="AZ336" s="2">
        <f>IF(_xlfn.XLOOKUP(_xlfn.XLOOKUP(B336,'Base stats'!B:B,'Base stats'!E:E),Groups!A:A,Groups!D:D)=1,MROUND((1-J336)*5+1,2)*IF(J336&lt;=0.4,2,1),"No")</f>
        <v>2</v>
      </c>
      <c r="BA336" s="2" t="str">
        <f>IF(AND(_xlfn.XLOOKUP(B336,'Base stats'!B:B,'Base stats'!AH:AH)="&lt;li&gt;Seal&lt;/li&gt;",G336="Odyssey"),"&lt;li&gt;AEXP_Seal&lt;/li&gt;",_xlfn.XLOOKUP(B336,'Base stats'!B:B,'Base stats'!AH:AH))</f>
        <v>&lt;li&gt;Megaspider&lt;/li&gt;</v>
      </c>
      <c r="BB336" s="2" t="str">
        <f>_xlfn.XLOOKUP(B336,'Base stats'!B:B,'Base stats'!AG:AG)</f>
        <v>No</v>
      </c>
      <c r="BC336" s="23" t="str">
        <f>_xlfn.XLOOKUP(_xlfn.XLOOKUP(B336,'Base stats'!B:B,'Base stats'!E:E),Groups!A:A,Groups!AL:AL)</f>
        <v>GooBody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 t="str">
        <f>IF(J336&gt;0.3,"No",_xlfn.XLOOKUP(_xlfn.XLOOKUP(Animals!B336,'Base stats'!B:B,'Base stats'!E:E),Groups!A:A,Groups!AP:AP))</f>
        <v>No</v>
      </c>
      <c r="BG336" s="2" t="str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No</v>
      </c>
      <c r="BH336" s="2">
        <f>IF(AND(_xlfn.XLOOKUP(_xlfn.XLOOKUP(B336,'Base stats'!B:B,'Base stats'!E:E),Groups!A:A,Groups!AQ:AQ)=1,AO336&lt;=0.35),8,12)</f>
        <v>12</v>
      </c>
      <c r="BI336" s="2" t="str">
        <f>IF(_xlfn.XLOOKUP(_xlfn.XLOOKUP(B336,'Base stats'!B:B,'Base stats'!E:E),Groups!A:A,Groups!D:D)=0,_xlfn.XLOOKUP(_xlfn.XLOOKUP(B336,'Base stats'!B:B,'Base stats'!E:E),Groups!A:A,Groups!AR:AR),"None")</f>
        <v>None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52"/>
        <v>0</v>
      </c>
      <c r="BM336" s="25" t="str">
        <f>IF(_xlfn.XLOOKUP(B336,'Base stats'!B:B,'Base stats'!AN:AN)="Standard","No",MROUND((_xlfn.XLOOKUP(B336,'Base stats'!B:B,'Base stats'!AN:AN)/3.6)/I336,0.1))</f>
        <v>No</v>
      </c>
      <c r="BN336" s="25" t="e">
        <f t="shared" si="53"/>
        <v>#REF!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e">
        <f>IF(
   AND(
      'Base stats'!#REF!="Standard",_xlfn.XLOOKUP(_xlfn.XLOOKUP(B336,'Base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#REF!</v>
      </c>
      <c r="BR336" s="9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215</v>
      </c>
      <c r="BS336" s="8">
        <f t="shared" si="54"/>
        <v>0.8</v>
      </c>
      <c r="BT336" s="8" t="str">
        <f>_xlfn.XLOOKUP(B336,'Base stats'!B:B,'Base stats'!AF:AF)</f>
        <v>No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str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AnimalUncommon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/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stats'!AM:AM)=1,0.1,1)*IF(AND(_xlfn.XLOOKUP(B336,'Base stats'!B:B,'Base stats'!AM:AM)=1,D336="sarg.alphaanimals"),0.5,1)/100,IF(_xlfn.XLOOKUP(B336,'Base stats'!B:B,'Base stats'!AM:AM)=1,0.001,0.025)),0.5)))</f>
        <v>2E-3</v>
      </c>
      <c r="CA336" s="25" t="str">
        <f>IF(P336="Standard","No",MAX(0.001,MIN(MROUND(IF(OR(D336="sarg.alphaanimals",AND(BJ336="True",CC336="False")),POWER(10,3.47*LOG10(_xlfn.XLOOKUP(B336,'Base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True</v>
      </c>
      <c r="CD336" s="25" t="str">
        <f t="shared" si="55"/>
        <v>False</v>
      </c>
      <c r="CE336" s="25" t="str">
        <f>IF(_xlfn.XLOOKUP(_xlfn.XLOOKUP(B336,'Base stats'!B:B,'Base stats'!E:E),Groups!A:A,Groups!AX:AX),"True","False")</f>
        <v>True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True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1593</v>
      </c>
      <c r="B337" s="6" t="str">
        <f>_xlfn.XLOOKUP(A337,'Base stats'!A:A,'Base stats'!B:B)</f>
        <v>Terramorpha mutabilis</v>
      </c>
      <c r="C337" s="28" t="s">
        <v>1594</v>
      </c>
      <c r="D337" s="28" t="s">
        <v>1348</v>
      </c>
      <c r="E337" s="28" t="s">
        <v>674</v>
      </c>
      <c r="F337" s="28" t="s">
        <v>674</v>
      </c>
      <c r="G337" s="28" t="s">
        <v>674</v>
      </c>
      <c r="H337" s="2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175</v>
      </c>
      <c r="I337" s="2">
        <f>MROUND(ROUNDDOWN(_xlfn.XLOOKUP(B337,'Base stats'!B:B,'Base stats'!L:L)/3.6/(23.3/11),1),0.5)</f>
        <v>1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0.55000000000000004</v>
      </c>
      <c r="K337" s="2">
        <f>ROUNDUP(AO337*_xlfn.XLOOKUP(_xlfn.XLOOKUP(B337,'Base stats'!B:B,'Base stats'!E:E),Groups!A:A,Groups!E:E),0)</f>
        <v>9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35</v>
      </c>
      <c r="N337" s="8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0.1</v>
      </c>
      <c r="O337" s="8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0.15000000000000002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6</v>
      </c>
      <c r="R337" s="7">
        <f>IF(Q337="No","No",MAX(1,MROUND(_xlfn.XLOOKUP(B337,'Base stats'!B:B,'Base stats'!C:C)^0.165,0.05)))</f>
        <v>1.85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str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No</v>
      </c>
      <c r="Y337" s="7" t="str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No</v>
      </c>
      <c r="Z337" s="7" t="str">
        <f>IF(X337="No","No",_xlfn.XLOOKUP(_xlfn.XLOOKUP(B337,'Base stats'!B:B,'Base stats'!E:E),Groups!A:A,Groups!W:W))</f>
        <v>No</v>
      </c>
      <c r="AA337" s="7" t="str">
        <f>IF(X337="No","No",_xlfn.XLOOKUP(_xlfn.XLOOKUP(B337,'Base stats'!B:B,'Base stats'!E:E),Groups!A:A,Groups!X:X))</f>
        <v>No</v>
      </c>
      <c r="AB337" s="7" t="str">
        <f>IF(X337="No","No",_xlfn.XLOOKUP(_xlfn.XLOOKUP(B337,'Base stats'!B:B,'Base stats'!E:E),Groups!A:A,Groups!Y:Y))</f>
        <v>No</v>
      </c>
      <c r="AC337" s="7" t="str">
        <f>_xlfn.XLOOKUP(Animals!B337,'Base stats'!B:B,'Base stats'!X:X)</f>
        <v>False</v>
      </c>
      <c r="AD337" s="13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8.5</v>
      </c>
      <c r="AE337" s="7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1.85</v>
      </c>
      <c r="AF337" s="7" t="str">
        <f>IF(AD337="No","No",_xlfn.XLOOKUP(_xlfn.XLOOKUP(B337,'Base stats'!B:B,'Base stats'!E:E),Groups!A:A,Groups!AA:AA))</f>
        <v>Mouth</v>
      </c>
      <c r="AG337" s="7" t="str">
        <f>IF(AD337="No","No",_xlfn.XLOOKUP(_xlfn.XLOOKUP(B337,'Base stats'!B:B,'Base stats'!E:E),Groups!A:A,Groups!AB:AB))</f>
        <v>radula</v>
      </c>
      <c r="AH337" s="7" t="str">
        <f>IF(AD337="No","No",_xlfn.XLOOKUP(_xlfn.XLOOKUP(B337,'Base stats'!B:B,'Base stats'!E:E),Groups!A:A,Groups!AC:AC))</f>
        <v>Bite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49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0.8</v>
      </c>
      <c r="AP337" s="8">
        <f>MROUND(AO337*_xlfn.XLOOKUP(_xlfn.XLOOKUP(B337,'Base stats'!B:B,'Base stats'!E:E),Groups!A:A,Groups!AI:AI)*_xlfn.XLOOKUP(B337,'Base stats'!B:B,'Base stats'!Z:Z),0.05)</f>
        <v>0.8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0.1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18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8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0.3</v>
      </c>
      <c r="AU337" s="8">
        <f t="shared" si="50"/>
        <v>0.15000000000000002</v>
      </c>
      <c r="AV337" s="8">
        <f>IFERROR(IFERROR(MROUND(_xlfn.XLOOKUP(B337,'Base stats'!B:B,'Base stats'!J:J),0.1),"Lay eggs"),"Cannot breed")</f>
        <v>1</v>
      </c>
      <c r="AW337" s="2" t="str">
        <f t="shared" si="51"/>
        <v>false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VegetarianRoughAnimal</v>
      </c>
      <c r="AZ337" s="2">
        <f>IF(_xlfn.XLOOKUP(_xlfn.XLOOKUP(B337,'Base stats'!B:B,'Base stats'!E:E),Groups!A:A,Groups!D:D)=1,MROUND((1-J337)*5+1,2)*IF(J337&lt;=0.4,2,1),"No")</f>
        <v>4</v>
      </c>
      <c r="BA337" s="2" t="str">
        <f>IF(AND(_xlfn.XLOOKUP(B337,'Base stats'!B:B,'Base stats'!AH:AH)="&lt;li&gt;Seal&lt;/li&gt;",G337="Odyssey"),"&lt;li&gt;AEXP_Seal&lt;/li&gt;",_xlfn.XLOOKUP(B337,'Base stats'!B:B,'Base stats'!AH:AH))</f>
        <v>&lt;li&gt;AA_BoulderMit&lt;/li&gt;</v>
      </c>
      <c r="BB337" s="2" t="str">
        <f>_xlfn.XLOOKUP(B337,'Base stats'!B:B,'Base stats'!AG:AG)</f>
        <v>No</v>
      </c>
      <c r="BC337" s="23" t="str">
        <f>_xlfn.XLOOKUP(_xlfn.XLOOKUP(B337,'Base stats'!B:B,'Base stats'!E:E),Groups!A:A,Groups!AL:AL)</f>
        <v>Slug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 t="str">
        <f>IF(J337&gt;0.3,"No",_xlfn.XLOOKUP(_xlfn.XLOOKUP(Animals!B337,'Base stats'!B:B,'Base stats'!E:E),Groups!A:A,Groups!AP:AP))</f>
        <v>No</v>
      </c>
      <c r="BG337" s="2" t="str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No</v>
      </c>
      <c r="BH337" s="2">
        <f>IF(AND(_xlfn.XLOOKUP(_xlfn.XLOOKUP(B337,'Base stats'!B:B,'Base stats'!E:E),Groups!A:A,Groups!AQ:AQ)=1,AO337&lt;=0.35),8,12)</f>
        <v>12</v>
      </c>
      <c r="BI337" s="2" t="str">
        <f>IF(_xlfn.XLOOKUP(_xlfn.XLOOKUP(B337,'Base stats'!B:B,'Base stats'!E:E),Groups!A:A,Groups!D:D)=0,_xlfn.XLOOKUP(_xlfn.XLOOKUP(B337,'Base stats'!B:B,'Base stats'!E:E),Groups!A:A,Groups!AR:AR),"None")</f>
        <v>None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52"/>
        <v>0</v>
      </c>
      <c r="BM337" s="25" t="str">
        <f>IF(_xlfn.XLOOKUP(B337,'Base stats'!B:B,'Base stats'!AN:AN)="Standard","No",MROUND((_xlfn.XLOOKUP(B337,'Base stats'!B:B,'Base stats'!AN:AN)/3.6)/I337,0.1))</f>
        <v>No</v>
      </c>
      <c r="BN337" s="25" t="e">
        <f t="shared" si="53"/>
        <v>#REF!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e">
        <f>IF(
   AND(
      'Base stats'!#REF!="Standard",_xlfn.XLOOKUP(_xlfn.XLOOKUP(B337,'Base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#REF!</v>
      </c>
      <c r="BR337" s="9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60</v>
      </c>
      <c r="BS337" s="8">
        <f t="shared" si="54"/>
        <v>0.25</v>
      </c>
      <c r="BT337" s="8" t="str">
        <f>_xlfn.XLOOKUP(B337,'Base stats'!B:B,'Base stats'!AF:AF)</f>
        <v>No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str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AnimalUncommon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/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stats'!AM:AM)=1,0.1,1)*IF(AND(_xlfn.XLOOKUP(B337,'Base stats'!B:B,'Base stats'!AM:AM)=1,D337="sarg.alphaanimals"),0.5,1)/100,IF(_xlfn.XLOOKUP(B337,'Base stats'!B:B,'Base stats'!AM:AM)=1,0.001,0.025)),0.5)))</f>
        <v>3.0000000000000001E-3</v>
      </c>
      <c r="CA337" s="25" t="str">
        <f>IF(P337="Standard","No",MAX(0.001,MIN(MROUND(IF(OR(D337="sarg.alphaanimals",AND(BJ337="True",CC337="False")),POWER(10,3.47*LOG10(_xlfn.XLOOKUP(B337,'Base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True</v>
      </c>
      <c r="CD337" s="25" t="str">
        <f t="shared" si="55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1595</v>
      </c>
      <c r="B338" s="6" t="str">
        <f>_xlfn.XLOOKUP(A338,'Base stats'!A:A,'Base stats'!B:B)</f>
        <v>Limax tetrapodium</v>
      </c>
      <c r="C338" s="28" t="s">
        <v>1596</v>
      </c>
      <c r="D338" s="28" t="s">
        <v>1348</v>
      </c>
      <c r="E338" s="28" t="s">
        <v>674</v>
      </c>
      <c r="F338" s="28" t="s">
        <v>674</v>
      </c>
      <c r="G338" s="28" t="s">
        <v>674</v>
      </c>
      <c r="H338" s="2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1600</v>
      </c>
      <c r="I338" s="2">
        <f>MROUND(ROUNDDOWN(_xlfn.XLOOKUP(B338,'Base stats'!B:B,'Base stats'!L:L)/3.6/(23.3/11),1),0.5)</f>
        <v>0.5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0.99</v>
      </c>
      <c r="K338" s="2">
        <f>ROUNDUP(AO338*_xlfn.XLOOKUP(_xlfn.XLOOKUP(B338,'Base stats'!B:B,'Base stats'!E:E),Groups!A:A,Groups!E:E),0)</f>
        <v>55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0.15000000000000002</v>
      </c>
      <c r="O338" s="8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0.5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str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No</v>
      </c>
      <c r="Y338" s="7" t="str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No</v>
      </c>
      <c r="Z338" s="7" t="str">
        <f>IF(X338="No","No",_xlfn.XLOOKUP(_xlfn.XLOOKUP(B338,'Base stats'!B:B,'Base stats'!E:E),Groups!A:A,Groups!W:W))</f>
        <v>No</v>
      </c>
      <c r="AA338" s="7" t="str">
        <f>IF(X338="No","No",_xlfn.XLOOKUP(_xlfn.XLOOKUP(B338,'Base stats'!B:B,'Base stats'!E:E),Groups!A:A,Groups!X:X))</f>
        <v>No</v>
      </c>
      <c r="AB338" s="7" t="str">
        <f>IF(X338="No","No",_xlfn.XLOOKUP(_xlfn.XLOOKUP(B338,'Base stats'!B:B,'Base stats'!E:E),Groups!A:A,Groups!Y:Y))</f>
        <v>No</v>
      </c>
      <c r="AC338" s="7" t="str">
        <f>_xlfn.XLOOKUP(Animals!B338,'Base stats'!B:B,'Base stats'!X:X)</f>
        <v>False</v>
      </c>
      <c r="AD338" s="13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40</v>
      </c>
      <c r="AE338" s="7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4</v>
      </c>
      <c r="AF338" s="7" t="str">
        <f>IF(AD338="No","No",_xlfn.XLOOKUP(_xlfn.XLOOKUP(B338,'Base stats'!B:B,'Base stats'!E:E),Groups!A:A,Groups!AA:AA))</f>
        <v>Mouth</v>
      </c>
      <c r="AG338" s="7" t="str">
        <f>IF(AD338="No","No",_xlfn.XLOOKUP(_xlfn.XLOOKUP(B338,'Base stats'!B:B,'Base stats'!E:E),Groups!A:A,Groups!AB:AB))</f>
        <v>radula</v>
      </c>
      <c r="AH338" s="7" t="str">
        <f>IF(AD338="No","No",_xlfn.XLOOKUP(_xlfn.XLOOKUP(B338,'Base stats'!B:B,'Base stats'!E:E),Groups!A:A,Groups!AC:AC))</f>
        <v>Bite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49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5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0.85000000000000009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100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16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2.4000000000000004</v>
      </c>
      <c r="AU338" s="8">
        <f t="shared" si="50"/>
        <v>1.2000000000000002</v>
      </c>
      <c r="AV338" s="8" t="str">
        <f>IFERROR(IFERROR(MROUND(_xlfn.XLOOKUP(B338,'Base stats'!B:B,'Base stats'!J:J),0.1),"Lay eggs"),"Cannot breed")</f>
        <v>Lay eggs</v>
      </c>
      <c r="AW338" s="2" t="str">
        <f t="shared" si="51"/>
        <v>false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VegetarianRoughAnimal</v>
      </c>
      <c r="AZ338" s="2" t="str">
        <f>IF(_xlfn.XLOOKUP(_xlfn.XLOOKUP(B338,'Base stats'!B:B,'Base stats'!E:E),Groups!A:A,Groups!D:D)=1,MROUND((1-J338)*5+1,2)*IF(J338&lt;=0.4,2,1),"No")</f>
        <v>No</v>
      </c>
      <c r="BA338" s="2" t="str">
        <f>IF(AND(_xlfn.XLOOKUP(B338,'Base stats'!B:B,'Base stats'!AH:AH)="&lt;li&gt;Seal&lt;/li&gt;",G338="Odyssey"),"&lt;li&gt;AEXP_Seal&lt;/li&gt;",_xlfn.XLOOKUP(B338,'Base stats'!B:B,'Base stats'!AH:AH))</f>
        <v>&lt;li&gt;AA_Helixien&lt;/li&gt;</v>
      </c>
      <c r="BB338" s="2" t="str">
        <f>_xlfn.XLOOKUP(B338,'Base stats'!B:B,'Base stats'!AG:AG)</f>
        <v>No</v>
      </c>
      <c r="BC338" s="23" t="str">
        <f>_xlfn.XLOOKUP(_xlfn.XLOOKUP(B338,'Base stats'!B:B,'Base stats'!E:E),Groups!A:A,Groups!AL:AL)</f>
        <v>Slug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</v>
      </c>
      <c r="BF338" s="2" t="str">
        <f>IF(J338&gt;0.3,"No",_xlfn.XLOOKUP(_xlfn.XLOOKUP(Animals!B338,'Base stats'!B:B,'Base stats'!E:E),Groups!A:A,Groups!AP:AP))</f>
        <v>No</v>
      </c>
      <c r="BG338" s="2" t="str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No</v>
      </c>
      <c r="BH338" s="2">
        <f>IF(AND(_xlfn.XLOOKUP(_xlfn.XLOOKUP(B338,'Base stats'!B:B,'Base stats'!E:E),Groups!A:A,Groups!AQ:AQ)=1,AO338&lt;=0.35),8,12)</f>
        <v>12</v>
      </c>
      <c r="BI338" s="2" t="str">
        <f>IF(_xlfn.XLOOKUP(_xlfn.XLOOKUP(B338,'Base stats'!B:B,'Base stats'!E:E),Groups!A:A,Groups!D:D)=0,_xlfn.XLOOKUP(_xlfn.XLOOKUP(B338,'Base stats'!B:B,'Base stats'!E:E),Groups!A:A,Groups!AR:AR),"None")</f>
        <v>Intermediate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52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e">
        <f t="shared" si="53"/>
        <v>#REF!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e">
        <f>IF(
   AND(
      'Base stats'!#REF!="Standard",_xlfn.XLOOKUP(_xlfn.XLOOKUP(B338,'Base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#REF!</v>
      </c>
      <c r="BR338" s="9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410</v>
      </c>
      <c r="BS338" s="8">
        <f t="shared" si="54"/>
        <v>1.7000000000000002</v>
      </c>
      <c r="BT338" s="8" t="str">
        <f>_xlfn.XLOOKUP(B338,'Base stats'!B:B,'Base stats'!AF:AF)</f>
        <v>No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str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AnimalExotic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stats'!AM:AM)=1,0.1,1)*IF(AND(_xlfn.XLOOKUP(B338,'Base stats'!B:B,'Base stats'!AM:AM)=1,D338="sarg.alphaanimals"),0.5,1)/100,IF(_xlfn.XLOOKUP(B338,'Base stats'!B:B,'Base stats'!AM:AM)=1,0.001,0.025)),0.5)))</f>
        <v>2E-3</v>
      </c>
      <c r="CA338" s="25" t="str">
        <f>IF(P338="Standard","No",MAX(0.001,MIN(MROUND(IF(OR(D338="sarg.alphaanimals",AND(BJ338="True",CC338="False")),POWER(10,3.47*LOG10(_xlfn.XLOOKUP(B338,'Base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True</v>
      </c>
      <c r="CD338" s="25" t="str">
        <f t="shared" si="55"/>
        <v>True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1597</v>
      </c>
      <c r="B339" s="6" t="str">
        <f>_xlfn.XLOOKUP(A339,'Base stats'!A:A,'Base stats'!B:B)</f>
        <v>Thermophis titan</v>
      </c>
      <c r="C339" s="28" t="s">
        <v>1598</v>
      </c>
      <c r="D339" s="28" t="s">
        <v>1348</v>
      </c>
      <c r="E339" s="28" t="s">
        <v>1755</v>
      </c>
      <c r="F339" s="28" t="s">
        <v>674</v>
      </c>
      <c r="G339" s="28" t="s">
        <v>674</v>
      </c>
      <c r="H339" s="2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1375</v>
      </c>
      <c r="I339" s="2">
        <f>MROUND(ROUNDDOWN(_xlfn.XLOOKUP(B339,'Base stats'!B:B,'Base stats'!L:L)/3.6/(23.3/11),1),0.5)</f>
        <v>2.5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0.9</v>
      </c>
      <c r="K339" s="2">
        <f>ROUNDUP(AO339*_xlfn.XLOOKUP(_xlfn.XLOOKUP(B339,'Base stats'!B:B,'Base stats'!E:E),Groups!A:A,Groups!E:E),0)</f>
        <v>3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50</v>
      </c>
      <c r="N339" s="8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0.85000000000000009</v>
      </c>
      <c r="O339" s="8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0.85000000000000009</v>
      </c>
      <c r="P339" s="2">
        <f>_xlfn.XLOOKUP(B339,'Base stats'!B:B,'Base stats'!R:R)</f>
        <v>1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15</v>
      </c>
      <c r="R339" s="7">
        <f>IF(Q339="No","No",MAX(1,MROUND(_xlfn.XLOOKUP(B339,'Base stats'!B:B,'Base stats'!C:C)^0.165,0.05)))</f>
        <v>2.75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str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No</v>
      </c>
      <c r="Y339" s="7" t="str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No</v>
      </c>
      <c r="Z339" s="7" t="str">
        <f>IF(X339="No","No",_xlfn.XLOOKUP(_xlfn.XLOOKUP(B339,'Base stats'!B:B,'Base stats'!E:E),Groups!A:A,Groups!W:W))</f>
        <v>No</v>
      </c>
      <c r="AA339" s="7" t="str">
        <f>IF(X339="No","No",_xlfn.XLOOKUP(_xlfn.XLOOKUP(B339,'Base stats'!B:B,'Base stats'!E:E),Groups!A:A,Groups!X:X))</f>
        <v>No</v>
      </c>
      <c r="AB339" s="7" t="str">
        <f>IF(X339="No","No",_xlfn.XLOOKUP(_xlfn.XLOOKUP(B339,'Base stats'!B:B,'Base stats'!E:E),Groups!A:A,Groups!Y:Y))</f>
        <v>No</v>
      </c>
      <c r="AC339" s="7" t="str">
        <f>_xlfn.XLOOKUP(Animals!B339,'Base stats'!B:B,'Base stats'!X:X)</f>
        <v>False</v>
      </c>
      <c r="AD339" s="13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43</v>
      </c>
      <c r="AE339" s="7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3.3000000000000003</v>
      </c>
      <c r="AF339" s="7" t="str">
        <f>IF(AD339="No","No",_xlfn.XLOOKUP(_xlfn.XLOOKUP(B339,'Base stats'!B:B,'Base stats'!E:E),Groups!A:A,Groups!AA:AA))</f>
        <v>Mouth</v>
      </c>
      <c r="AG339" s="7" t="str">
        <f>IF(AD339="No","No",_xlfn.XLOOKUP(_xlfn.XLOOKUP(B339,'Base stats'!B:B,'Base stats'!E:E),Groups!A:A,Groups!AB:AB))</f>
        <v>mandibles</v>
      </c>
      <c r="AH339" s="7" t="str">
        <f>IF(AD339="No","No",_xlfn.XLOOKUP(_xlfn.XLOOKUP(B339,'Base stats'!B:B,'Base stats'!E:E),Groups!A:A,Groups!AC:AC))</f>
        <v>Bite</v>
      </c>
      <c r="AI339" s="13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37.5</v>
      </c>
      <c r="AJ339" s="7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3</v>
      </c>
      <c r="AK339" s="7" t="str">
        <f>IF(AI339="No","No",_xlfn.XLOOKUP(_xlfn.XLOOKUP(B339,'Base stats'!B:B,'Base stats'!E:E),Groups!A:A,Groups!AF:AF))</f>
        <v>HeadClaw</v>
      </c>
      <c r="AL339" s="7" t="str">
        <f>IF(AI339="No","No",_xlfn.XLOOKUP(_xlfn.XLOOKUP(B339,'Base stats'!B:B,'Base stats'!E:E),Groups!A:A,Groups!AG:AG))</f>
        <v>head claw</v>
      </c>
      <c r="AM339" s="7" t="str">
        <f>IF(AI339="No","No",_xlfn.XLOOKUP(_xlfn.XLOOKUP(B339,'Base stats'!B:B,'Base stats'!E:E),Groups!A:A,Groups!AH:AH))</f>
        <v>Scratch</v>
      </c>
      <c r="AN339" s="2">
        <f t="shared" si="49"/>
        <v>30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2.75</v>
      </c>
      <c r="AP339" s="8">
        <f>MROUND(AO339*_xlfn.XLOOKUP(_xlfn.XLOOKUP(B339,'Base stats'!B:B,'Base stats'!E:E),Groups!A:A,Groups!AI:AI)*_xlfn.XLOOKUP(B339,'Base stats'!B:B,'Base stats'!Z:Z),0.05)</f>
        <v>2.75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0.30000000000000004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12</v>
      </c>
      <c r="AS339" s="35" t="str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Lay eggs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0.4</v>
      </c>
      <c r="AU339" s="8">
        <f t="shared" si="50"/>
        <v>0.2</v>
      </c>
      <c r="AV339" s="8" t="str">
        <f>IFERROR(IFERROR(MROUND(_xlfn.XLOOKUP(B339,'Base stats'!B:B,'Base stats'!J:J),0.1),"Lay eggs"),"Cannot breed")</f>
        <v>Lay eggs</v>
      </c>
      <c r="AW339" s="2" t="str">
        <f t="shared" si="51"/>
        <v>false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 t="str">
        <f>IF(AND(_xlfn.XLOOKUP(B339,'Base stats'!B:B,'Base stats'!AH:AH)="&lt;li&gt;Seal&lt;/li&gt;",G339="Odyssey"),"&lt;li&gt;AEXP_Seal&lt;/li&gt;",_xlfn.XLOOKUP(B339,'Base stats'!B:B,'Base stats'!AH:AH))</f>
        <v>&lt;li&gt;Megaspider&lt;/li&gt;</v>
      </c>
      <c r="BB339" s="2" t="str">
        <f>_xlfn.XLOOKUP(B339,'Base stats'!B:B,'Base stats'!AG:AG)</f>
        <v>Leather_BlackChitin</v>
      </c>
      <c r="BC339" s="23" t="str">
        <f>_xlfn.XLOOKUP(_xlfn.XLOOKUP(B339,'Base stats'!B:B,'Base stats'!E:E),Groups!A:A,Groups!AL:AL)</f>
        <v>BeetleLikeWithClaw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1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1</v>
      </c>
      <c r="BF339" s="2" t="str">
        <f>IF(J339&gt;0.3,"No",_xlfn.XLOOKUP(_xlfn.XLOOKUP(Animals!B339,'Base stats'!B:B,'Base stats'!E:E),Groups!A:A,Groups!AP:AP))</f>
        <v>No</v>
      </c>
      <c r="BG339" s="2" t="str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No</v>
      </c>
      <c r="BH339" s="2">
        <f>IF(AND(_xlfn.XLOOKUP(_xlfn.XLOOKUP(B339,'Base stats'!B:B,'Base stats'!E:E),Groups!A:A,Groups!AQ:AQ)=1,AO339&lt;=0.35),8,12)</f>
        <v>12</v>
      </c>
      <c r="BI339" s="2" t="str">
        <f>IF(_xlfn.XLOOKUP(_xlfn.XLOOKUP(B339,'Base stats'!B:B,'Base stats'!E:E),Groups!A:A,Groups!D:D)=0,_xlfn.XLOOKUP(_xlfn.XLOOKUP(B339,'Base stats'!B:B,'Base stats'!E:E),Groups!A:A,Groups!AR:AR),"None")</f>
        <v>Advanced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true</v>
      </c>
      <c r="BK339" s="2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3</v>
      </c>
      <c r="BL339" s="2">
        <f t="shared" si="52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e">
        <f t="shared" si="53"/>
        <v>#REF!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AttackTarget, AttackTarget</v>
      </c>
      <c r="BQ339" s="25" t="e">
        <f>IF(
   AND(
      'Base stats'!#REF!="Standard",_xlfn.XLOOKUP(_xlfn.XLOOKUP(B339,'Base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#REF!</v>
      </c>
      <c r="BR339" s="9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400</v>
      </c>
      <c r="BS339" s="8">
        <f t="shared" si="54"/>
        <v>0.8</v>
      </c>
      <c r="BT339" s="8" t="str">
        <f>_xlfn.XLOOKUP(B339,'Base stats'!B:B,'Base stats'!AF:AF)</f>
        <v>No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true</v>
      </c>
      <c r="BV339" s="2" t="str">
        <f>IF(_xlfn.XLOOKUP(B339,'Base stats'!B:B,'Base stats'!AI:AI)=1,"true","false")</f>
        <v>false</v>
      </c>
      <c r="BW339" s="25" t="str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AnimalUncommon, AnimalFighter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stats'!AM:AM)=1,0.1,1)*IF(AND(_xlfn.XLOOKUP(B339,'Base stats'!B:B,'Base stats'!AM:AM)=1,D339="sarg.alphaanimals"),0.5,1)/100,IF(_xlfn.XLOOKUP(B339,'Base stats'!B:B,'Base stats'!AM:AM)=1,0.001,0.025)),0.5)))</f>
        <v>2E-3</v>
      </c>
      <c r="CA339" s="25">
        <f>IF(P339="Standard","No",MAX(0.001,MIN(MROUND(IF(OR(D339="sarg.alphaanimals",AND(BJ339="True",CC339="False")),POWER(10,3.47*LOG10(_xlfn.XLOOKUP(B339,'Base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5.0000000000000001E-3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True</v>
      </c>
      <c r="CD339" s="25" t="str">
        <f t="shared" si="55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Bone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1599</v>
      </c>
      <c r="B340" s="6" t="str">
        <f>_xlfn.XLOOKUP(A340,'Base stats'!A:A,'Base stats'!B:B)</f>
        <v>Bestia tonitrus</v>
      </c>
      <c r="C340" s="28" t="s">
        <v>1600</v>
      </c>
      <c r="D340" s="28" t="s">
        <v>1348</v>
      </c>
      <c r="E340" s="28" t="s">
        <v>674</v>
      </c>
      <c r="F340" s="28" t="s">
        <v>674</v>
      </c>
      <c r="G340" s="28" t="s">
        <v>674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1225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0.99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35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16</v>
      </c>
      <c r="AE340" s="7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2.2000000000000002</v>
      </c>
      <c r="AF340" s="7" t="str">
        <f>IF(AD340="No","No",_xlfn.XLOOKUP(_xlfn.XLOOKUP(B340,'Base stats'!B:B,'Base stats'!E:E),Groups!A:A,Groups!AA:AA))</f>
        <v>Teeth</v>
      </c>
      <c r="AG340" s="7" t="str">
        <f>IF(AD340="No","No",_xlfn.XLOOKUP(_xlfn.XLOOKUP(B340,'Base stats'!B:B,'Base stats'!E:E),Groups!A:A,Groups!AB:AB))</f>
        <v>teeth</v>
      </c>
      <c r="AH340" s="7" t="str">
        <f>IF(AD340="No","No",_xlfn.XLOOKUP(_xlfn.XLOOKUP(B340,'Base stats'!B:B,'Base stats'!E:E),Groups!A:A,Groups!AC:AC))</f>
        <v>Bite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ref="AN340:AN345" si="56">IF(BJ340="false","No",MROUND(AO340*5+15*1,5))</f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ref="AU340:AU345" si="57">IF(AT340="No","No",IFERROR(MROUND(AT340/2,0.05),"Unknown"))</f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ref="AW340:AW345" si="58">IF(BT340="No","false","true")</f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QuadrupedAnimalWithHoovesTailAndHorn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ref="BL340:BL345" si="59">IF(BI340&lt;&gt;"None",1,0)</f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e">
        <f t="shared" ref="BN340:BN345" si="60">IF(OR(BM340&lt;&gt;"No",BQ340=1),"true","false")</f>
        <v>#REF!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e">
        <f>IF(
   AND(
      'Base stats'!#REF!="Standard",_xlfn.XLOOKUP(_xlfn.XLOOKUP(B340,'Base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#REF!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340</v>
      </c>
      <c r="BS340" s="8">
        <f t="shared" ref="BS340:BS345" si="61">MROUND(AO340 * 0.2 + AQ340 * 0.8,0.05)</f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AnimalExotic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/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stats'!AM:AM)=1,0.1,1)*IF(AND(_xlfn.XLOOKUP(B340,'Base stats'!B:B,'Base stats'!AM:AM)=1,D340="sarg.alphaanimals"),0.5,1)/100,IF(_xlfn.XLOOKUP(B340,'Base stats'!B:B,'Base stats'!AM:AM)=1,0.001,0.025)),0.5)))</f>
        <v>2E-3</v>
      </c>
      <c r="CA340" s="25" t="str">
        <f>IF(P340="Standard","No",MAX(0.001,MIN(MROUND(IF(OR(D340="sarg.alphaanimals",AND(BJ340="True",CC340="False")),POWER(10,3.47*LOG10(_xlfn.XLOOKUP(B340,'Base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ref="CD340:CD345" si="62">IF(J340&gt;0.95,"True","False")</f>
        <v>True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1601</v>
      </c>
      <c r="B341" s="6" t="str">
        <f>_xlfn.XLOOKUP(A341,'Base stats'!A:A,'Base stats'!B:B)</f>
        <v>Crepiscubos tonitrus</v>
      </c>
      <c r="C341" s="28" t="s">
        <v>1602</v>
      </c>
      <c r="D341" s="28" t="s">
        <v>1348</v>
      </c>
      <c r="E341" s="28" t="s">
        <v>674</v>
      </c>
      <c r="F341" s="28" t="s">
        <v>674</v>
      </c>
      <c r="G341" s="28" t="s">
        <v>674</v>
      </c>
      <c r="H341" s="2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425</v>
      </c>
      <c r="I341" s="2">
        <f>MROUND(ROUNDDOWN(_xlfn.XLOOKUP(B341,'Base stats'!B:B,'Base stats'!L:L)/3.6/(23.3/11),1),0.5)</f>
        <v>7.5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0.70000000000000007</v>
      </c>
      <c r="K341" s="2">
        <f>ROUNDUP(AO341*_xlfn.XLOOKUP(_xlfn.XLOOKUP(B341,'Base stats'!B:B,'Base stats'!E:E),Groups!A:A,Groups!E:E),0)</f>
        <v>15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-35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17.5</v>
      </c>
      <c r="R341" s="7">
        <f>IF(Q341="No","No",MAX(1,MROUND(_xlfn.XLOOKUP(B341,'Base stats'!B:B,'Base stats'!C:C)^0.165,0.05)))</f>
        <v>2.95</v>
      </c>
      <c r="S341" s="13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21</v>
      </c>
      <c r="T341" s="7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2.95</v>
      </c>
      <c r="U341" s="7" t="str">
        <f>IF(S341="No","No",_xlfn.XLOOKUP(_xlfn.XLOOKUP(B341,'Base stats'!B:B,'Base stats'!E:E),Groups!A:A,Groups!R:R))</f>
        <v>FrontLeftLeg, FrontRightLeg</v>
      </c>
      <c r="V341" s="7" t="str">
        <f>IF(S341="No","No",_xlfn.XLOOKUP(_xlfn.XLOOKUP(B341,'Base stats'!B:B,'Base stats'!E:E),Groups!A:A,Groups!S:S))</f>
        <v>left hoof, right hoof</v>
      </c>
      <c r="W341" s="7" t="str">
        <f>IF(S341="No","No",_xlfn.XLOOKUP(_xlfn.XLOOKUP(B341,'Base stats'!B:B,'Base stats'!E:E),Groups!A:A,Groups!T:T))</f>
        <v>Blunt</v>
      </c>
      <c r="X341" s="13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21.5</v>
      </c>
      <c r="Y341" s="7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2.5</v>
      </c>
      <c r="Z341" s="7" t="str">
        <f>IF(X341="No","No",_xlfn.XLOOKUP(_xlfn.XLOOKUP(B341,'Base stats'!B:B,'Base stats'!E:E),Groups!A:A,Groups!W:W))</f>
        <v>HeadAttackTool</v>
      </c>
      <c r="AA341" s="7" t="str">
        <f>IF(X341="No","No",_xlfn.XLOOKUP(_xlfn.XLOOKUP(B341,'Base stats'!B:B,'Base stats'!E:E),Groups!A:A,Groups!X:X))</f>
        <v>horn</v>
      </c>
      <c r="AB341" s="7" t="str">
        <f>IF(X341="No","No",_xlfn.XLOOKUP(_xlfn.XLOOKUP(B341,'Base stats'!B:B,'Base stats'!E:E),Groups!A:A,Groups!Y:Y))</f>
        <v>Blunt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56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3</v>
      </c>
      <c r="AP341" s="8">
        <f>MROUND(AO341*_xlfn.XLOOKUP(_xlfn.XLOOKUP(B341,'Base stats'!B:B,'Base stats'!E:E),Groups!A:A,Groups!AI:AI)*_xlfn.XLOOKUP(B341,'Base stats'!B:B,'Base stats'!Z:Z),0.05)</f>
        <v>3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1.1500000000000001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20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11.5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0.4</v>
      </c>
      <c r="AU341" s="8">
        <f t="shared" si="57"/>
        <v>0.2</v>
      </c>
      <c r="AV341" s="8">
        <f>IFERROR(IFERROR(MROUND(_xlfn.XLOOKUP(B341,'Base stats'!B:B,'Base stats'!J:J),0.1),"Lay eggs"),"Cannot breed")</f>
        <v>1</v>
      </c>
      <c r="AW341" s="2" t="str">
        <f t="shared" si="58"/>
        <v>true</v>
      </c>
      <c r="AX341" s="2" t="str">
        <f>IF(_xlfn.XLOOKUP(_xlfn.XLOOKUP(Animals!B341,'Base stats'!B:B,'Base stats'!E:E),Groups!A:A,Groups!AK:AK)=1,"true","false")</f>
        <v>true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VegetarianRoughAnimal</v>
      </c>
      <c r="AZ341" s="2">
        <f>IF(_xlfn.XLOOKUP(_xlfn.XLOOKUP(B341,'Base stats'!B:B,'Base stats'!E:E),Groups!A:A,Groups!D:D)=1,MROUND((1-J341)*5+1,2)*IF(J341&lt;=0.4,2,1),"No")</f>
        <v>2</v>
      </c>
      <c r="BA341" s="2" t="str">
        <f>IF(AND(_xlfn.XLOOKUP(B341,'Base stats'!B:B,'Base stats'!AH:AH)="&lt;li&gt;Seal&lt;/li&gt;",G341="Odyssey"),"&lt;li&gt;AEXP_Seal&lt;/li&gt;",_xlfn.XLOOKUP(B341,'Base stats'!B:B,'Base stats'!AH:AH))</f>
        <v>&lt;li&gt;Sheep&lt;/li&gt;</v>
      </c>
      <c r="BB341" s="2" t="str">
        <f>_xlfn.XLOOKUP(B341,'Base stats'!B:B,'Base stats'!AG:AG)</f>
        <v>Leather_Night</v>
      </c>
      <c r="BC341" s="23" t="str">
        <f>_xlfn.XLOOKUP(_xlfn.XLOOKUP(B341,'Base stats'!B:B,'Base stats'!E:E),Groups!A:A,Groups!AL:AL)</f>
        <v>QuadrupedAnimalWithHooves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 t="str">
        <f>IF(J341&gt;0.3,"No",_xlfn.XLOOKUP(_xlfn.XLOOKUP(Animals!B341,'Base stats'!B:B,'Base stats'!E:E),Groups!A:A,Groups!AP:AP))</f>
        <v>No</v>
      </c>
      <c r="BG341" s="2" t="str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No</v>
      </c>
      <c r="BH341" s="2">
        <f>IF(AND(_xlfn.XLOOKUP(_xlfn.XLOOKUP(B341,'Base stats'!B:B,'Base stats'!E:E),Groups!A:A,Groups!AQ:AQ)=1,AO341&lt;=0.35),8,12)</f>
        <v>12</v>
      </c>
      <c r="BI341" s="2" t="str">
        <f>IF(_xlfn.XLOOKUP(_xlfn.XLOOKUP(B341,'Base stats'!B:B,'Base stats'!E:E),Groups!A:A,Groups!D:D)=0,_xlfn.XLOOKUP(_xlfn.XLOOKUP(B341,'Base stats'!B:B,'Base stats'!E:E),Groups!A:A,Groups!AR:AR),"None")</f>
        <v>None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59"/>
        <v>0</v>
      </c>
      <c r="BM341" s="25" t="str">
        <f>IF(_xlfn.XLOOKUP(B341,'Base stats'!B:B,'Base stats'!AN:AN)="Standard","No",MROUND((_xlfn.XLOOKUP(B341,'Base stats'!B:B,'Base stats'!AN:AN)/3.6)/I341,0.1))</f>
        <v>No</v>
      </c>
      <c r="BN341" s="25" t="e">
        <f t="shared" si="60"/>
        <v>#REF!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e">
        <f>IF(
   AND(
      'Base stats'!#REF!="Standard",_xlfn.XLOOKUP(_xlfn.XLOOKUP(B341,'Base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#REF!</v>
      </c>
      <c r="BR341" s="9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205</v>
      </c>
      <c r="BS341" s="8">
        <f t="shared" si="61"/>
        <v>1.5</v>
      </c>
      <c r="BT341" s="8" t="str">
        <f>_xlfn.XLOOKUP(B341,'Base stats'!B:B,'Base stats'!AF:AF)</f>
        <v>3~10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str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AnimalUncommon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/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stats'!AM:AM)=1,0.1,1)*IF(AND(_xlfn.XLOOKUP(B341,'Base stats'!B:B,'Base stats'!AM:AM)=1,D341="sarg.alphaanimals"),0.5,1)/100,IF(_xlfn.XLOOKUP(B341,'Base stats'!B:B,'Base stats'!AM:AM)=1,0.001,0.025)),0.5)))</f>
        <v>2E-3</v>
      </c>
      <c r="CA341" s="25" t="str">
        <f>IF(P341="Standard","No",MAX(0.001,MIN(MROUND(IF(OR(D341="sarg.alphaanimals",AND(BJ341="True",CC341="False")),POWER(10,3.47*LOG10(_xlfn.XLOOKUP(B341,'Base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True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62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True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1603</v>
      </c>
      <c r="B342" s="6" t="str">
        <f>_xlfn.XLOOKUP(A342,'Base stats'!A:A,'Base stats'!B:B)</f>
        <v>Oculus immortalis</v>
      </c>
      <c r="C342" s="28" t="s">
        <v>1604</v>
      </c>
      <c r="D342" s="28" t="s">
        <v>1348</v>
      </c>
      <c r="E342" s="28" t="s">
        <v>674</v>
      </c>
      <c r="F342" s="28" t="s">
        <v>674</v>
      </c>
      <c r="G342" s="28" t="s">
        <v>674</v>
      </c>
      <c r="H342" s="2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1675</v>
      </c>
      <c r="I342" s="2">
        <f>MROUND(ROUNDDOWN(_xlfn.XLOOKUP(B342,'Base stats'!B:B,'Base stats'!L:L)/3.6/(23.3/11),1),0.5)</f>
        <v>1.5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0.95000000000000007</v>
      </c>
      <c r="K342" s="2">
        <f>ROUNDUP(AO342*_xlfn.XLOOKUP(_xlfn.XLOOKUP(B342,'Base stats'!B:B,'Base stats'!E:E),Groups!A:A,Groups!E:E),0)</f>
        <v>7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39.5</v>
      </c>
      <c r="Y342" s="7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6.1000000000000005</v>
      </c>
      <c r="Z342" s="7" t="str">
        <f>IF(X342="No","No",_xlfn.XLOOKUP(_xlfn.XLOOKUP(B342,'Base stats'!B:B,'Base stats'!E:E),Groups!A:A,Groups!W:W))</f>
        <v>HeadAttackTool</v>
      </c>
      <c r="AA342" s="7" t="str">
        <f>IF(X342="No","No",_xlfn.XLOOKUP(_xlfn.XLOOKUP(B342,'Base stats'!B:B,'Base stats'!E:E),Groups!A:A,Groups!X:X))</f>
        <v>eye</v>
      </c>
      <c r="AB342" s="7" t="str">
        <f>IF(X342="No","No",_xlfn.XLOOKUP(_xlfn.XLOOKUP(B342,'Base stats'!B:B,'Base stats'!E:E),Groups!A:A,Groups!Y:Y))</f>
        <v>Sting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56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7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1.1000000000000001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250</v>
      </c>
      <c r="AS342" s="35" t="str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Lay eggs</v>
      </c>
      <c r="AT342" s="8" t="str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No</v>
      </c>
      <c r="AU342" s="8" t="str">
        <f t="shared" si="57"/>
        <v>No</v>
      </c>
      <c r="AV342" s="8" t="str">
        <f>IFERROR(IFERROR(MROUND(_xlfn.XLOOKUP(B342,'Base stats'!B:B,'Base stats'!J:J),0.1),"Lay eggs"),"Cannot breed")</f>
        <v>Lay eggs</v>
      </c>
      <c r="AW342" s="2" t="str">
        <f t="shared" si="58"/>
        <v>false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 t="str">
        <f>IF(AND(_xlfn.XLOOKUP(B342,'Base stats'!B:B,'Base stats'!AH:AH)="&lt;li&gt;Seal&lt;/li&gt;",G342="Odyssey"),"&lt;li&gt;AEXP_Seal&lt;/li&gt;",_xlfn.XLOOKUP(B342,'Base stats'!B:B,'Base stats'!AH:AH))</f>
        <v>&lt;li&gt;Pig&lt;/li&gt;</v>
      </c>
      <c r="BB342" s="2" t="str">
        <f>_xlfn.XLOOKUP(B342,'Base stats'!B:B,'Base stats'!AG:AG)</f>
        <v>No</v>
      </c>
      <c r="BC342" s="23" t="str">
        <f>_xlfn.XLOOKUP(_xlfn.XLOOKUP(B342,'Base stats'!B:B,'Base stats'!E:E),Groups!A:A,Groups!AL:AL)</f>
        <v>AA_EyeBody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 t="str">
        <f>IF(J342&gt;0.3,"No",_xlfn.XLOOKUP(_xlfn.XLOOKUP(Animals!B342,'Base stats'!B:B,'Base stats'!E:E),Groups!A:A,Groups!AP:AP))</f>
        <v>No</v>
      </c>
      <c r="BG342" s="2" t="str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No</v>
      </c>
      <c r="BH342" s="2">
        <f>IF(AND(_xlfn.XLOOKUP(_xlfn.XLOOKUP(B342,'Base stats'!B:B,'Base stats'!E:E),Groups!A:A,Groups!AQ:AQ)=1,AO342&lt;=0.35),8,12)</f>
        <v>12</v>
      </c>
      <c r="BI342" s="2" t="str">
        <f>IF(_xlfn.XLOOKUP(_xlfn.XLOOKUP(B342,'Base stats'!B:B,'Base stats'!E:E),Groups!A:A,Groups!D:D)=0,_xlfn.XLOOKUP(_xlfn.XLOOKUP(B342,'Base stats'!B:B,'Base stats'!E:E),Groups!A:A,Groups!AR:AR),"None")</f>
        <v>Intermediate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59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e">
        <f t="shared" si="60"/>
        <v>#REF!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e">
        <f>IF(
   AND(
      'Base stats'!#REF!="Standard",_xlfn.XLOOKUP(_xlfn.XLOOKUP(B342,'Base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#REF!</v>
      </c>
      <c r="BR342" s="9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390</v>
      </c>
      <c r="BS342" s="8">
        <f t="shared" si="61"/>
        <v>2.3000000000000003</v>
      </c>
      <c r="BT342" s="8" t="str">
        <f>_xlfn.XLOOKUP(B342,'Base stats'!B:B,'Base stats'!AF:AF)</f>
        <v>No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true</v>
      </c>
      <c r="BV342" s="2" t="str">
        <f>IF(_xlfn.XLOOKUP(B342,'Base stats'!B:B,'Base stats'!AI:AI)=1,"true","false")</f>
        <v>false</v>
      </c>
      <c r="BW342" s="25" t="str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AnimalUncommon, AnimalFighter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stats'!AM:AM)=1,0.1,1)*IF(AND(_xlfn.XLOOKUP(B342,'Base stats'!B:B,'Base stats'!AM:AM)=1,D342="sarg.alphaanimals"),0.5,1)/100,IF(_xlfn.XLOOKUP(B342,'Base stats'!B:B,'Base stats'!AM:AM)=1,0.001,0.025)),0.5)))</f>
        <v>2E-3</v>
      </c>
      <c r="CA342" s="25" t="str">
        <f>IF(P342="Standard","No",MAX(0.001,MIN(MROUND(IF(OR(D342="sarg.alphaanimals",AND(BJ342="True",CC342="False")),POWER(10,3.47*LOG10(_xlfn.XLOOKUP(B342,'Base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True</v>
      </c>
      <c r="CD342" s="25" t="str">
        <f t="shared" si="62"/>
        <v>False</v>
      </c>
      <c r="CE342" s="25" t="str">
        <f>IF(_xlfn.XLOOKUP(_xlfn.XLOOKUP(B342,'Base stats'!B:B,'Base stats'!E:E),Groups!A:A,Groups!AX:AX),"True","False")</f>
        <v>True</v>
      </c>
      <c r="CF342" s="25" t="str">
        <f>IF(_xlfn.XLOOKUP(_xlfn.XLOOKUP(B342,'Base stats'!B:B,'Base stats'!E:E),Groups!A:A,Groups!AY:AY),"True","False")</f>
        <v>True</v>
      </c>
      <c r="CG342" s="25" t="str">
        <f>IF(_xlfn.XLOOKUP(_xlfn.XLOOKUP(B342,'Base stats'!B:B,'Base stats'!E:E),Groups!A:A,Groups!AW:AW),"True","False")</f>
        <v>True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1605</v>
      </c>
      <c r="B343" s="6" t="str">
        <f>_xlfn.XLOOKUP(A343,'Base stats'!A:A,'Base stats'!B:B)</f>
        <v>Mycopion ferus</v>
      </c>
      <c r="C343" s="28" t="s">
        <v>1606</v>
      </c>
      <c r="D343" s="28" t="s">
        <v>1348</v>
      </c>
      <c r="E343" s="28" t="s">
        <v>674</v>
      </c>
      <c r="F343" s="28" t="s">
        <v>674</v>
      </c>
      <c r="G343" s="28" t="s">
        <v>674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775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0.65</v>
      </c>
      <c r="K343" s="2">
        <f>ROUNDUP(AO343*_xlfn.XLOOKUP(_xlfn.XLOOKUP(B343,'Base stats'!B:B,'Base stats'!E:E),Groups!A:A,Groups!E:E),0)</f>
        <v>2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-15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35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0.85000000000000009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1.4500000000000002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9</v>
      </c>
      <c r="R343" s="7">
        <f>IF(Q343="No","No",MAX(1,MROUND(_xlfn.XLOOKUP(B343,'Base stats'!B:B,'Base stats'!C:C)^0.165,0.05)))</f>
        <v>2.2000000000000002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15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2.2000000000000002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13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1.55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56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1.4000000000000001</v>
      </c>
      <c r="AP343" s="8">
        <f>MROUND(AO343*_xlfn.XLOOKUP(_xlfn.XLOOKUP(B343,'Base stats'!B:B,'Base stats'!E:E),Groups!A:A,Groups!AI:AI)*_xlfn.XLOOKUP(B343,'Base stats'!B:B,'Base stats'!Z:Z),0.05)</f>
        <v>1.4000000000000001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0.70000000000000007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57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58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59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e">
        <f t="shared" si="60"/>
        <v>#REF!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e">
        <f>IF(
   AND(
      'Base stats'!#REF!="Standard",_xlfn.XLOOKUP(_xlfn.XLOOKUP(B343,'Base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#REF!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225</v>
      </c>
      <c r="BS343" s="8">
        <f t="shared" si="61"/>
        <v>0.85000000000000009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/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stats'!AM:AM)=1,0.1,1)*IF(AND(_xlfn.XLOOKUP(B343,'Base stats'!B:B,'Base stats'!AM:AM)=1,D343="sarg.alphaanimals"),0.5,1)/100,IF(_xlfn.XLOOKUP(B343,'Base stats'!B:B,'Base stats'!AM:AM)=1,0.001,0.025)),0.5)))</f>
        <v>3.0000000000000001E-3</v>
      </c>
      <c r="CA343" s="25" t="str">
        <f>IF(P343="Standard","No",MAX(0.001,MIN(MROUND(IF(OR(D343="sarg.alphaanimals",AND(BJ343="True",CC343="False")),POWER(10,3.47*LOG10(_xlfn.XLOOKUP(B343,'Base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62"/>
        <v>False</v>
      </c>
      <c r="CE343" s="25" t="str">
        <f>IF(_xlfn.XLOOKUP(_xlfn.XLOOKUP(B343,'Base stats'!B:B,'Base stats'!E:E),Groups!A:A,Groups!AX:AX),"True","False")</f>
        <v>False</v>
      </c>
      <c r="CF343" s="25" t="str">
        <f>IF(_xlfn.XLOOKUP(_xlfn.XLOOKUP(B343,'Base stats'!B:B,'Base stats'!E:E),Groups!A:A,Groups!AY:AY),"True","False")</f>
        <v>False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1607</v>
      </c>
      <c r="B344" s="6" t="str">
        <f>_xlfn.XLOOKUP(A344,'Base stats'!A:A,'Base stats'!B:B)</f>
        <v>Mycopodium ferus</v>
      </c>
      <c r="C344" s="28" t="s">
        <v>1608</v>
      </c>
      <c r="D344" s="28" t="s">
        <v>1348</v>
      </c>
      <c r="E344" s="28" t="s">
        <v>674</v>
      </c>
      <c r="F344" s="28" t="s">
        <v>674</v>
      </c>
      <c r="G344" s="28" t="s">
        <v>674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2100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</v>
      </c>
      <c r="K344" s="2">
        <f>ROUNDUP(AO344*_xlfn.XLOOKUP(_xlfn.XLOOKUP(B344,'Base stats'!B:B,'Base stats'!E:E),Groups!A:A,Groups!E:E),0)</f>
        <v>4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-20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35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0.95000000000000007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26</v>
      </c>
      <c r="R344" s="7">
        <f>IF(Q344="No","No",MAX(1,MROUND(_xlfn.XLOOKUP(B344,'Base stats'!B:B,'Base stats'!C:C)^0.165,0.05)))</f>
        <v>3.5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39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3.5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39.5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2.4500000000000002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56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4</v>
      </c>
      <c r="AP344" s="8">
        <f>MROUND(AO344*_xlfn.XLOOKUP(_xlfn.XLOOKUP(B344,'Base stats'!B:B,'Base stats'!E:E),Groups!A:A,Groups!AI:AI)*_xlfn.XLOOKUP(B344,'Base stats'!B:B,'Base stats'!Z:Z),0.05)</f>
        <v>4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2.3000000000000003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57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58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59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e">
        <f t="shared" si="60"/>
        <v>#REF!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e">
        <f>IF(
   AND(
      'Base stats'!#REF!="Standard",_xlfn.XLOOKUP(_xlfn.XLOOKUP(B344,'Base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#REF!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675</v>
      </c>
      <c r="BS344" s="8">
        <f t="shared" si="61"/>
        <v>2.6500000000000004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/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stats'!AM:AM)=1,0.1,1)*IF(AND(_xlfn.XLOOKUP(B344,'Base stats'!B:B,'Base stats'!AM:AM)=1,D344="sarg.alphaanimals"),0.5,1)/100,IF(_xlfn.XLOOKUP(B344,'Base stats'!B:B,'Base stats'!AM:AM)=1,0.001,0.025)),0.5)))</f>
        <v>2E-3</v>
      </c>
      <c r="CA344" s="25" t="str">
        <f>IF(P344="Standard","No",MAX(0.001,MIN(MROUND(IF(OR(D344="sarg.alphaanimals",AND(BJ344="True",CC344="False")),POWER(10,3.47*LOG10(_xlfn.XLOOKUP(B344,'Base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62"/>
        <v>False</v>
      </c>
      <c r="CE344" s="25" t="str">
        <f>IF(_xlfn.XLOOKUP(_xlfn.XLOOKUP(B344,'Base stats'!B:B,'Base stats'!E:E),Groups!A:A,Groups!AX:AX),"True","False")</f>
        <v>False</v>
      </c>
      <c r="CF344" s="25" t="str">
        <f>IF(_xlfn.XLOOKUP(_xlfn.XLOOKUP(B344,'Base stats'!B:B,'Base stats'!E:E),Groups!A:A,Groups!AY:AY),"True","False")</f>
        <v>False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1609</v>
      </c>
      <c r="B345" s="6" t="str">
        <f>_xlfn.XLOOKUP(A345,'Base stats'!A:A,'Base stats'!B:B)</f>
        <v>Bestia ventus</v>
      </c>
      <c r="C345" s="28" t="s">
        <v>1610</v>
      </c>
      <c r="D345" s="28" t="s">
        <v>1348</v>
      </c>
      <c r="E345" s="28" t="s">
        <v>674</v>
      </c>
      <c r="F345" s="28" t="s">
        <v>674</v>
      </c>
      <c r="G345" s="28" t="s">
        <v>674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1225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0.99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35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16</v>
      </c>
      <c r="AE345" s="7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2.2000000000000002</v>
      </c>
      <c r="AF345" s="7" t="str">
        <f>IF(AD345="No","No",_xlfn.XLOOKUP(_xlfn.XLOOKUP(B345,'Base stats'!B:B,'Base stats'!E:E),Groups!A:A,Groups!AA:AA))</f>
        <v>Teeth</v>
      </c>
      <c r="AG345" s="7" t="str">
        <f>IF(AD345="No","No",_xlfn.XLOOKUP(_xlfn.XLOOKUP(B345,'Base stats'!B:B,'Base stats'!E:E),Groups!A:A,Groups!AB:AB))</f>
        <v>teeth</v>
      </c>
      <c r="AH345" s="7" t="str">
        <f>IF(AD345="No","No",_xlfn.XLOOKUP(_xlfn.XLOOKUP(B345,'Base stats'!B:B,'Base stats'!E:E),Groups!A:A,Groups!AC:AC))</f>
        <v>Bite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56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57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58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QuadrupedAnimalWithHoovesTailAndHorn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59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e">
        <f t="shared" si="60"/>
        <v>#REF!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e">
        <f>IF(
   AND(
      'Base stats'!#REF!="Standard",_xlfn.XLOOKUP(_xlfn.XLOOKUP(B345,'Base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#REF!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340</v>
      </c>
      <c r="BS345" s="8">
        <f t="shared" si="61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AnimalExotic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/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stats'!AM:AM)=1,0.1,1)*IF(AND(_xlfn.XLOOKUP(B345,'Base stats'!B:B,'Base stats'!AM:AM)=1,D345="sarg.alphaanimals"),0.5,1)/100,IF(_xlfn.XLOOKUP(B345,'Base stats'!B:B,'Base stats'!AM:AM)=1,0.001,0.025)),0.5)))</f>
        <v>2E-3</v>
      </c>
      <c r="CA345" s="25" t="str">
        <f>IF(P345="Standard","No",MAX(0.001,MIN(MROUND(IF(OR(D345="sarg.alphaanimals",AND(BJ345="True",CC345="False")),POWER(10,3.47*LOG10(_xlfn.XLOOKUP(B345,'Base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62"/>
        <v>True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20" zoomScaleNormal="100" workbookViewId="0">
      <pane xSplit="1" topLeftCell="B1" activePane="topRight" state="frozen"/>
      <selection pane="topRight" activeCell="I345" sqref="I345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640</v>
      </c>
      <c r="F1" s="4" t="str">
        <f>Animals!R1</f>
        <v>Head attack interval</v>
      </c>
      <c r="G1" s="3" t="str">
        <f>Animals!S1</f>
        <v>Poke/leg claws damage</v>
      </c>
      <c r="H1" s="1" t="s">
        <v>641</v>
      </c>
      <c r="I1" s="1" t="s">
        <v>642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643</v>
      </c>
      <c r="M1" s="1" t="s">
        <v>644</v>
      </c>
      <c r="N1" s="4" t="s">
        <v>265</v>
      </c>
      <c r="O1" s="3" t="str">
        <f>Animals!AD1</f>
        <v>Bite damage</v>
      </c>
      <c r="P1" s="1" t="s">
        <v>645</v>
      </c>
      <c r="Q1" s="1" t="s">
        <v>646</v>
      </c>
      <c r="R1" s="4" t="str">
        <f>Animals!AE1</f>
        <v>Bite attack interval</v>
      </c>
      <c r="S1" s="3" t="str">
        <f>Animals!AI1</f>
        <v>Paw claw/punch damage</v>
      </c>
      <c r="T1" s="1" t="s">
        <v>647</v>
      </c>
      <c r="U1" s="1" t="s">
        <v>648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666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MROUND(_xlfn.XLOOKUP(B55,'Base stats'!B:B,'Base stats'!BG:BG) * 0.01 * 2 + 0.01, 0.05)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MROUND(_xlfn.XLOOKUP(B55,'Base stats'!B:B,'Base stats'!BJ:BJ) * 0.01 * 2 + 0.05, 0.05)
)</f>
        <v>18.8</v>
      </c>
      <c r="Q55" s="5">
        <f>IF(O55="No","No",
MROUND(_xlfn.XLOOKUP(B55,'Base stats'!B:B,'Base stats'!BV:BV)/10000+0.01,0.01)
)</f>
        <v>0.75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</v>
      </c>
      <c r="X55" s="1">
        <f>MROUND(_xlfn.XLOOKUP(_xlfn.XLOOKUP(B55,'Base stats'!B:B,'Base stats'!E:E),Groups!A:A,Groups!BH:BH)*_xlfn.XLOOKUP(B55,'Base stats'!B:B,'Base stats'!C:C)^0.165,0.05)</f>
        <v>0.5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0.13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1000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1.55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1.55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0.15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61.400000000000006</v>
      </c>
      <c r="E138" s="11">
        <f>MROUND(_xlfn.XLOOKUP(B138,'Base stats'!B:B,'Base stats'!BG:BG) * 0.01 * 2 + 0.01, 0.05)</f>
        <v>65.45</v>
      </c>
      <c r="F138" s="7">
        <f>MROUND(_xlfn.XLOOKUP(B138,'Base stats'!B:B,'Base stats'!BD:BD)^0.25 / (_xlfn.XLOOKUP(B138,'Base stats'!B:B,'Base stats'!BK:BK) * 10) * 150 + 0.5 + _xlfn.XLOOKUP(B138,'Base stats'!B:B,'Base stats'!BW:BW), 0.05)</f>
        <v>3.3000000000000003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80</v>
      </c>
      <c r="P138" s="11">
        <f>IF(O138="No","No",
MROUND(_xlfn.XLOOKUP(B138,'Base stats'!B:B,'Base stats'!BJ:BJ) * 0.01 * 2 + 0.05, 0.05)
)</f>
        <v>125.45</v>
      </c>
      <c r="Q138" s="5">
        <f>IF(O138="No","No",
MROUND(_xlfn.XLOOKUP(B138,'Base stats'!B:B,'Base stats'!BV:BV)/10000+0.01,0.01)
)</f>
        <v>1.54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2.6500000000000004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61</v>
      </c>
      <c r="T138" s="11">
        <f>IF(S138="No","No",
MROUND(_xlfn.XLOOKUP(B138,'Base stats'!B:B,'Base stats'!BH:BH) * 0.01 * 2 + 0.05, 0.05)
)</f>
        <v>67.600000000000009</v>
      </c>
      <c r="U138" s="5">
        <f>IF(S138="No","No",IF(_xlfn.XLOOKUP(B138,'Base stats'!B:B,'Base stats'!U:U)="No","No",
MROUND(_xlfn.XLOOKUP(B138,'Base stats'!B:B,'Base stats'!BT:BT)/10000+0.01,0.01)
))</f>
        <v>0.83000000000000007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2</v>
      </c>
      <c r="W138" s="8">
        <f>MROUND(_xlfn.XLOOKUP(_xlfn.XLOOKUP(B138,'Base stats'!B:B,'Base stats'!E:E),Groups!A:A,Groups!BG:BG)*_xlfn.XLOOKUP(B138,'Base stats'!B:B,'Base stats'!C:C)^-0.165,0.05)</f>
        <v>0.30000000000000004</v>
      </c>
      <c r="X138" s="1">
        <f>MROUND(_xlfn.XLOOKUP(_xlfn.XLOOKUP(B138,'Base stats'!B:B,'Base stats'!E:E),Groups!A:A,Groups!BH:BH)*_xlfn.XLOOKUP(B138,'Base stats'!B:B,'Base stats'!C:C)^0.165,0.05)</f>
        <v>0.75</v>
      </c>
      <c r="Y138" s="8">
        <f>MROUND(_xlfn.XLOOKUP(_xlfn.XLOOKUP(B138,'Base stats'!B:B,'Base stats'!E:E),Groups!A:A,Groups!BI:BI)*_xlfn.XLOOKUP(B138,'Base stats'!B:B,'Base stats'!C:C)^0.165,0.05)</f>
        <v>0.1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0.36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1.55</v>
      </c>
      <c r="AB138" s="18">
        <f>MROUND(250*(Animals!AO138+Animals!AP138),25)</f>
        <v>2475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1.9000000000000001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1.8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7.9</v>
      </c>
      <c r="P175" s="11">
        <f>IF(O175="No","No",
MROUND(_xlfn.XLOOKUP(B175,'Base stats'!B:B,'Base stats'!BJ:BJ) * 0.01 * 2 + 0.05, 0.05)
)</f>
        <v>1.8</v>
      </c>
      <c r="Q175" s="5">
        <f>IF(O175="No","No",
MROUND(_xlfn.XLOOKUP(B175,'Base stats'!B:B,'Base stats'!BV:BV)/10000+0.01,0.01)
)</f>
        <v>0.14000000000000001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2.15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11.600000000000001</v>
      </c>
      <c r="P181" s="11">
        <f>IF(O181="No","No",
MROUND(_xlfn.XLOOKUP(B181,'Base stats'!B:B,'Base stats'!BJ:BJ) * 0.01 * 2 + 0.05, 0.05)
)</f>
        <v>3.2</v>
      </c>
      <c r="Q181" s="5">
        <f>IF(O181="No","No",
MROUND(_xlfn.XLOOKUP(B181,'Base stats'!B:B,'Base stats'!BV:BV)/10000+0.01,0.01)
)</f>
        <v>0.28999999999999998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2.1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6.7</v>
      </c>
      <c r="P202" s="11">
        <f>IF(O202="No","No",
MROUND(_xlfn.XLOOKUP(B202,'Base stats'!B:B,'Base stats'!BJ:BJ) * 0.01 * 2 + 0.05, 0.05)
)</f>
        <v>1.1000000000000001</v>
      </c>
      <c r="Q202" s="5">
        <f>IF(O202="No","No",
MROUND(_xlfn.XLOOKUP(B202,'Base stats'!B:B,'Base stats'!BV:BV)/10000+0.01,0.01)
)</f>
        <v>0.16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43.7</v>
      </c>
      <c r="P203" s="11">
        <f>IF(O203="No","No",
MROUND(_xlfn.XLOOKUP(B203,'Base stats'!B:B,'Base stats'!BJ:BJ) * 0.01 * 2 + 0.05, 0.05)
)</f>
        <v>32.6</v>
      </c>
      <c r="Q203" s="5">
        <f>IF(O203="No","No",
MROUND(_xlfn.XLOOKUP(B203,'Base stats'!B:B,'Base stats'!BV:BV)/10000+0.01,0.01)
)</f>
        <v>0.51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1.6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</v>
      </c>
      <c r="L207" s="11">
        <f>IF(K207="No","No",
MROUND(_xlfn.XLOOKUP(B207,'Base stats'!B:B,'Base stats'!BI:BI) * 0.01 *2 + 0.05, 0.05)
)</f>
        <v>8.9</v>
      </c>
      <c r="M207" s="5">
        <f>IF(K207="No","No",IF(_xlfn.XLOOKUP(_xlfn.XLOOKUP(B207,'Base stats'!B:B,'Base stats'!E:E),Groups!A:A,Groups!BD:BD)=1,"No",
MROUND(_xlfn.XLOOKUP(B207,'Base stats'!B:B,'Base stats'!BU:BU)/10000+0.01,0.01)
))</f>
        <v>0.54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</v>
      </c>
      <c r="P207" s="11">
        <f>IF(O207="No","No",
MROUND(_xlfn.XLOOKUP(B207,'Base stats'!B:B,'Base stats'!BJ:BJ) * 0.01 * 2 + 0.05, 0.05)
)</f>
        <v>7.4</v>
      </c>
      <c r="Q207" s="5">
        <f>IF(O207="No","No",
MROUND(_xlfn.XLOOKUP(B207,'Base stats'!B:B,'Base stats'!BV:BV)/10000+0.01,0.01)
)</f>
        <v>0.33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 t="str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No</v>
      </c>
      <c r="P213" s="11" t="str">
        <f>IF(O213="No","No",
MROUND(_xlfn.XLOOKUP(B213,'Base stats'!B:B,'Base stats'!BJ:BJ) * 0.01 * 2 + 0.05, 0.05)
)</f>
        <v>No</v>
      </c>
      <c r="Q213" s="5" t="str">
        <f>IF(O213="No","No",
MROUND(_xlfn.XLOOKUP(B213,'Base stats'!B:B,'Base stats'!BV:BV)/10000+0.01,0.01)
)</f>
        <v>No</v>
      </c>
      <c r="R213" s="4" t="str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No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0.03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0.1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 t="str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No</v>
      </c>
      <c r="P214" s="11" t="str">
        <f>IF(O214="No","No",
MROUND(_xlfn.XLOOKUP(B214,'Base stats'!B:B,'Base stats'!BJ:BJ) * 0.01 * 2 + 0.05, 0.05)
)</f>
        <v>No</v>
      </c>
      <c r="Q214" s="5" t="str">
        <f>IF(O214="No","No",
MROUND(_xlfn.XLOOKUP(B214,'Base stats'!B:B,'Base stats'!BV:BV)/10000+0.01,0.01)
)</f>
        <v>No</v>
      </c>
      <c r="R214" s="4" t="str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No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0.08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0.30000000000000004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 t="str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No</v>
      </c>
      <c r="P215" s="11" t="str">
        <f>IF(O215="No","No",
MROUND(_xlfn.XLOOKUP(B215,'Base stats'!B:B,'Base stats'!BJ:BJ) * 0.01 * 2 + 0.05, 0.05)
)</f>
        <v>No</v>
      </c>
      <c r="Q215" s="5" t="str">
        <f>IF(O215="No","No",
MROUND(_xlfn.XLOOKUP(B215,'Base stats'!B:B,'Base stats'!BV:BV)/10000+0.01,0.01)
)</f>
        <v>No</v>
      </c>
      <c r="R215" s="4" t="str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No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0.03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0.1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sylvestris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0.4</v>
      </c>
      <c r="E216" s="11">
        <f>MROUND(_xlfn.XLOOKUP(B216,'Base stats'!B:B,'Base stats'!BG:BG) * 0.01 * 2 + 0.01, 0.05)</f>
        <v>0.30000000000000004</v>
      </c>
      <c r="F216" s="7">
        <f>MROUND(_xlfn.XLOOKUP(B216,'Base stats'!B:B,'Base stats'!BD:BD)^0.25 / (_xlfn.XLOOKUP(B216,'Base stats'!B:B,'Base stats'!BK:BK) * 10) * 150 + 0.5 + _xlfn.XLOOKUP(B216,'Base stats'!B:B,'Base stats'!BW:BW), 0.05)</f>
        <v>1.9500000000000002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0.85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4.6000000000000005</v>
      </c>
      <c r="T216" s="11">
        <f>IF(S216="No","No",
MROUND(_xlfn.XLOOKUP(B216,'Base stats'!B:B,'Base stats'!BH:BH) * 0.01 * 2 + 0.05, 0.05)
)</f>
        <v>0.4</v>
      </c>
      <c r="U216" s="5">
        <f>IF(S216="No","No",IF(_xlfn.XLOOKUP(B216,'Base stats'!B:B,'Base stats'!U:U)="No","No",
MROUND(_xlfn.XLOOKUP(B216,'Base stats'!B:B,'Base stats'!BT:BT)/10000+0.01,0.01)
))</f>
        <v>0.05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1.8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sylvestris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41.5</v>
      </c>
      <c r="E217" s="11">
        <f>MROUND(_xlfn.XLOOKUP(B217,'Base stats'!B:B,'Base stats'!BG:BG) * 0.01 * 2 + 0.01, 0.05)</f>
        <v>45.25</v>
      </c>
      <c r="F217" s="7">
        <f>MROUND(_xlfn.XLOOKUP(B217,'Base stats'!B:B,'Base stats'!BD:BD)^0.25 / (_xlfn.XLOOKUP(B217,'Base stats'!B:B,'Base stats'!BK:BK) * 10) * 150 + 0.5 + _xlfn.XLOOKUP(B217,'Base stats'!B:B,'Base stats'!BW:BW), 0.05)</f>
        <v>3.0500000000000003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7.57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50.5</v>
      </c>
      <c r="T217" s="11">
        <f>IF(S217="No","No",
MROUND(_xlfn.XLOOKUP(B217,'Base stats'!B:B,'Base stats'!BH:BH) * 0.01 * 2 + 0.05, 0.05)
)</f>
        <v>39.700000000000003</v>
      </c>
      <c r="U217" s="5">
        <f>IF(S217="No","No",IF(_xlfn.XLOOKUP(B217,'Base stats'!B:B,'Base stats'!U:U)="No","No",
MROUND(_xlfn.XLOOKUP(B217,'Base stats'!B:B,'Base stats'!BT:BT)/10000+0.01,0.01)
))</f>
        <v>0.43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3.1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e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#VALUE!</v>
      </c>
      <c r="P219" s="11" t="e">
        <f>IF(O219="No","No",
MROUND(_xlfn.XLOOKUP(B219,'Base stats'!B:B,'Base stats'!BJ:BJ) * 0.01 * 2 + 0.05, 0.05)
)</f>
        <v>#VALUE!</v>
      </c>
      <c r="Q219" s="5" t="e">
        <f>IF(O219="No","No",
MROUND(_xlfn.XLOOKUP(B219,'Base stats'!B:B,'Base stats'!BV:BV)/10000+0.01,0.01)
)</f>
        <v>#VALUE!</v>
      </c>
      <c r="R219" s="4" t="e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#VALUE!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animalis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Vulpes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8.8000000000000007</v>
      </c>
      <c r="E223" s="11">
        <f>MROUND(_xlfn.XLOOKUP(B223,'Base stats'!B:B,'Base stats'!BG:BG) * 0.01 * 2 + 0.01, 0.05)</f>
        <v>8.1</v>
      </c>
      <c r="F223" s="7">
        <f>MROUND(_xlfn.XLOOKUP(B223,'Base stats'!B:B,'Base stats'!BD:BD)^0.25 / (_xlfn.XLOOKUP(B223,'Base stats'!B:B,'Base stats'!BK:BK) * 10) * 150 + 0.5 + _xlfn.XLOOKUP(B223,'Base stats'!B:B,'Base stats'!BW:BW), 0.05)</f>
        <v>2.4000000000000004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32.700000000000003</v>
      </c>
      <c r="P223" s="11">
        <f>IF(O223="No","No",
MROUND(_xlfn.XLOOKUP(B223,'Base stats'!B:B,'Base stats'!BJ:BJ) * 0.01 * 2 + 0.05, 0.05)
)</f>
        <v>19.55</v>
      </c>
      <c r="Q223" s="5">
        <f>IF(O223="No","No",
MROUND(_xlfn.XLOOKUP(B223,'Base stats'!B:B,'Base stats'!BV:BV)/10000+0.01,0.01)
)</f>
        <v>0.62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2.15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26.1</v>
      </c>
      <c r="T223" s="11">
        <f>IF(S223="No","No",
MROUND(_xlfn.XLOOKUP(B223,'Base stats'!B:B,'Base stats'!BH:BH) * 0.01 * 2 + 0.05, 0.05)
)</f>
        <v>9.5500000000000007</v>
      </c>
      <c r="U223" s="5">
        <f>IF(S223="No","No",IF(_xlfn.XLOOKUP(B223,'Base stats'!B:B,'Base stats'!U:U)="No","No",
MROUND(_xlfn.XLOOKUP(B223,'Base stats'!B:B,'Base stats'!BT:BT)/10000+0.01,0.01)
))</f>
        <v>0.31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1.6500000000000001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0.16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0.70000000000000007</v>
      </c>
      <c r="AB223" s="18">
        <f>MROUND(250*(Animals!AO223+Animals!AP223),25)</f>
        <v>1375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22.25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e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#VALUE!</v>
      </c>
      <c r="P225" s="11" t="e">
        <f>IF(O225="No","No",
MROUND(_xlfn.XLOOKUP(B225,'Base stats'!B:B,'Base stats'!BJ:BJ) * 0.01 * 2 + 0.05, 0.05)
)</f>
        <v>#VALUE!</v>
      </c>
      <c r="Q225" s="5" t="e">
        <f>IF(O225="No","No",
MROUND(_xlfn.XLOOKUP(B225,'Base stats'!B:B,'Base stats'!BV:BV)/10000+0.01,0.01)
)</f>
        <v>#VALUE!</v>
      </c>
      <c r="R225" s="4" t="e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#VALUE!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0.51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giganteus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123.30000000000001</v>
      </c>
      <c r="E229" s="11">
        <f>MROUND(_xlfn.XLOOKUP(B229,'Base stats'!B:B,'Base stats'!BG:BG) * 0.01 * 2 + 0.01, 0.05)</f>
        <v>138.75</v>
      </c>
      <c r="F229" s="7">
        <f>MROUND(_xlfn.XLOOKUP(B229,'Base stats'!B:B,'Base stats'!BD:BD)^0.25 / (_xlfn.XLOOKUP(B229,'Base stats'!B:B,'Base stats'!BK:BK) * 10) * 150 + 0.5 + _xlfn.XLOOKUP(B229,'Base stats'!B:B,'Base stats'!BW:BW), 0.05)</f>
        <v>3.6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86.800000000000011</v>
      </c>
      <c r="T229" s="11">
        <f>IF(S229="No","No",
MROUND(_xlfn.XLOOKUP(B229,'Base stats'!B:B,'Base stats'!BH:BH) * 0.01 * 2 + 0.05, 0.05)
)</f>
        <v>136.75</v>
      </c>
      <c r="U229" s="5">
        <f>IF(S229="No","No",IF(_xlfn.XLOOKUP(B229,'Base stats'!B:B,'Base stats'!U:U)="No","No",
MROUND(_xlfn.XLOOKUP(B229,'Base stats'!B:B,'Base stats'!BT:BT)/10000+0.01,0.01)
))</f>
        <v>11.91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2.25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Titanocoleus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Cryptomorphus niger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Gigarachne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4.54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Bombos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Megacancer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80.7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1.87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5.4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2.48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2.7800000000000002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3.46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22.200000000000003</v>
      </c>
      <c r="P247" s="11">
        <f>IF(O247="No","No",
MROUND(_xlfn.XLOOKUP(B247,'Base stats'!B:B,'Base stats'!BJ:BJ) * 0.01 * 2 + 0.05, 0.05)
)</f>
        <v>14.350000000000001</v>
      </c>
      <c r="Q247" s="5">
        <f>IF(O247="No","No",
MROUND(_xlfn.XLOOKUP(B247,'Base stats'!B:B,'Base stats'!BV:BV)/10000+0.01,0.01)
)</f>
        <v>1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2.6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8.2000000000000011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0.21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7.7</v>
      </c>
      <c r="E250" s="11">
        <f>MROUND(_xlfn.XLOOKUP(B250,'Base stats'!B:B,'Base stats'!BG:BG) * 0.01 * 2 + 0.01, 0.05)</f>
        <v>7.0500000000000007</v>
      </c>
      <c r="F250" s="7">
        <f>MROUND(_xlfn.XLOOKUP(B250,'Base stats'!B:B,'Base stats'!BD:BD)^0.25 / (_xlfn.XLOOKUP(B250,'Base stats'!B:B,'Base stats'!BK:BK) * 10) * 150 + 0.5 + _xlfn.XLOOKUP(B250,'Base stats'!B:B,'Base stats'!BW:BW), 0.05)</f>
        <v>1.8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13.200000000000001</v>
      </c>
      <c r="H250" s="11">
        <f>IF(G250="No","No",
MROUND(_xlfn.XLOOKUP(B250,'Base stats'!B:B,'Base stats'!BH:BH) * 0.01 * 2 + 0.05, 0.05)
)</f>
        <v>8.35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2.4500000000000002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24.5</v>
      </c>
      <c r="L250" s="11">
        <f>IF(K250="No","No",
MROUND(_xlfn.XLOOKUP(B250,'Base stats'!B:B,'Base stats'!BI:BI) * 0.01 *2 + 0.05, 0.05)
)</f>
        <v>8.4500000000000011</v>
      </c>
      <c r="M250" s="5">
        <f>IF(K250="No","No",IF(_xlfn.XLOOKUP(_xlfn.XLOOKUP(B250,'Base stats'!B:B,'Base stats'!E:E),Groups!A:A,Groups!BD:BD)=1,"No",
MROUND(_xlfn.XLOOKUP(B250,'Base stats'!B:B,'Base stats'!BU:BU)/10000+0.01,0.01)
))</f>
        <v>4.7300000000000004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2.4500000000000002</v>
      </c>
      <c r="O250" s="3" t="e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#VALUE!</v>
      </c>
      <c r="P250" s="11" t="e">
        <f>IF(O250="No","No",
MROUND(_xlfn.XLOOKUP(B250,'Base stats'!B:B,'Base stats'!BJ:BJ) * 0.01 * 2 + 0.05, 0.05)
)</f>
        <v>#VALUE!</v>
      </c>
      <c r="Q250" s="5" t="e">
        <f>IF(O250="No","No",
MROUND(_xlfn.XLOOKUP(B250,'Base stats'!B:B,'Base stats'!BV:BV)/10000+0.01,0.01)
)</f>
        <v>#VALUE!</v>
      </c>
      <c r="R250" s="4" t="e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#VALUE!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8.8000000000000007</v>
      </c>
      <c r="E251" s="11">
        <f>MROUND(_xlfn.XLOOKUP(B251,'Base stats'!B:B,'Base stats'!BG:BG) * 0.01 * 2 + 0.01, 0.05)</f>
        <v>8.1</v>
      </c>
      <c r="F251" s="7">
        <f>MROUND(_xlfn.XLOOKUP(B251,'Base stats'!B:B,'Base stats'!BD:BD)^0.25 / (_xlfn.XLOOKUP(B251,'Base stats'!B:B,'Base stats'!BK:BK) * 10) * 150 + 0.5 + _xlfn.XLOOKUP(B251,'Base stats'!B:B,'Base stats'!BW:BW), 0.05)</f>
        <v>2.4000000000000004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22.1</v>
      </c>
      <c r="P251" s="11">
        <f>IF(O251="No","No",
MROUND(_xlfn.XLOOKUP(B251,'Base stats'!B:B,'Base stats'!BJ:BJ) * 0.01 * 2 + 0.05, 0.05)
)</f>
        <v>8.4500000000000011</v>
      </c>
      <c r="Q251" s="5">
        <f>IF(O251="No","No",
MROUND(_xlfn.XLOOKUP(B251,'Base stats'!B:B,'Base stats'!BV:BV)/10000+0.01,0.01)
)</f>
        <v>0.27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2.2000000000000002</v>
      </c>
      <c r="S251" s="3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21.900000000000002</v>
      </c>
      <c r="T251" s="11">
        <f>IF(S251="No","No",
MROUND(_xlfn.XLOOKUP(B251,'Base stats'!B:B,'Base stats'!BH:BH) * 0.01 * 2 + 0.05, 0.05)
)</f>
        <v>9.5500000000000007</v>
      </c>
      <c r="U251" s="5">
        <f>IF(S251="No","No",IF(_xlfn.XLOOKUP(B251,'Base stats'!B:B,'Base stats'!U:U)="No","No",
MROUND(_xlfn.XLOOKUP(B251,'Base stats'!B:B,'Base stats'!BT:BT)/10000+0.01,0.01)
))</f>
        <v>0.31</v>
      </c>
      <c r="V251" s="4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1.6500000000000001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0.55000000000000004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0.16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0.70000000000000007</v>
      </c>
      <c r="AB251" s="18">
        <f>MROUND(250*(Animals!AO251+Animals!AP251),25)</f>
        <v>1375</v>
      </c>
      <c r="AC251" s="18" t="str">
        <f>_xlfn.XLOOKUP(_xlfn.XLOOKUP(B251,'Base stats'!B:B,'Base stats'!E:E),Groups!A:A,Groups!BJ:BJ)</f>
        <v>QuadrupedLow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3.0300000000000002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1.45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2.5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3.8000000000000003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193.5</v>
      </c>
      <c r="P253" s="11">
        <f>IF(O253="No","No",
MROUND(_xlfn.XLOOKUP(B253,'Base stats'!B:B,'Base stats'!BJ:BJ) * 0.01 * 2 + 0.05, 0.05)
)</f>
        <v>1410.3000000000002</v>
      </c>
      <c r="Q253" s="5">
        <f>IF(O253="No","No",
MROUND(_xlfn.XLOOKUP(B253,'Base stats'!B:B,'Base stats'!BV:BV)/10000+0.01,0.01)
)</f>
        <v>46.78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4.8500000000000005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e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#VALUE!</v>
      </c>
      <c r="P256" s="11" t="e">
        <f>IF(O256="No","No",
MROUND(_xlfn.XLOOKUP(B256,'Base stats'!B:B,'Base stats'!BJ:BJ) * 0.01 * 2 + 0.05, 0.05)
)</f>
        <v>#VALUE!</v>
      </c>
      <c r="Q256" s="5" t="e">
        <f>IF(O256="No","No",
MROUND(_xlfn.XLOOKUP(B256,'Base stats'!B:B,'Base stats'!BV:BV)/10000+0.01,0.01)
)</f>
        <v>#VALUE!</v>
      </c>
      <c r="R256" s="4" t="e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#VALUE!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Crepisculanius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3.1</v>
      </c>
      <c r="E259" s="11">
        <f>MROUND(_xlfn.XLOOKUP(B259,'Base stats'!B:B,'Base stats'!BG:BG) * 0.01 * 2 + 0.01, 0.05)</f>
        <v>2.6</v>
      </c>
      <c r="F259" s="7">
        <f>MROUND(_xlfn.XLOOKUP(B259,'Base stats'!B:B,'Base stats'!BD:BD)^0.25 / (_xlfn.XLOOKUP(B259,'Base stats'!B:B,'Base stats'!BK:BK) * 10) * 150 + 0.5 + _xlfn.XLOOKUP(B259,'Base stats'!B:B,'Base stats'!BW:BW), 0.05)</f>
        <v>2.1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17.5</v>
      </c>
      <c r="L259" s="11">
        <f>IF(K259="No","No",
MROUND(_xlfn.XLOOKUP(B259,'Base stats'!B:B,'Base stats'!BI:BI) * 0.01 *2 + 0.05, 0.05)
)</f>
        <v>3.95</v>
      </c>
      <c r="M259" s="5">
        <f>IF(K259="No","No",IF(_xlfn.XLOOKUP(_xlfn.XLOOKUP(B259,'Base stats'!B:B,'Base stats'!E:E),Groups!A:A,Groups!BD:BD)=1,"No",
MROUND(_xlfn.XLOOKUP(B259,'Base stats'!B:B,'Base stats'!BU:BU)/10000+0.01,0.01)
))</f>
        <v>0.26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17.3</v>
      </c>
      <c r="P259" s="11">
        <f>IF(O259="No","No",
MROUND(_xlfn.XLOOKUP(B259,'Base stats'!B:B,'Base stats'!BJ:BJ) * 0.01 * 2 + 0.05, 0.05)
)</f>
        <v>6.25</v>
      </c>
      <c r="Q259" s="5">
        <f>IF(O259="No","No",
MROUND(_xlfn.XLOOKUP(B259,'Base stats'!B:B,'Base stats'!BV:BV)/10000+0.01,0.01)
)</f>
        <v>0.33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1.9500000000000002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13</v>
      </c>
      <c r="T259" s="11">
        <f>IF(S259="No","No",
MROUND(_xlfn.XLOOKUP(B259,'Base stats'!B:B,'Base stats'!BH:BH) * 0.01 * 2 + 0.05, 0.05)
)</f>
        <v>3.3000000000000003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700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1.1000000000000001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e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#VALUE!</v>
      </c>
      <c r="P262" s="11" t="e">
        <f>IF(O262="No","No",
MROUND(_xlfn.XLOOKUP(B262,'Base stats'!B:B,'Base stats'!BJ:BJ) * 0.01 * 2 + 0.05, 0.05)
)</f>
        <v>#VALUE!</v>
      </c>
      <c r="Q262" s="5" t="e">
        <f>IF(O262="No","No",
MROUND(_xlfn.XLOOKUP(B262,'Base stats'!B:B,'Base stats'!BV:BV)/10000+0.01,0.01)
)</f>
        <v>#VALUE!</v>
      </c>
      <c r="R262" s="4" t="e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#VALUE!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3.5500000000000003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4.3</v>
      </c>
      <c r="E264" s="11">
        <f>MROUND(_xlfn.XLOOKUP(B264,'Base stats'!B:B,'Base stats'!BG:BG) * 0.01 * 2 + 0.01, 0.05)</f>
        <v>3.75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25.6</v>
      </c>
      <c r="P264" s="11">
        <f>IF(O264="No","No",
MROUND(_xlfn.XLOOKUP(B264,'Base stats'!B:B,'Base stats'!BJ:BJ) * 0.01 * 2 + 0.05, 0.05)
)</f>
        <v>13.9</v>
      </c>
      <c r="Q264" s="5">
        <f>IF(O264="No","No",
MROUND(_xlfn.XLOOKUP(B264,'Base stats'!B:B,'Base stats'!BV:BV)/10000+0.01,0.01)
)</f>
        <v>0.62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2.4000000000000004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</v>
      </c>
      <c r="AB264" s="18">
        <f>MROUND(250*(Animals!AO264+Animals!AP264),25)</f>
        <v>825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3.9000000000000004</v>
      </c>
      <c r="E266" s="11">
        <f>MROUND(_xlfn.XLOOKUP(B266,'Base stats'!B:B,'Base stats'!BG:BG) * 0.01 * 2 + 0.01, 0.05)</f>
        <v>3.5</v>
      </c>
      <c r="F266" s="7">
        <f>MROUND(_xlfn.XLOOKUP(B266,'Base stats'!B:B,'Base stats'!BD:BD)^0.25 / (_xlfn.XLOOKUP(B266,'Base stats'!B:B,'Base stats'!BK:BK) * 10) * 150 + 0.5 + _xlfn.XLOOKUP(B266,'Base stats'!B:B,'Base stats'!BW:BW), 0.05)</f>
        <v>3.25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31.200000000000003</v>
      </c>
      <c r="P266" s="11">
        <f>IF(O266="No","No",
MROUND(_xlfn.XLOOKUP(B266,'Base stats'!B:B,'Base stats'!BJ:BJ) * 0.01 * 2 + 0.05, 0.05)
)</f>
        <v>24.25</v>
      </c>
      <c r="Q266" s="5">
        <f>IF(O266="No","No",
MROUND(_xlfn.XLOOKUP(B266,'Base stats'!B:B,'Base stats'!BV:BV)/10000+0.01,0.01)
)</f>
        <v>8.0400000000000009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2.85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1.7000000000000002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0.15000000000000002</v>
      </c>
      <c r="AB266" s="18">
        <f>MROUND(250*(Animals!AO266+Animals!AP266),25)</f>
        <v>1125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2.48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</v>
      </c>
      <c r="F269" s="7">
        <f>MROUND(_xlfn.XLOOKUP(B269,'Base stats'!B:B,'Base stats'!BD:BD)^0.25 / (_xlfn.XLOOKUP(B269,'Base stats'!B:B,'Base stats'!BK:BK) * 10) * 150 + 0.5 + _xlfn.XLOOKUP(B269,'Base stats'!B:B,'Base stats'!BW:BW), 0.05)</f>
        <v>1.05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0.8</v>
      </c>
      <c r="P269" s="11">
        <f>IF(O269="No","No",
MROUND(_xlfn.XLOOKUP(B269,'Base stats'!B:B,'Base stats'!BJ:BJ) * 0.01 * 2 + 0.05, 0.05)
)</f>
        <v>0.05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1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</v>
      </c>
      <c r="F270" s="7">
        <f>MROUND(_xlfn.XLOOKUP(B270,'Base stats'!B:B,'Base stats'!BD:BD)^0.25 / (_xlfn.XLOOKUP(B270,'Base stats'!B:B,'Base stats'!BK:BK) * 10) * 150 + 0.5 + _xlfn.XLOOKUP(B270,'Base stats'!B:B,'Base stats'!BW:BW), 0.05)</f>
        <v>1.05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0.8</v>
      </c>
      <c r="P270" s="11">
        <f>IF(O270="No","No",
MROUND(_xlfn.XLOOKUP(B270,'Base stats'!B:B,'Base stats'!BJ:BJ) * 0.01 * 2 + 0.05, 0.05)
)</f>
        <v>0.05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1.9000000000000001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1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1.05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0.8</v>
      </c>
      <c r="P271" s="11">
        <f>IF(O271="No","No",
MROUND(_xlfn.XLOOKUP(B271,'Base stats'!B:B,'Base stats'!BJ:BJ) * 0.01 * 2 + 0.05, 0.05)
)</f>
        <v>0.05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1.9000000000000001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1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220.10000000000002</v>
      </c>
      <c r="P273" s="11">
        <f>IF(O273="No","No",
MROUND(_xlfn.XLOOKUP(B273,'Base stats'!B:B,'Base stats'!BJ:BJ) * 0.01 * 2 + 0.05, 0.05)
)</f>
        <v>1793.65</v>
      </c>
      <c r="Q273" s="5">
        <f>IF(O273="No","No",
MROUND(_xlfn.XLOOKUP(B273,'Base stats'!B:B,'Base stats'!BV:BV)/10000+0.01,0.01)
)</f>
        <v>52.870000000000005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4.75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Genix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4.3</v>
      </c>
      <c r="E274" s="11">
        <f>MROUND(_xlfn.XLOOKUP(B274,'Base stats'!B:B,'Base stats'!BG:BG) * 0.01 * 2 + 0.01, 0.05)</f>
        <v>3.75</v>
      </c>
      <c r="F274" s="7">
        <f>MROUND(_xlfn.XLOOKUP(B274,'Base stats'!B:B,'Base stats'!BD:BD)^0.25 / (_xlfn.XLOOKUP(B274,'Base stats'!B:B,'Base stats'!BK:BK) * 10) * 150 + 0.5 + _xlfn.XLOOKUP(B274,'Base stats'!B:B,'Base stats'!BW:BW), 0.05)</f>
        <v>2.1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20.900000000000002</v>
      </c>
      <c r="P274" s="11">
        <f>IF(O274="No","No",
MROUND(_xlfn.XLOOKUP(B274,'Base stats'!B:B,'Base stats'!BJ:BJ) * 0.01 * 2 + 0.05, 0.05)
)</f>
        <v>8.75</v>
      </c>
      <c r="Q274" s="5">
        <f>IF(O274="No","No",
MROUND(_xlfn.XLOOKUP(B274,'Base stats'!B:B,'Base stats'!BV:BV)/10000+0.01,0.01)
)</f>
        <v>0.39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16.600000000000001</v>
      </c>
      <c r="T274" s="11">
        <f>IF(S274="No","No",
MROUND(_xlfn.XLOOKUP(B274,'Base stats'!B:B,'Base stats'!BH:BH) * 0.01 * 2 + 0.05, 0.05)
)</f>
        <v>4.6500000000000004</v>
      </c>
      <c r="U274" s="5">
        <f>IF(S274="No","No",IF(_xlfn.XLOOKUP(B274,'Base stats'!B:B,'Base stats'!U:U)="No","No",
MROUND(_xlfn.XLOOKUP(B274,'Base stats'!B:B,'Base stats'!BT:BT)/10000+0.01,0.01)
))</f>
        <v>0.21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1.4500000000000002</v>
      </c>
      <c r="W274" s="8">
        <f>MROUND(_xlfn.XLOOKUP(_xlfn.XLOOKUP(B274,'Base stats'!B:B,'Base stats'!E:E),Groups!A:A,Groups!BG:BG)*_xlfn.XLOOKUP(B274,'Base stats'!B:B,'Base stats'!C:C)^-0.165,0.05)</f>
        <v>0.55000000000000004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0.12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0.5</v>
      </c>
      <c r="AB274" s="18">
        <f>MROUND(250*(Animals!AO274+Animals!AP274),25)</f>
        <v>825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5.5</v>
      </c>
      <c r="E275" s="11">
        <f>MROUND(_xlfn.XLOOKUP(B275,'Base stats'!B:B,'Base stats'!BG:BG) * 0.01 * 2 + 0.01, 0.05)</f>
        <v>4.8500000000000005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2.15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29.400000000000002</v>
      </c>
      <c r="P275" s="11">
        <f>IF(O275="No","No",
MROUND(_xlfn.XLOOKUP(B275,'Base stats'!B:B,'Base stats'!BJ:BJ) * 0.01 * 2 + 0.05, 0.05)
)</f>
        <v>18</v>
      </c>
      <c r="Q275" s="5">
        <f>IF(O275="No","No",
MROUND(_xlfn.XLOOKUP(B275,'Base stats'!B:B,'Base stats'!BV:BV)/10000+0.01,0.01)
)</f>
        <v>0.71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2.35</v>
      </c>
      <c r="S275" s="3" t="str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No</v>
      </c>
      <c r="T275" s="11" t="str">
        <f>IF(S275="No","No",
MROUND(_xlfn.XLOOKUP(B275,'Base stats'!B:B,'Base stats'!BH:BH) * 0.01 * 2 + 0.05, 0.05)
)</f>
        <v>No</v>
      </c>
      <c r="U275" s="5" t="str">
        <f>IF(S275="No","No",IF(_xlfn.XLOOKUP(B275,'Base stats'!B:B,'Base stats'!U:U)="No","No",
MROUND(_xlfn.XLOOKUP(B275,'Base stats'!B:B,'Base stats'!BT:BT)/10000+0.01,0.01)
))</f>
        <v>No</v>
      </c>
      <c r="V275" s="4" t="str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No</v>
      </c>
      <c r="W275" s="8">
        <f>MROUND(_xlfn.XLOOKUP(_xlfn.XLOOKUP(B275,'Base stats'!B:B,'Base stats'!E:E),Groups!A:A,Groups!BG:BG)*_xlfn.XLOOKUP(B275,'Base stats'!B:B,'Base stats'!C:C)^-0.165,0.05)</f>
        <v>0.4</v>
      </c>
      <c r="X275" s="1">
        <f>MROUND(_xlfn.XLOOKUP(_xlfn.XLOOKUP(B275,'Base stats'!B:B,'Base stats'!E:E),Groups!A:A,Groups!BH:BH)*_xlfn.XLOOKUP(B275,'Base stats'!B:B,'Base stats'!C:C)^0.165,0.05)</f>
        <v>0.5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0.13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0.55000000000000004</v>
      </c>
      <c r="AB275" s="18">
        <f>MROUND(250*(Animals!AO275+Animals!AP275),25)</f>
        <v>1000</v>
      </c>
      <c r="AC275" s="18" t="str">
        <f>_xlfn.XLOOKUP(_xlfn.XLOOKUP(B275,'Base stats'!B:B,'Base stats'!E:E),Groups!A:A,Groups!BJ:BJ)</f>
        <v>Quadruped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0.4</v>
      </c>
      <c r="E276" s="11">
        <f>MROUND(_xlfn.XLOOKUP(B276,'Base stats'!B:B,'Base stats'!BG:BG) * 0.01 * 2 + 0.01, 0.05)</f>
        <v>0.30000000000000004</v>
      </c>
      <c r="F276" s="7">
        <f>MROUND(_xlfn.XLOOKUP(B276,'Base stats'!B:B,'Base stats'!BD:BD)^0.25 / (_xlfn.XLOOKUP(B276,'Base stats'!B:B,'Base stats'!BK:BK) * 10) * 150 + 0.5 + _xlfn.XLOOKUP(B276,'Base stats'!B:B,'Base stats'!BW:BW), 0.05)</f>
        <v>2.3000000000000003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11.3</v>
      </c>
      <c r="P276" s="11">
        <f>IF(O276="No","No",
MROUND(_xlfn.XLOOKUP(B276,'Base stats'!B:B,'Base stats'!BJ:BJ) * 0.01 * 2 + 0.05, 0.05)
)</f>
        <v>2.8000000000000003</v>
      </c>
      <c r="Q276" s="5">
        <f>IF(O276="No","No",
MROUND(_xlfn.XLOOKUP(B276,'Base stats'!B:B,'Base stats'!BV:BV)/10000+0.01,0.01)
)</f>
        <v>0.28999999999999998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1.75</v>
      </c>
      <c r="S276" s="3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11</v>
      </c>
      <c r="T276" s="11">
        <f>IF(S276="No","No",
MROUND(_xlfn.XLOOKUP(B276,'Base stats'!B:B,'Base stats'!BH:BH) * 0.01 * 2 + 0.05, 0.05)
)</f>
        <v>2.25</v>
      </c>
      <c r="U276" s="5">
        <f>IF(S276="No","No",IF(_xlfn.XLOOKUP(B276,'Base stats'!B:B,'Base stats'!U:U)="No","No",
MROUND(_xlfn.XLOOKUP(B276,'Base stats'!B:B,'Base stats'!BT:BT)/10000+0.01,0.01)
))</f>
        <v>2.23</v>
      </c>
      <c r="V276" s="4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2.4500000000000002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0.15000000000000002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0.65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0.05</v>
      </c>
      <c r="AB276" s="18">
        <f>MROUND(250*(Animals!AO276+Animals!AP276),25)</f>
        <v>275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68.100000000000009</v>
      </c>
      <c r="H278" s="11">
        <f>IF(G278="No","No",
MROUND(_xlfn.XLOOKUP(B278,'Base stats'!B:B,'Base stats'!BH:BH) * 0.01 * 2 + 0.05, 0.05)
)</f>
        <v>86.75</v>
      </c>
      <c r="I278" s="11">
        <f>IF(G278="No","No",IF(_xlfn.XLOOKUP(B278,'Base stats'!B:B,'Base stats'!U:U)="No","No",
MROUND(_xlfn.XLOOKUP(B278,'Base stats'!B:B,'Base stats'!BT:BT)/10000+0.01,0.01)
))</f>
        <v>0.64</v>
      </c>
      <c r="J278" s="4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4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 t="str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No</v>
      </c>
      <c r="P278" s="11" t="str">
        <f>IF(O278="No","No",
MROUND(_xlfn.XLOOKUP(B278,'Base stats'!B:B,'Base stats'!BJ:BJ) * 0.01 * 2 + 0.05, 0.05)
)</f>
        <v>No</v>
      </c>
      <c r="Q278" s="5" t="str">
        <f>IF(O278="No","No",
MROUND(_xlfn.XLOOKUP(B278,'Base stats'!B:B,'Base stats'!BV:BV)/10000+0.01,0.01)
)</f>
        <v>No</v>
      </c>
      <c r="R278" s="4" t="str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No</v>
      </c>
      <c r="S278" s="3" t="str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No</v>
      </c>
      <c r="T278" s="11" t="str">
        <f>IF(S278="No","No",
MROUND(_xlfn.XLOOKUP(B278,'Base stats'!B:B,'Base stats'!BH:BH) * 0.01 * 2 + 0.05, 0.05)
)</f>
        <v>No</v>
      </c>
      <c r="U278" s="5" t="str">
        <f>IF(S278="No","No",IF(_xlfn.XLOOKUP(B278,'Base stats'!B:B,'Base stats'!U:U)="No","No",
MROUND(_xlfn.XLOOKUP(B278,'Base stats'!B:B,'Base stats'!BT:BT)/10000+0.01,0.01)
))</f>
        <v>No</v>
      </c>
      <c r="V278" s="4" t="str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No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16750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68.100000000000009</v>
      </c>
      <c r="H279" s="11">
        <f>IF(G279="No","No",
MROUND(_xlfn.XLOOKUP(B279,'Base stats'!B:B,'Base stats'!BH:BH) * 0.01 * 2 + 0.05, 0.05)
)</f>
        <v>86.75</v>
      </c>
      <c r="I279" s="11">
        <f>IF(G279="No","No",IF(_xlfn.XLOOKUP(B279,'Base stats'!B:B,'Base stats'!U:U)="No","No",
MROUND(_xlfn.XLOOKUP(B279,'Base stats'!B:B,'Base stats'!BT:BT)/10000+0.01,0.01)
))</f>
        <v>0.64</v>
      </c>
      <c r="J279" s="4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4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 t="str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No</v>
      </c>
      <c r="P279" s="11" t="str">
        <f>IF(O279="No","No",
MROUND(_xlfn.XLOOKUP(B279,'Base stats'!B:B,'Base stats'!BJ:BJ) * 0.01 * 2 + 0.05, 0.05)
)</f>
        <v>No</v>
      </c>
      <c r="Q279" s="5" t="str">
        <f>IF(O279="No","No",
MROUND(_xlfn.XLOOKUP(B279,'Base stats'!B:B,'Base stats'!BV:BV)/10000+0.01,0.01)
)</f>
        <v>No</v>
      </c>
      <c r="R279" s="4" t="str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No</v>
      </c>
      <c r="S279" s="3" t="str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No</v>
      </c>
      <c r="T279" s="11" t="str">
        <f>IF(S279="No","No",
MROUND(_xlfn.XLOOKUP(B279,'Base stats'!B:B,'Base stats'!BH:BH) * 0.01 * 2 + 0.05, 0.05)
)</f>
        <v>No</v>
      </c>
      <c r="U279" s="5" t="str">
        <f>IF(S279="No","No",IF(_xlfn.XLOOKUP(B279,'Base stats'!B:B,'Base stats'!U:U)="No","No",
MROUND(_xlfn.XLOOKUP(B279,'Base stats'!B:B,'Base stats'!BT:BT)/10000+0.01,0.01)
))</f>
        <v>No</v>
      </c>
      <c r="V279" s="4" t="str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No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16750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ferox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6.1000000000000005</v>
      </c>
      <c r="E280" s="11">
        <f>MROUND(_xlfn.XLOOKUP(B280,'Base stats'!B:B,'Base stats'!BG:BG) * 0.01 * 2 + 0.01, 0.05)</f>
        <v>5.4</v>
      </c>
      <c r="F280" s="7">
        <f>MROUND(_xlfn.XLOOKUP(B280,'Base stats'!B:B,'Base stats'!BD:BD)^0.25 / (_xlfn.XLOOKUP(B280,'Base stats'!B:B,'Base stats'!BK:BK) * 10) * 150 + 0.5 + _xlfn.XLOOKUP(B280,'Base stats'!B:B,'Base stats'!BW:BW), 0.05)</f>
        <v>2.2000000000000002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25.1</v>
      </c>
      <c r="P280" s="11">
        <f>IF(O280="No","No",
MROUND(_xlfn.XLOOKUP(B280,'Base stats'!B:B,'Base stats'!BJ:BJ) * 0.01 * 2 + 0.05, 0.05)
)</f>
        <v>12.3</v>
      </c>
      <c r="Q280" s="5">
        <f>IF(O280="No","No",
MROUND(_xlfn.XLOOKUP(B280,'Base stats'!B:B,'Base stats'!BV:BV)/10000+0.01,0.01)
)</f>
        <v>0.47000000000000003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21.3</v>
      </c>
      <c r="T280" s="11">
        <f>IF(S280="No","No",
MROUND(_xlfn.XLOOKUP(B280,'Base stats'!B:B,'Base stats'!BH:BH) * 0.01 * 2 + 0.05, 0.05)
)</f>
        <v>6.5500000000000007</v>
      </c>
      <c r="U280" s="5">
        <f>IF(S280="No","No",IF(_xlfn.XLOOKUP(B280,'Base stats'!B:B,'Base stats'!U:U)="No","No",
MROUND(_xlfn.XLOOKUP(B280,'Base stats'!B:B,'Base stats'!BT:BT)/10000+0.01,0.01)
))</f>
        <v>0.25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1.55</v>
      </c>
      <c r="W280" s="8">
        <f>MROUND(_xlfn.XLOOKUP(_xlfn.XLOOKUP(B280,'Base stats'!B:B,'Base stats'!E:E),Groups!A:A,Groups!BG:BG)*_xlfn.XLOOKUP(B280,'Base stats'!B:B,'Base stats'!C:C)^-0.165,0.05)</f>
        <v>0.5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0.14000000000000001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0.60000000000000009</v>
      </c>
      <c r="AB280" s="18">
        <f>MROUND(250*(Animals!AO280+Animals!AP280),25)</f>
        <v>1100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1</v>
      </c>
      <c r="E284" s="11">
        <f>MROUND(_xlfn.XLOOKUP(B284,'Base stats'!B:B,'Base stats'!BG:BG) * 0.01 * 2 + 0.01, 0.05)</f>
        <v>0.8</v>
      </c>
      <c r="F284" s="7">
        <f>MROUND(_xlfn.XLOOKUP(B284,'Base stats'!B:B,'Base stats'!BD:BD)^0.25 / (_xlfn.XLOOKUP(B284,'Base stats'!B:B,'Base stats'!BK:BK) * 10) * 150 + 0.5 + _xlfn.XLOOKUP(B284,'Base stats'!B:B,'Base stats'!BW:BW), 0.05)</f>
        <v>2.1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2</v>
      </c>
      <c r="T284" s="11">
        <f>IF(S284="No","No",
MROUND(_xlfn.XLOOKUP(B284,'Base stats'!B:B,'Base stats'!BH:BH) * 0.01 * 2 + 0.05, 0.05)
)</f>
        <v>0.95000000000000007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2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475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13.8</v>
      </c>
      <c r="P286" s="11">
        <f>IF(O286="No","No",
MROUND(_xlfn.XLOOKUP(B286,'Base stats'!B:B,'Base stats'!BJ:BJ) * 0.01 * 2 + 0.05, 0.05)
)</f>
        <v>2.3000000000000003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2.25</v>
      </c>
      <c r="S286" s="3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22.900000000000002</v>
      </c>
      <c r="T286" s="11">
        <f>IF(S286="No","No",
MROUND(_xlfn.XLOOKUP(B286,'Base stats'!B:B,'Base stats'!BH:BH) * 0.01 * 2 + 0.05, 0.05)
)</f>
        <v>6.5500000000000007</v>
      </c>
      <c r="U286" s="5">
        <f>IF(S286="No","No",IF(_xlfn.XLOOKUP(B286,'Base stats'!B:B,'Base stats'!U:U)="No","No",
MROUND(_xlfn.XLOOKUP(B286,'Base stats'!B:B,'Base stats'!BT:BT)/10000+0.01,0.01)
))</f>
        <v>0.25</v>
      </c>
      <c r="V286" s="4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1.6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16.2</v>
      </c>
      <c r="P287" s="11">
        <f>IF(O287="No","No",
MROUND(_xlfn.XLOOKUP(B287,'Base stats'!B:B,'Base stats'!BJ:BJ) * 0.01 * 2 + 0.05, 0.05)
)</f>
        <v>7.9</v>
      </c>
      <c r="Q287" s="5">
        <f>IF(O287="No","No",
MROUND(_xlfn.XLOOKUP(B287,'Base stats'!B:B,'Base stats'!BV:BV)/10000+0.01,0.01)
)</f>
        <v>0.18</v>
      </c>
      <c r="R287" s="4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2.6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0.1</v>
      </c>
      <c r="X287" s="1">
        <f>MROUND(_xlfn.XLOOKUP(_xlfn.XLOOKUP(B287,'Base stats'!B:B,'Base stats'!E:E),Groups!A:A,Groups!BH:BH)*_xlfn.XLOOKUP(B287,'Base stats'!B:B,'Base stats'!C:C)^0.165,0.05)</f>
        <v>0</v>
      </c>
      <c r="Y287" s="8">
        <f>MROUND(_xlfn.XLOOKUP(_xlfn.XLOOKUP(B287,'Base stats'!B:B,'Base stats'!E:E),Groups!A:A,Groups!BI:BI)*_xlfn.XLOOKUP(B287,'Base stats'!B:B,'Base stats'!C:C)^0.165,0.05)</f>
        <v>0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0.12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0.55000000000000004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QuadrupedLow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30</v>
      </c>
      <c r="E290" s="11">
        <f>MROUND(_xlfn.XLOOKUP(B290,'Base stats'!B:B,'Base stats'!BG:BG) * 0.01 * 2 + 0.01, 0.05)</f>
        <v>30.3</v>
      </c>
      <c r="F290" s="7">
        <f>MROUND(_xlfn.XLOOKUP(B290,'Base stats'!B:B,'Base stats'!BD:BD)^0.25 / (_xlfn.XLOOKUP(B290,'Base stats'!B:B,'Base stats'!BK:BK) * 10) * 150 + 0.5 + _xlfn.XLOOKUP(B290,'Base stats'!B:B,'Base stats'!BW:BW), 0.05)</f>
        <v>2.85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2.0500000000000003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1.6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0.70000000000000007</v>
      </c>
      <c r="E293" s="11">
        <f>MROUND(_xlfn.XLOOKUP(B293,'Base stats'!B:B,'Base stats'!BG:BG) * 0.01 * 2 + 0.01, 0.05)</f>
        <v>0.55000000000000004</v>
      </c>
      <c r="F293" s="7">
        <f>MROUND(_xlfn.XLOOKUP(B293,'Base stats'!B:B,'Base stats'!BD:BD)^0.25 / (_xlfn.XLOOKUP(B293,'Base stats'!B:B,'Base stats'!BK:BK) * 10) * 150 + 0.5 + _xlfn.XLOOKUP(B293,'Base stats'!B:B,'Base stats'!BW:BW), 0.05)</f>
        <v>2.3000000000000003</v>
      </c>
      <c r="G293" s="3" t="str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No</v>
      </c>
      <c r="H293" s="11" t="str">
        <f>IF(G293="No","No",
MROUND(_xlfn.XLOOKUP(B293,'Base stats'!B:B,'Base stats'!BH:BH) * 0.01 * 2 + 0.05, 0.05)
)</f>
        <v>No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 t="str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No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16.3</v>
      </c>
      <c r="P293" s="11">
        <f>IF(O293="No","No",
MROUND(_xlfn.XLOOKUP(B293,'Base stats'!B:B,'Base stats'!BJ:BJ) * 0.01 * 2 + 0.05, 0.05)
)</f>
        <v>4.8500000000000005</v>
      </c>
      <c r="Q293" s="5">
        <f>IF(O293="No","No",
MROUND(_xlfn.XLOOKUP(B293,'Base stats'!B:B,'Base stats'!BV:BV)/10000+0.01,0.01)
)</f>
        <v>0.37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1.6</v>
      </c>
      <c r="S293" s="3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1.4000000000000001</v>
      </c>
      <c r="T293" s="11">
        <f>IF(S293="No","No",
MROUND(_xlfn.XLOOKUP(B293,'Base stats'!B:B,'Base stats'!BH:BH) * 0.01 * 2 + 0.05, 0.05)
)</f>
        <v>0.70000000000000007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2</v>
      </c>
      <c r="W293" s="8">
        <f>MROUND(_xlfn.XLOOKUP(_xlfn.XLOOKUP(B293,'Base stats'!B:B,'Base stats'!E:E),Groups!A:A,Groups!BG:BG)*_xlfn.XLOOKUP(B293,'Base stats'!B:B,'Base stats'!C:C)^-0.165,0.05)</f>
        <v>0.15000000000000002</v>
      </c>
      <c r="X293" s="1">
        <f>MROUND(_xlfn.XLOOKUP(_xlfn.XLOOKUP(B293,'Base stats'!B:B,'Base stats'!E:E),Groups!A:A,Groups!BH:BH)*_xlfn.XLOOKUP(B293,'Base stats'!B:B,'Base stats'!C:C)^0.165,0.05)</f>
        <v>0.2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2.4000000000000004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23.05</v>
      </c>
      <c r="AB293" s="18">
        <f>MROUND(250*(Animals!AO293+Animals!AP293),25)</f>
        <v>400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60.900000000000006</v>
      </c>
      <c r="L294" s="11">
        <f>IF(K294="No","No",
MROUND(_xlfn.XLOOKUP(B294,'Base stats'!B:B,'Base stats'!BI:BI) * 0.01 *2 + 0.05, 0.05)
)</f>
        <v>67.3</v>
      </c>
      <c r="M294" s="5">
        <f>IF(K294="No","No",IF(_xlfn.XLOOKUP(_xlfn.XLOOKUP(B294,'Base stats'!B:B,'Base stats'!E:E),Groups!A:A,Groups!BD:BD)=1,"No",
MROUND(_xlfn.XLOOKUP(B294,'Base stats'!B:B,'Base stats'!BU:BU)/10000+0.01,0.01)
))</f>
        <v>2.8000000000000003</v>
      </c>
      <c r="N294" s="4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4.3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117.30000000000001</v>
      </c>
      <c r="P294" s="11">
        <f>IF(O294="No","No",
MROUND(_xlfn.XLOOKUP(B294,'Base stats'!B:B,'Base stats'!BJ:BJ) * 0.01 * 2 + 0.05, 0.05)
)</f>
        <v>300.10000000000002</v>
      </c>
      <c r="Q294" s="5">
        <f>IF(O294="No","No",
MROUND(_xlfn.XLOOKUP(B294,'Base stats'!B:B,'Base stats'!BV:BV)/10000+0.01,0.01)
)</f>
        <v>26.82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2.4500000000000002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77.800000000000011</v>
      </c>
      <c r="T294" s="11">
        <f>IF(S294="No","No",
MROUND(_xlfn.XLOOKUP(B294,'Base stats'!B:B,'Base stats'!BH:BH) * 0.01 * 2 + 0.05, 0.05)
)</f>
        <v>56.1</v>
      </c>
      <c r="U294" s="5" t="str">
        <f>IF(S294="No","No",IF(_xlfn.XLOOKUP(B294,'Base stats'!B:B,'Base stats'!U:U)="No","No",
MROUND(_xlfn.XLOOKUP(B294,'Base stats'!B:B,'Base stats'!BT:BT)/10000+0.01,0.01)
))</f>
        <v>No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3.1500000000000004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1.1000000000000001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3300</v>
      </c>
      <c r="AC294" s="18" t="str">
        <f>_xlfn.XLOOKUP(_xlfn.XLOOKUP(B294,'Base stats'!B:B,'Base stats'!E:E),Groups!A:A,Groups!BJ:BJ)</f>
        <v>Quadruped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220.10000000000002</v>
      </c>
      <c r="P295" s="11">
        <f>IF(O295="No","No",
MROUND(_xlfn.XLOOKUP(B295,'Base stats'!B:B,'Base stats'!BJ:BJ) * 0.01 * 2 + 0.05, 0.05)
)</f>
        <v>1793.65</v>
      </c>
      <c r="Q295" s="5">
        <f>IF(O295="No","No",
MROUND(_xlfn.XLOOKUP(B295,'Base stats'!B:B,'Base stats'!BV:BV)/10000+0.01,0.01)
)</f>
        <v>52.870000000000005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4.75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0.60000000000000009</v>
      </c>
      <c r="E301" s="11">
        <f>MROUND(_xlfn.XLOOKUP(B301,'Base stats'!B:B,'Base stats'!BG:BG) * 0.01 * 2 + 0.01, 0.05)</f>
        <v>0.5</v>
      </c>
      <c r="F301" s="7">
        <f>MROUND(_xlfn.XLOOKUP(B301,'Base stats'!B:B,'Base stats'!BD:BD)^0.25 / (_xlfn.XLOOKUP(B301,'Base stats'!B:B,'Base stats'!BK:BK) * 10) * 150 + 0.5 + _xlfn.XLOOKUP(B301,'Base stats'!B:B,'Base stats'!BW:BW), 0.05)</f>
        <v>1.9500000000000002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str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No</v>
      </c>
      <c r="L301" s="11" t="str">
        <f>IF(K301="No","No",
MROUND(_xlfn.XLOOKUP(B301,'Base stats'!B:B,'Base stats'!BI:BI) * 0.01 *2 + 0.05, 0.05)
)</f>
        <v>No</v>
      </c>
      <c r="M301" s="5" t="str">
        <f>IF(K301="No","No",IF(_xlfn.XLOOKUP(_xlfn.XLOOKUP(B301,'Base stats'!B:B,'Base stats'!E:E),Groups!A:A,Groups!BD:BD)=1,"No",
MROUND(_xlfn.XLOOKUP(B301,'Base stats'!B:B,'Base stats'!BU:BU)/10000+0.01,0.01)
))</f>
        <v>No</v>
      </c>
      <c r="N301" s="4" t="str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No</v>
      </c>
      <c r="O301" s="3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15.5</v>
      </c>
      <c r="P301" s="11">
        <f>IF(O301="No","No",
MROUND(_xlfn.XLOOKUP(B301,'Base stats'!B:B,'Base stats'!BJ:BJ) * 0.01 * 2 + 0.05, 0.05)
)</f>
        <v>4.4000000000000004</v>
      </c>
      <c r="Q301" s="5">
        <f>IF(O301="No","No",
MROUND(_xlfn.XLOOKUP(B301,'Base stats'!B:B,'Base stats'!BV:BV)/10000+0.01,0.01)
)</f>
        <v>0.36</v>
      </c>
      <c r="R301" s="4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1.35</v>
      </c>
      <c r="S301" s="3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1.3</v>
      </c>
      <c r="T301" s="11">
        <f>IF(S301="No","No",
MROUND(_xlfn.XLOOKUP(B301,'Base stats'!B:B,'Base stats'!BH:BH) * 0.01 * 2 + 0.05, 0.05)
)</f>
        <v>0.65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1.9500000000000002</v>
      </c>
      <c r="W301" s="8">
        <f>MROUND(_xlfn.XLOOKUP(_xlfn.XLOOKUP(B301,'Base stats'!B:B,'Base stats'!E:E),Groups!A:A,Groups!BG:BG)*_xlfn.XLOOKUP(B301,'Base stats'!B:B,'Base stats'!C:C)^-0.165,0.05)</f>
        <v>0.15000000000000002</v>
      </c>
      <c r="X301" s="1">
        <f>MROUND(_xlfn.XLOOKUP(_xlfn.XLOOKUP(B301,'Base stats'!B:B,'Base stats'!E:E),Groups!A:A,Groups!BH:BH)*_xlfn.XLOOKUP(B301,'Base stats'!B:B,'Base stats'!C:C)^0.165,0.05)</f>
        <v>0.2</v>
      </c>
      <c r="Y301" s="8">
        <f>MROUND(_xlfn.XLOOKUP(_xlfn.XLOOKUP(B301,'Base stats'!B:B,'Base stats'!E:E),Groups!A:A,Groups!BI:BI)*_xlfn.XLOOKUP(B301,'Base stats'!B:B,'Base stats'!C:C)^0.165,0.05)</f>
        <v>0.05</v>
      </c>
      <c r="Z301" s="18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2.3000000000000003</v>
      </c>
      <c r="AA301" s="18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22</v>
      </c>
      <c r="AB301" s="18">
        <f>MROUND(250*(Animals!AO301+Animals!AP301),25)</f>
        <v>375</v>
      </c>
      <c r="AC301" s="18" t="str">
        <f>_xlfn.XLOOKUP(_xlfn.XLOOKUP(B301,'Base stats'!B:B,'Base stats'!E:E),Groups!A:A,Groups!BJ:BJ)</f>
        <v>Birdlike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0.60000000000000009</v>
      </c>
      <c r="E302" s="11">
        <f>MROUND(_xlfn.XLOOKUP(B302,'Base stats'!B:B,'Base stats'!BG:BG) * 0.01 * 2 + 0.01, 0.05)</f>
        <v>0.5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1.9500000000000002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str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No</v>
      </c>
      <c r="L302" s="11" t="str">
        <f>IF(K302="No","No",
MROUND(_xlfn.XLOOKUP(B302,'Base stats'!B:B,'Base stats'!BI:BI) * 0.01 *2 + 0.05, 0.05)
)</f>
        <v>No</v>
      </c>
      <c r="M302" s="5" t="str">
        <f>IF(K302="No","No",IF(_xlfn.XLOOKUP(_xlfn.XLOOKUP(B302,'Base stats'!B:B,'Base stats'!E:E),Groups!A:A,Groups!BD:BD)=1,"No",
MROUND(_xlfn.XLOOKUP(B302,'Base stats'!B:B,'Base stats'!BU:BU)/10000+0.01,0.01)
))</f>
        <v>No</v>
      </c>
      <c r="N302" s="4" t="str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No</v>
      </c>
      <c r="O302" s="3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15.5</v>
      </c>
      <c r="P302" s="11">
        <f>IF(O302="No","No",
MROUND(_xlfn.XLOOKUP(B302,'Base stats'!B:B,'Base stats'!BJ:BJ) * 0.01 * 2 + 0.05, 0.05)
)</f>
        <v>4.4000000000000004</v>
      </c>
      <c r="Q302" s="5">
        <f>IF(O302="No","No",
MROUND(_xlfn.XLOOKUP(B302,'Base stats'!B:B,'Base stats'!BV:BV)/10000+0.01,0.01)
)</f>
        <v>0.36</v>
      </c>
      <c r="R302" s="4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1.35</v>
      </c>
      <c r="S302" s="3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1.3</v>
      </c>
      <c r="T302" s="11">
        <f>IF(S302="No","No",
MROUND(_xlfn.XLOOKUP(B302,'Base stats'!B:B,'Base stats'!BH:BH) * 0.01 * 2 + 0.05, 0.05)
)</f>
        <v>0.65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1.9500000000000002</v>
      </c>
      <c r="W302" s="8">
        <f>MROUND(_xlfn.XLOOKUP(_xlfn.XLOOKUP(B302,'Base stats'!B:B,'Base stats'!E:E),Groups!A:A,Groups!BG:BG)*_xlfn.XLOOKUP(B302,'Base stats'!B:B,'Base stats'!C:C)^-0.165,0.05)</f>
        <v>0.15000000000000002</v>
      </c>
      <c r="X302" s="1">
        <f>MROUND(_xlfn.XLOOKUP(_xlfn.XLOOKUP(B302,'Base stats'!B:B,'Base stats'!E:E),Groups!A:A,Groups!BH:BH)*_xlfn.XLOOKUP(B302,'Base stats'!B:B,'Base stats'!C:C)^0.165,0.05)</f>
        <v>0.2</v>
      </c>
      <c r="Y302" s="8">
        <f>MROUND(_xlfn.XLOOKUP(_xlfn.XLOOKUP(B302,'Base stats'!B:B,'Base stats'!E:E),Groups!A:A,Groups!BI:BI)*_xlfn.XLOOKUP(B302,'Base stats'!B:B,'Base stats'!C:C)^0.165,0.05)</f>
        <v>0.05</v>
      </c>
      <c r="Z302" s="18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2.3000000000000003</v>
      </c>
      <c r="AA302" s="18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22</v>
      </c>
      <c r="AB302" s="18">
        <f>MROUND(250*(Animals!AO302+Animals!AP302),25)</f>
        <v>375</v>
      </c>
      <c r="AC302" s="18" t="str">
        <f>_xlfn.XLOOKUP(_xlfn.XLOOKUP(B302,'Base stats'!B:B,'Base stats'!E:E),Groups!A:A,Groups!BJ:BJ)</f>
        <v>Birdlike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0.03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2.0500000000000003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0.25</v>
      </c>
      <c r="Y303" s="8">
        <f>MROUND(_xlfn.XLOOKUP(_xlfn.XLOOKUP(B303,'Base stats'!B:B,'Base stats'!E:E),Groups!A:A,Groups!BI:BI)*_xlfn.XLOOKUP(B303,'Base stats'!B:B,'Base stats'!C:C)^0.165,0.05)</f>
        <v>0.05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Crepiscuequs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Crepiscuovis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ferox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2.4000000000000004</v>
      </c>
      <c r="E306" s="11">
        <f>MROUND(_xlfn.XLOOKUP(B306,'Base stats'!B:B,'Base stats'!BG:BG) * 0.01 * 2 + 0.01, 0.05)</f>
        <v>2</v>
      </c>
      <c r="F306" s="7">
        <f>MROUND(_xlfn.XLOOKUP(B306,'Base stats'!B:B,'Base stats'!BD:BD)^0.25 / (_xlfn.XLOOKUP(B306,'Base stats'!B:B,'Base stats'!BK:BK) * 10) * 150 + 0.5 + _xlfn.XLOOKUP(B306,'Base stats'!B:B,'Base stats'!BW:BW), 0.05)</f>
        <v>2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18.3</v>
      </c>
      <c r="P306" s="11">
        <f>IF(O306="No","No",
MROUND(_xlfn.XLOOKUP(B306,'Base stats'!B:B,'Base stats'!BJ:BJ) * 0.01 * 2 + 0.05, 0.05)
)</f>
        <v>7.45</v>
      </c>
      <c r="Q306" s="5">
        <f>IF(O306="No","No",
MROUND(_xlfn.XLOOKUP(B306,'Base stats'!B:B,'Base stats'!BV:BV)/10000+0.01,0.01)
)</f>
        <v>0.44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2.2000000000000002</v>
      </c>
      <c r="S306" s="3" t="str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No</v>
      </c>
      <c r="T306" s="11" t="str">
        <f>IF(S306="No","No",
MROUND(_xlfn.XLOOKUP(B306,'Base stats'!B:B,'Base stats'!BH:BH) * 0.01 * 2 + 0.05, 0.05)
)</f>
        <v>No</v>
      </c>
      <c r="U306" s="5" t="str">
        <f>IF(S306="No","No",IF(_xlfn.XLOOKUP(B306,'Base stats'!B:B,'Base stats'!U:U)="No","No",
MROUND(_xlfn.XLOOKUP(B306,'Base stats'!B:B,'Base stats'!BT:BT)/10000+0.01,0.01)
))</f>
        <v>No</v>
      </c>
      <c r="V306" s="4" t="str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No</v>
      </c>
      <c r="W306" s="8">
        <f>MROUND(_xlfn.XLOOKUP(_xlfn.XLOOKUP(B306,'Base stats'!B:B,'Base stats'!E:E),Groups!A:A,Groups!BG:BG)*_xlfn.XLOOKUP(B306,'Base stats'!B:B,'Base stats'!C:C)^-0.165,0.05)</f>
        <v>0.5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0.09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575</v>
      </c>
      <c r="AC306" s="18" t="str">
        <f>_xlfn.XLOOKUP(_xlfn.XLOOKUP(B306,'Base stats'!B:B,'Base stats'!E:E),Groups!A:A,Groups!BJ:BJ)</f>
        <v>Quadruped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0.4</v>
      </c>
      <c r="E307" s="11">
        <f>MROUND(_xlfn.XLOOKUP(B307,'Base stats'!B:B,'Base stats'!BG:BG) * 0.01 * 2 + 0.01, 0.05)</f>
        <v>0.30000000000000004</v>
      </c>
      <c r="F307" s="7">
        <f>MROUND(_xlfn.XLOOKUP(B307,'Base stats'!B:B,'Base stats'!BD:BD)^0.25 / (_xlfn.XLOOKUP(B307,'Base stats'!B:B,'Base stats'!BK:BK) * 10) * 150 + 0.5 + _xlfn.XLOOKUP(B307,'Base stats'!B:B,'Base stats'!BW:BW), 0.05)</f>
        <v>1.9500000000000002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str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No</v>
      </c>
      <c r="L307" s="11" t="str">
        <f>IF(K307="No","No",
MROUND(_xlfn.XLOOKUP(B307,'Base stats'!B:B,'Base stats'!BI:BI) * 0.01 *2 + 0.05, 0.05)
)</f>
        <v>No</v>
      </c>
      <c r="M307" s="5" t="str">
        <f>IF(K307="No","No",IF(_xlfn.XLOOKUP(_xlfn.XLOOKUP(B307,'Base stats'!B:B,'Base stats'!E:E),Groups!A:A,Groups!BD:BD)=1,"No",
MROUND(_xlfn.XLOOKUP(B307,'Base stats'!B:B,'Base stats'!BU:BU)/10000+0.01,0.01)
))</f>
        <v>No</v>
      </c>
      <c r="N307" s="4" t="str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No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0.8</v>
      </c>
      <c r="T307" s="11">
        <f>IF(S307="No","No",
MROUND(_xlfn.XLOOKUP(B307,'Base stats'!B:B,'Base stats'!BH:BH) * 0.01 * 2 + 0.05, 0.05)
)</f>
        <v>0.4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1.9000000000000001</v>
      </c>
      <c r="W307" s="8">
        <f>MROUND(_xlfn.XLOOKUP(_xlfn.XLOOKUP(B307,'Base stats'!B:B,'Base stats'!E:E),Groups!A:A,Groups!BG:BG)*_xlfn.XLOOKUP(B307,'Base stats'!B:B,'Base stats'!C:C)^-0.165,0.05)</f>
        <v>0.15000000000000002</v>
      </c>
      <c r="X307" s="1">
        <f>MROUND(_xlfn.XLOOKUP(_xlfn.XLOOKUP(B307,'Base stats'!B:B,'Base stats'!E:E),Groups!A:A,Groups!BH:BH)*_xlfn.XLOOKUP(B307,'Base stats'!B:B,'Base stats'!C:C)^0.165,0.05)</f>
        <v>0.15000000000000002</v>
      </c>
      <c r="Y307" s="8">
        <f>MROUND(_xlfn.XLOOKUP(_xlfn.XLOOKUP(B307,'Base stats'!B:B,'Base stats'!E:E),Groups!A:A,Groups!BI:BI)*_xlfn.XLOOKUP(B307,'Base stats'!B:B,'Base stats'!C:C)^0.165,0.05)</f>
        <v>0.05</v>
      </c>
      <c r="Z307" s="18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0.04</v>
      </c>
      <c r="AA307" s="18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0.2</v>
      </c>
      <c r="AB307" s="18">
        <f>MROUND(250*(Animals!AO307+Animals!AP307),25)</f>
        <v>275</v>
      </c>
      <c r="AC307" s="18" t="str">
        <f>_xlfn.XLOOKUP(_xlfn.XLOOKUP(B307,'Base stats'!B:B,'Base stats'!E:E),Groups!A:A,Groups!BJ:BJ)</f>
        <v>Birdlike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2.4000000000000004</v>
      </c>
      <c r="E308" s="11">
        <f>MROUND(_xlfn.XLOOKUP(B308,'Base stats'!B:B,'Base stats'!BG:BG) * 0.01 * 2 + 0.01, 0.05)</f>
        <v>2</v>
      </c>
      <c r="F308" s="7">
        <f>MROUND(_xlfn.XLOOKUP(B308,'Base stats'!B:B,'Base stats'!BD:BD)^0.25 / (_xlfn.XLOOKUP(B308,'Base stats'!B:B,'Base stats'!BK:BK) * 10) * 150 + 0.5 + _xlfn.XLOOKUP(B308,'Base stats'!B:B,'Base stats'!BW:BW), 0.05)</f>
        <v>2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str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No</v>
      </c>
      <c r="L308" s="11" t="str">
        <f>IF(K308="No","No",
MROUND(_xlfn.XLOOKUP(B308,'Base stats'!B:B,'Base stats'!BI:BI) * 0.01 *2 + 0.05, 0.05)
)</f>
        <v>No</v>
      </c>
      <c r="M308" s="5" t="str">
        <f>IF(K308="No","No",IF(_xlfn.XLOOKUP(_xlfn.XLOOKUP(B308,'Base stats'!B:B,'Base stats'!E:E),Groups!A:A,Groups!BD:BD)=1,"No",
MROUND(_xlfn.XLOOKUP(B308,'Base stats'!B:B,'Base stats'!BU:BU)/10000+0.01,0.01)
))</f>
        <v>No</v>
      </c>
      <c r="N308" s="4" t="str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No</v>
      </c>
      <c r="O308" s="3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18.3</v>
      </c>
      <c r="P308" s="11">
        <f>IF(O308="No","No",
MROUND(_xlfn.XLOOKUP(B308,'Base stats'!B:B,'Base stats'!BJ:BJ) * 0.01 * 2 + 0.05, 0.05)
)</f>
        <v>7.45</v>
      </c>
      <c r="Q308" s="5">
        <f>IF(O308="No","No",
MROUND(_xlfn.XLOOKUP(B308,'Base stats'!B:B,'Base stats'!BV:BV)/10000+0.01,0.01)
)</f>
        <v>0.44</v>
      </c>
      <c r="R308" s="4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2.2000000000000002</v>
      </c>
      <c r="S308" s="3" t="str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No</v>
      </c>
      <c r="T308" s="11" t="str">
        <f>IF(S308="No","No",
MROUND(_xlfn.XLOOKUP(B308,'Base stats'!B:B,'Base stats'!BH:BH) * 0.01 * 2 + 0.05, 0.05)
)</f>
        <v>No</v>
      </c>
      <c r="U308" s="5" t="str">
        <f>IF(S308="No","No",IF(_xlfn.XLOOKUP(B308,'Base stats'!B:B,'Base stats'!U:U)="No","No",
MROUND(_xlfn.XLOOKUP(B308,'Base stats'!B:B,'Base stats'!BT:BT)/10000+0.01,0.01)
))</f>
        <v>No</v>
      </c>
      <c r="V308" s="4" t="str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No</v>
      </c>
      <c r="W308" s="8">
        <f>MROUND(_xlfn.XLOOKUP(_xlfn.XLOOKUP(B308,'Base stats'!B:B,'Base stats'!E:E),Groups!A:A,Groups!BG:BG)*_xlfn.XLOOKUP(B308,'Base stats'!B:B,'Base stats'!C:C)^-0.165,0.05)</f>
        <v>0.5</v>
      </c>
      <c r="X308" s="1">
        <f>MROUND(_xlfn.XLOOKUP(_xlfn.XLOOKUP(B308,'Base stats'!B:B,'Base stats'!E:E),Groups!A:A,Groups!BH:BH)*_xlfn.XLOOKUP(B308,'Base stats'!B:B,'Base stats'!C:C)^0.165,0.05)</f>
        <v>0.4</v>
      </c>
      <c r="Y308" s="8">
        <f>MROUND(_xlfn.XLOOKUP(_xlfn.XLOOKUP(B308,'Base stats'!B:B,'Base stats'!E:E),Groups!A:A,Groups!BI:BI)*_xlfn.XLOOKUP(B308,'Base stats'!B:B,'Base stats'!C:C)^0.165,0.05)</f>
        <v>0.05</v>
      </c>
      <c r="Z308" s="18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0.09</v>
      </c>
      <c r="AA308" s="18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0.4</v>
      </c>
      <c r="AB308" s="18">
        <f>MROUND(250*(Animals!AO308+Animals!AP308),25)</f>
        <v>575</v>
      </c>
      <c r="AC308" s="18" t="str">
        <f>_xlfn.XLOOKUP(_xlfn.XLOOKUP(B308,'Base stats'!B:B,'Base stats'!E:E),Groups!A:A,Groups!BJ:BJ)</f>
        <v>Quadruped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Megacancer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0.5</v>
      </c>
      <c r="E310" s="11">
        <f>MROUND(_xlfn.XLOOKUP(B310,'Base stats'!B:B,'Base stats'!BG:BG) * 0.01 * 2 + 0.01, 0.05)</f>
        <v>0.4</v>
      </c>
      <c r="F310" s="7">
        <f>MROUND(_xlfn.XLOOKUP(B310,'Base stats'!B:B,'Base stats'!BD:BD)^0.25 / (_xlfn.XLOOKUP(B310,'Base stats'!B:B,'Base stats'!BK:BK) * 10) * 150 + 0.5 + _xlfn.XLOOKUP(B310,'Base stats'!B:B,'Base stats'!BW:BW), 0.05)</f>
        <v>1.85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str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No</v>
      </c>
      <c r="L310" s="11" t="str">
        <f>IF(K310="No","No",
MROUND(_xlfn.XLOOKUP(B310,'Base stats'!B:B,'Base stats'!BI:BI) * 0.01 *2 + 0.05, 0.05)
)</f>
        <v>No</v>
      </c>
      <c r="M310" s="5" t="str">
        <f>IF(K310="No","No",IF(_xlfn.XLOOKUP(_xlfn.XLOOKUP(B310,'Base stats'!B:B,'Base stats'!E:E),Groups!A:A,Groups!BD:BD)=1,"No",
MROUND(_xlfn.XLOOKUP(B310,'Base stats'!B:B,'Base stats'!BU:BU)/10000+0.01,0.01)
))</f>
        <v>No</v>
      </c>
      <c r="N310" s="4" t="str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No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10</v>
      </c>
      <c r="T310" s="11">
        <f>IF(S310="No","No",
MROUND(_xlfn.XLOOKUP(B310,'Base stats'!B:B,'Base stats'!BH:BH) * 0.01 * 2 + 0.05, 0.05)
)</f>
        <v>2.7</v>
      </c>
      <c r="U310" s="5">
        <f>IF(S310="No","No",IF(_xlfn.XLOOKUP(B310,'Base stats'!B:B,'Base stats'!U:U)="No","No",
MROUND(_xlfn.XLOOKUP(B310,'Base stats'!B:B,'Base stats'!BT:BT)/10000+0.01,0.01)
))</f>
        <v>0.25</v>
      </c>
      <c r="V310" s="4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2.7</v>
      </c>
      <c r="W310" s="8">
        <f>MROUND(_xlfn.XLOOKUP(_xlfn.XLOOKUP(B310,'Base stats'!B:B,'Base stats'!E:E),Groups!A:A,Groups!BG:BG)*_xlfn.XLOOKUP(B310,'Base stats'!B:B,'Base stats'!C:C)^-0.165,0.05)</f>
        <v>0.15000000000000002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0.88</v>
      </c>
      <c r="AA310" s="18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0</v>
      </c>
      <c r="AB310" s="18">
        <f>MROUND(250*(Animals!AO310+Animals!AP310),25)</f>
        <v>325</v>
      </c>
      <c r="AC310" s="18" t="str">
        <f>_xlfn.XLOOKUP(_xlfn.XLOOKUP(B310,'Base stats'!B:B,'Base stats'!E:E),Groups!A:A,Groups!BJ:BJ)</f>
        <v>Quadruped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7.1000000000000005</v>
      </c>
      <c r="H311" s="11">
        <f>IF(G311="No","No",
MROUND(_xlfn.XLOOKUP(B311,'Base stats'!B:B,'Base stats'!BH:BH) * 0.01 * 2 + 0.05, 0.05)
)</f>
        <v>0.85000000000000009</v>
      </c>
      <c r="I311" s="11">
        <f>IF(G311="No","No",IF(_xlfn.XLOOKUP(B311,'Base stats'!B:B,'Base stats'!U:U)="No","No",
MROUND(_xlfn.XLOOKUP(B311,'Base stats'!B:B,'Base stats'!BT:BT)/10000+0.01,0.01)
))</f>
        <v>0.09</v>
      </c>
      <c r="J311" s="4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1.9000000000000001</v>
      </c>
      <c r="K311" s="3" t="str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No</v>
      </c>
      <c r="L311" s="11" t="str">
        <f>IF(K311="No","No",
MROUND(_xlfn.XLOOKUP(B311,'Base stats'!B:B,'Base stats'!BI:BI) * 0.01 *2 + 0.05, 0.05)
)</f>
        <v>No</v>
      </c>
      <c r="M311" s="5" t="str">
        <f>IF(K311="No","No",IF(_xlfn.XLOOKUP(_xlfn.XLOOKUP(B311,'Base stats'!B:B,'Base stats'!E:E),Groups!A:A,Groups!BD:BD)=1,"No",
MROUND(_xlfn.XLOOKUP(B311,'Base stats'!B:B,'Base stats'!BU:BU)/10000+0.01,0.01)
))</f>
        <v>No</v>
      </c>
      <c r="N311" s="4" t="str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No</v>
      </c>
      <c r="O311" s="3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3.6</v>
      </c>
      <c r="P311" s="11">
        <f>IF(O311="No","No",
MROUND(_xlfn.XLOOKUP(B311,'Base stats'!B:B,'Base stats'!BJ:BJ) * 0.01 * 2 + 0.05, 0.05)
)</f>
        <v>0.35000000000000003</v>
      </c>
      <c r="Q311" s="5">
        <f>IF(O311="No","No",
MROUND(_xlfn.XLOOKUP(B311,'Base stats'!B:B,'Base stats'!BV:BV)/10000+0.01,0.01)
)</f>
        <v>0.04</v>
      </c>
      <c r="R311" s="4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2.0500000000000003</v>
      </c>
      <c r="S311" s="3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7.1000000000000005</v>
      </c>
      <c r="T311" s="11">
        <f>IF(S311="No","No",
MROUND(_xlfn.XLOOKUP(B311,'Base stats'!B:B,'Base stats'!BH:BH) * 0.01 * 2 + 0.05, 0.05)
)</f>
        <v>0.85000000000000009</v>
      </c>
      <c r="U311" s="5">
        <f>IF(S311="No","No",IF(_xlfn.XLOOKUP(B311,'Base stats'!B:B,'Base stats'!U:U)="No","No",
MROUND(_xlfn.XLOOKUP(B311,'Base stats'!B:B,'Base stats'!BT:BT)/10000+0.01,0.01)
))</f>
        <v>0.09</v>
      </c>
      <c r="V311" s="4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1.35</v>
      </c>
      <c r="W311" s="8">
        <f>MROUND(_xlfn.XLOOKUP(_xlfn.XLOOKUP(B311,'Base stats'!B:B,'Base stats'!E:E),Groups!A:A,Groups!BG:BG)*_xlfn.XLOOKUP(B311,'Base stats'!B:B,'Base stats'!C:C)^-0.165,0.05)</f>
        <v>0.45</v>
      </c>
      <c r="X311" s="1">
        <f>MROUND(_xlfn.XLOOKUP(_xlfn.XLOOKUP(B311,'Base stats'!B:B,'Base stats'!E:E),Groups!A:A,Groups!BH:BH)*_xlfn.XLOOKUP(B311,'Base stats'!B:B,'Base stats'!C:C)^0.165,0.05)</f>
        <v>0.35000000000000003</v>
      </c>
      <c r="Y311" s="8">
        <f>MROUND(_xlfn.XLOOKUP(_xlfn.XLOOKUP(B311,'Base stats'!B:B,'Base stats'!E:E),Groups!A:A,Groups!BI:BI)*_xlfn.XLOOKUP(B311,'Base stats'!B:B,'Base stats'!C:C)^0.165,0.05)</f>
        <v>0.05</v>
      </c>
      <c r="Z311" s="18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0.05</v>
      </c>
      <c r="AA311" s="18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0.1</v>
      </c>
      <c r="AB311" s="18">
        <f>MROUND(250*(Animals!AO311+Animals!AP311),25)</f>
        <v>300</v>
      </c>
      <c r="AC311" s="18" t="str">
        <f>_xlfn.XLOOKUP(_xlfn.XLOOKUP(B311,'Base stats'!B:B,'Base stats'!E:E),Groups!A:A,Groups!BJ:BJ)</f>
        <v>Birdlike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Feliscopus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0.4</v>
      </c>
      <c r="E313" s="11">
        <f>MROUND(_xlfn.XLOOKUP(B313,'Base stats'!B:B,'Base stats'!BG:BG) * 0.01 * 2 + 0.01, 0.05)</f>
        <v>0.30000000000000004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str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No</v>
      </c>
      <c r="L313" s="11" t="str">
        <f>IF(K313="No","No",
MROUND(_xlfn.XLOOKUP(B313,'Base stats'!B:B,'Base stats'!BI:BI) * 0.01 *2 + 0.05, 0.05)
)</f>
        <v>No</v>
      </c>
      <c r="M313" s="5" t="str">
        <f>IF(K313="No","No",IF(_xlfn.XLOOKUP(_xlfn.XLOOKUP(B313,'Base stats'!B:B,'Base stats'!E:E),Groups!A:A,Groups!BD:BD)=1,"No",
MROUND(_xlfn.XLOOKUP(B313,'Base stats'!B:B,'Base stats'!BU:BU)/10000+0.01,0.01)
))</f>
        <v>No</v>
      </c>
      <c r="N313" s="4" t="str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No</v>
      </c>
      <c r="O313" s="3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4.3</v>
      </c>
      <c r="P313" s="11">
        <f>IF(O313="No","No",
MROUND(_xlfn.XLOOKUP(B313,'Base stats'!B:B,'Base stats'!BJ:BJ) * 0.01 * 2 + 0.05, 0.05)
)</f>
        <v>0.60000000000000009</v>
      </c>
      <c r="Q313" s="5">
        <f>IF(O313="No","No",
MROUND(_xlfn.XLOOKUP(B313,'Base stats'!B:B,'Base stats'!BV:BV)/10000+0.01,0.01)
)</f>
        <v>7.0000000000000007E-2</v>
      </c>
      <c r="R313" s="4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2.25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0.15000000000000002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0.81</v>
      </c>
      <c r="AA313" s="18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0</v>
      </c>
      <c r="AB313" s="18">
        <f>MROUND(250*(Animals!AO313+Animals!AP313),25)</f>
        <v>275</v>
      </c>
      <c r="AC313" s="18" t="str">
        <f>_xlfn.XLOOKUP(_xlfn.XLOOKUP(B313,'Base stats'!B:B,'Base stats'!E:E),Groups!A:A,Groups!BJ:BJ)</f>
        <v>QuadrupedLow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1.85</v>
      </c>
      <c r="G314" s="3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14.9</v>
      </c>
      <c r="H314" s="11">
        <f>IF(G314="No","No",
MROUND(_xlfn.XLOOKUP(B314,'Base stats'!B:B,'Base stats'!BH:BH) * 0.01 * 2 + 0.05, 0.05)
)</f>
        <v>9.5500000000000007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2.7</v>
      </c>
      <c r="K314" s="3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28</v>
      </c>
      <c r="L314" s="11">
        <f>IF(K314="No","No",
MROUND(_xlfn.XLOOKUP(B314,'Base stats'!B:B,'Base stats'!BI:BI) * 0.01 *2 + 0.05, 0.05)
)</f>
        <v>11.4</v>
      </c>
      <c r="M314" s="5">
        <f>IF(K314="No","No",IF(_xlfn.XLOOKUP(_xlfn.XLOOKUP(B314,'Base stats'!B:B,'Base stats'!E:E),Groups!A:A,Groups!BD:BD)=1,"No",
MROUND(_xlfn.XLOOKUP(B314,'Base stats'!B:B,'Base stats'!BU:BU)/10000+0.01,0.01)
))</f>
        <v>0.64</v>
      </c>
      <c r="N314" s="4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3.1500000000000004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0.2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0.1</v>
      </c>
      <c r="AA314" s="18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0.4</v>
      </c>
      <c r="AB314" s="18">
        <f>MROUND(250*(Animals!AO314+Animals!AP314),25)</f>
        <v>1250</v>
      </c>
      <c r="AC314" s="18" t="str">
        <f>_xlfn.XLOOKUP(_xlfn.XLOOKUP(B314,'Base stats'!B:B,'Base stats'!E:E),Groups!A:A,Groups!BJ:BJ)</f>
        <v>Quadruped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9.43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Salvator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2.3000000000000003</v>
      </c>
      <c r="E318" s="11">
        <f>MROUND(_xlfn.XLOOKUP(B318,'Base stats'!B:B,'Base stats'!BG:BG) * 0.01 * 2 + 0.01, 0.05)</f>
        <v>1.9000000000000001</v>
      </c>
      <c r="F318" s="7">
        <f>MROUND(_xlfn.XLOOKUP(B318,'Base stats'!B:B,'Base stats'!BD:BD)^0.25 / (_xlfn.XLOOKUP(B318,'Base stats'!B:B,'Base stats'!BK:BK) * 10) * 150 + 0.5 + _xlfn.XLOOKUP(B318,'Base stats'!B:B,'Base stats'!BW:BW), 0.05)</f>
        <v>1.9500000000000002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str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No</v>
      </c>
      <c r="L318" s="11" t="str">
        <f>IF(K318="No","No",
MROUND(_xlfn.XLOOKUP(B318,'Base stats'!B:B,'Base stats'!BI:BI) * 0.01 *2 + 0.05, 0.05)
)</f>
        <v>No</v>
      </c>
      <c r="M318" s="5" t="str">
        <f>IF(K318="No","No",IF(_xlfn.XLOOKUP(_xlfn.XLOOKUP(B318,'Base stats'!B:B,'Base stats'!E:E),Groups!A:A,Groups!BD:BD)=1,"No",
MROUND(_xlfn.XLOOKUP(B318,'Base stats'!B:B,'Base stats'!BU:BU)/10000+0.01,0.01)
))</f>
        <v>No</v>
      </c>
      <c r="N318" s="4" t="str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No</v>
      </c>
      <c r="O318" s="3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17.7</v>
      </c>
      <c r="P318" s="11">
        <f>IF(O318="No","No",
MROUND(_xlfn.XLOOKUP(B318,'Base stats'!B:B,'Base stats'!BJ:BJ) * 0.01 * 2 + 0.05, 0.05)
)</f>
        <v>7</v>
      </c>
      <c r="Q318" s="5">
        <f>IF(O318="No","No",
MROUND(_xlfn.XLOOKUP(B318,'Base stats'!B:B,'Base stats'!BV:BV)/10000+0.01,0.01)
)</f>
        <v>0.43</v>
      </c>
      <c r="R318" s="4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2.2000000000000002</v>
      </c>
      <c r="S318" s="3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11</v>
      </c>
      <c r="T318" s="11">
        <f>IF(S318="No","No",
MROUND(_xlfn.XLOOKUP(B318,'Base stats'!B:B,'Base stats'!BH:BH) * 0.01 * 2 + 0.05, 0.05)
)</f>
        <v>2.4500000000000002</v>
      </c>
      <c r="U318" s="5">
        <f>IF(S318="No","No",IF(_xlfn.XLOOKUP(B318,'Base stats'!B:B,'Base stats'!U:U)="No","No",
MROUND(_xlfn.XLOOKUP(B318,'Base stats'!B:B,'Base stats'!BT:BT)/10000+0.01,0.01)
))</f>
        <v>0.15</v>
      </c>
      <c r="V318" s="4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1.4500000000000002</v>
      </c>
      <c r="W318" s="8">
        <f>MROUND(_xlfn.XLOOKUP(_xlfn.XLOOKUP(B318,'Base stats'!B:B,'Base stats'!E:E),Groups!A:A,Groups!BG:BG)*_xlfn.XLOOKUP(B318,'Base stats'!B:B,'Base stats'!C:C)^-0.165,0.05)</f>
        <v>0.5</v>
      </c>
      <c r="X318" s="1">
        <f>MROUND(_xlfn.XLOOKUP(_xlfn.XLOOKUP(B318,'Base stats'!B:B,'Base stats'!E:E),Groups!A:A,Groups!BH:BH)*_xlfn.XLOOKUP(B318,'Base stats'!B:B,'Base stats'!C:C)^0.165,0.05)</f>
        <v>0.4</v>
      </c>
      <c r="Y318" s="8">
        <f>MROUND(_xlfn.XLOOKUP(_xlfn.XLOOKUP(B318,'Base stats'!B:B,'Base stats'!E:E),Groups!A:A,Groups!BI:BI)*_xlfn.XLOOKUP(B318,'Base stats'!B:B,'Base stats'!C:C)^0.165,0.05)</f>
        <v>0.05</v>
      </c>
      <c r="Z318" s="18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0.09</v>
      </c>
      <c r="AA318" s="18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0.4</v>
      </c>
      <c r="AB318" s="18">
        <f>MROUND(250*(Animals!AO318+Animals!AP318),25)</f>
        <v>550</v>
      </c>
      <c r="AC318" s="18" t="str">
        <f>_xlfn.XLOOKUP(_xlfn.XLOOKUP(B318,'Base stats'!B:B,'Base stats'!E:E),Groups!A:A,Groups!BJ:BJ)</f>
        <v>Quadruped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1</v>
      </c>
      <c r="E319" s="11">
        <f>MROUND(_xlfn.XLOOKUP(B319,'Base stats'!B:B,'Base stats'!BG:BG) * 0.01 * 2 + 0.01, 0.05)</f>
        <v>0.8</v>
      </c>
      <c r="F319" s="7">
        <f>MROUND(_xlfn.XLOOKUP(B319,'Base stats'!B:B,'Base stats'!BD:BD)^0.25 / (_xlfn.XLOOKUP(B319,'Base stats'!B:B,'Base stats'!BK:BK) * 10) * 150 + 0.5 + _xlfn.XLOOKUP(B319,'Base stats'!B:B,'Base stats'!BW:BW), 0.05)</f>
        <v>2.1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2</v>
      </c>
      <c r="T319" s="11">
        <f>IF(S319="No","No",
MROUND(_xlfn.XLOOKUP(B319,'Base stats'!B:B,'Base stats'!BH:BH) * 0.01 * 2 + 0.05, 0.05)
)</f>
        <v>0.95000000000000007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2</v>
      </c>
      <c r="W319" s="8">
        <f>MROUND(_xlfn.XLOOKUP(_xlfn.XLOOKUP(B319,'Base stats'!B:B,'Base stats'!E:E),Groups!A:A,Groups!BG:BG)*_xlfn.XLOOKUP(B319,'Base stats'!B:B,'Base stats'!C:C)^-0.165,0.05)</f>
        <v>0.15000000000000002</v>
      </c>
      <c r="X319" s="1">
        <f>MROUND(_xlfn.XLOOKUP(_xlfn.XLOOKUP(B319,'Base stats'!B:B,'Base stats'!E:E),Groups!A:A,Groups!BH:BH)*_xlfn.XLOOKUP(B319,'Base stats'!B:B,'Base stats'!C:C)^0.165,0.05)</f>
        <v>0.2</v>
      </c>
      <c r="Y319" s="8">
        <f>MROUND(_xlfn.XLOOKUP(_xlfn.XLOOKUP(B319,'Base stats'!B:B,'Base stats'!E:E),Groups!A:A,Groups!BI:BI)*_xlfn.XLOOKUP(B319,'Base stats'!B:B,'Base stats'!C:C)^0.165,0.05)</f>
        <v>0.05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475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3</v>
      </c>
      <c r="E320" s="11">
        <f>MROUND(_xlfn.XLOOKUP(B320,'Base stats'!B:B,'Base stats'!BG:BG) * 0.01 * 2 + 0.01, 0.05)</f>
        <v>2.7</v>
      </c>
      <c r="F320" s="7">
        <f>MROUND(_xlfn.XLOOKUP(B320,'Base stats'!B:B,'Base stats'!BD:BD)^0.25 / (_xlfn.XLOOKUP(B320,'Base stats'!B:B,'Base stats'!BK:BK) * 10) * 150 + 0.5 + _xlfn.XLOOKUP(B320,'Base stats'!B:B,'Base stats'!BW:BW), 0.05)</f>
        <v>2.35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str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No</v>
      </c>
      <c r="L320" s="11" t="str">
        <f>IF(K320="No","No",
MROUND(_xlfn.XLOOKUP(B320,'Base stats'!B:B,'Base stats'!BI:BI) * 0.01 *2 + 0.05, 0.05)
)</f>
        <v>No</v>
      </c>
      <c r="M320" s="5" t="str">
        <f>IF(K320="No","No",IF(_xlfn.XLOOKUP(_xlfn.XLOOKUP(B320,'Base stats'!B:B,'Base stats'!E:E),Groups!A:A,Groups!BD:BD)=1,"No",
MROUND(_xlfn.XLOOKUP(B320,'Base stats'!B:B,'Base stats'!BU:BU)/10000+0.01,0.01)
))</f>
        <v>No</v>
      </c>
      <c r="N320" s="4" t="str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No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5.4</v>
      </c>
      <c r="T320" s="11">
        <f>IF(S320="No","No",
MROUND(_xlfn.XLOOKUP(B320,'Base stats'!B:B,'Base stats'!BH:BH) * 0.01 * 2 + 0.05, 0.05)
)</f>
        <v>2.85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2.4500000000000002</v>
      </c>
      <c r="W320" s="8">
        <f>MROUND(_xlfn.XLOOKUP(_xlfn.XLOOKUP(B320,'Base stats'!B:B,'Base stats'!E:E),Groups!A:A,Groups!BG:BG)*_xlfn.XLOOKUP(B320,'Base stats'!B:B,'Base stats'!C:C)^-0.165,0.05)</f>
        <v>0.1</v>
      </c>
      <c r="X320" s="1">
        <f>MROUND(_xlfn.XLOOKUP(_xlfn.XLOOKUP(B320,'Base stats'!B:B,'Base stats'!E:E),Groups!A:A,Groups!BH:BH)*_xlfn.XLOOKUP(B320,'Base stats'!B:B,'Base stats'!C:C)^0.165,0.05)</f>
        <v>0.25</v>
      </c>
      <c r="Y320" s="8">
        <f>MROUND(_xlfn.XLOOKUP(_xlfn.XLOOKUP(B320,'Base stats'!B:B,'Base stats'!E:E),Groups!A:A,Groups!BI:BI)*_xlfn.XLOOKUP(B320,'Base stats'!B:B,'Base stats'!C:C)^0.165,0.05)</f>
        <v>0.05</v>
      </c>
      <c r="Z320" s="18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0.08</v>
      </c>
      <c r="AA320" s="18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0.35000000000000003</v>
      </c>
      <c r="AB320" s="18">
        <f>MROUND(250*(Animals!AO320+Animals!AP320),25)</f>
        <v>1000</v>
      </c>
      <c r="AC320" s="18" t="str">
        <f>_xlfn.XLOOKUP(_xlfn.XLOOKUP(B320,'Base stats'!B:B,'Base stats'!E:E),Groups!A:A,Groups!BJ:BJ)</f>
        <v>Birdlike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4.3</v>
      </c>
      <c r="E321" s="11">
        <f>MROUND(_xlfn.XLOOKUP(B321,'Base stats'!B:B,'Base stats'!BG:BG) * 0.01 * 2 + 0.01, 0.05)</f>
        <v>3.75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2.1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20.400000000000002</v>
      </c>
      <c r="L321" s="11">
        <f>IF(K321="No","No",
MROUND(_xlfn.XLOOKUP(B321,'Base stats'!B:B,'Base stats'!BI:BI) * 0.01 *2 + 0.05, 0.05)
)</f>
        <v>5.5500000000000007</v>
      </c>
      <c r="M321" s="5">
        <f>IF(K321="No","No",IF(_xlfn.XLOOKUP(_xlfn.XLOOKUP(B321,'Base stats'!B:B,'Base stats'!E:E),Groups!A:A,Groups!BD:BD)=1,"No",
MROUND(_xlfn.XLOOKUP(B321,'Base stats'!B:B,'Base stats'!BU:BU)/10000+0.01,0.01)
))</f>
        <v>3.35</v>
      </c>
      <c r="N321" s="4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2.95</v>
      </c>
      <c r="O321" s="3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26.3</v>
      </c>
      <c r="P321" s="11">
        <f>IF(O321="No","No",
MROUND(_xlfn.XLOOKUP(B321,'Base stats'!B:B,'Base stats'!BJ:BJ) * 0.01 * 2 + 0.05, 0.05)
)</f>
        <v>14.55</v>
      </c>
      <c r="Q321" s="5">
        <f>IF(O321="No","No",
MROUND(_xlfn.XLOOKUP(B321,'Base stats'!B:B,'Base stats'!BV:BV)/10000+0.01,0.01)
)</f>
        <v>0.65</v>
      </c>
      <c r="R321" s="4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2.3000000000000003</v>
      </c>
      <c r="S321" s="3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9.2000000000000011</v>
      </c>
      <c r="T321" s="11">
        <f>IF(S321="No","No",
MROUND(_xlfn.XLOOKUP(B321,'Base stats'!B:B,'Base stats'!BH:BH) * 0.01 * 2 + 0.05, 0.05)
)</f>
        <v>4.6500000000000004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1.55</v>
      </c>
      <c r="W321" s="8">
        <f>MROUND(_xlfn.XLOOKUP(_xlfn.XLOOKUP(B321,'Base stats'!B:B,'Base stats'!E:E),Groups!A:A,Groups!BG:BG)*_xlfn.XLOOKUP(B321,'Base stats'!B:B,'Base stats'!C:C)^-0.165,0.05)</f>
        <v>0.45</v>
      </c>
      <c r="X321" s="1">
        <f>MROUND(_xlfn.XLOOKUP(_xlfn.XLOOKUP(B321,'Base stats'!B:B,'Base stats'!E:E),Groups!A:A,Groups!BH:BH)*_xlfn.XLOOKUP(B321,'Base stats'!B:B,'Base stats'!C:C)^0.165,0.05)</f>
        <v>0.45</v>
      </c>
      <c r="Y321" s="8">
        <f>MROUND(_xlfn.XLOOKUP(_xlfn.XLOOKUP(B321,'Base stats'!B:B,'Base stats'!E:E),Groups!A:A,Groups!BI:BI)*_xlfn.XLOOKUP(B321,'Base stats'!B:B,'Base stats'!C:C)^0.165,0.05)</f>
        <v>0.05</v>
      </c>
      <c r="Z321" s="18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0.12</v>
      </c>
      <c r="AA321" s="18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0.5</v>
      </c>
      <c r="AB321" s="18">
        <f>MROUND(250*(Animals!AO321+Animals!AP321),25)</f>
        <v>825</v>
      </c>
      <c r="AC321" s="18" t="str">
        <f>_xlfn.XLOOKUP(_xlfn.XLOOKUP(B321,'Base stats'!B:B,'Base stats'!E:E),Groups!A:A,Groups!BJ:BJ)</f>
        <v>Quadruped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Varanus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23.1</v>
      </c>
      <c r="P322" s="11">
        <f>IF(O322="No","No",
MROUND(_xlfn.XLOOKUP(B322,'Base stats'!B:B,'Base stats'!BJ:BJ) * 0.01 * 2 + 0.05, 0.05)
)</f>
        <v>14.25</v>
      </c>
      <c r="Q322" s="5">
        <f>IF(O322="No","No",
MROUND(_xlfn.XLOOKUP(B322,'Base stats'!B:B,'Base stats'!BV:BV)/10000+0.01,0.01)
)</f>
        <v>0.75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2.5500000000000003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220.10000000000002</v>
      </c>
      <c r="P323" s="11">
        <f>IF(O323="No","No",
MROUND(_xlfn.XLOOKUP(B323,'Base stats'!B:B,'Base stats'!BJ:BJ) * 0.01 * 2 + 0.05, 0.05)
)</f>
        <v>1793.65</v>
      </c>
      <c r="Q323" s="5">
        <f>IF(O323="No","No",
MROUND(_xlfn.XLOOKUP(B323,'Base stats'!B:B,'Base stats'!BV:BV)/10000+0.01,0.01)
)</f>
        <v>52.870000000000005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4.75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8.8000000000000007</v>
      </c>
      <c r="E324" s="11">
        <f>MROUND(_xlfn.XLOOKUP(B324,'Base stats'!B:B,'Base stats'!BG:BG) * 0.01 * 2 + 0.01, 0.05)</f>
        <v>8.1</v>
      </c>
      <c r="F324" s="7">
        <f>MROUND(_xlfn.XLOOKUP(B324,'Base stats'!B:B,'Base stats'!BD:BD)^0.25 / (_xlfn.XLOOKUP(B324,'Base stats'!B:B,'Base stats'!BK:BK) * 10) * 150 + 0.5 + _xlfn.XLOOKUP(B324,'Base stats'!B:B,'Base stats'!BW:BW), 0.05)</f>
        <v>2.4000000000000004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32.700000000000003</v>
      </c>
      <c r="P324" s="11">
        <f>IF(O324="No","No",
MROUND(_xlfn.XLOOKUP(B324,'Base stats'!B:B,'Base stats'!BJ:BJ) * 0.01 * 2 + 0.05, 0.05)
)</f>
        <v>19.55</v>
      </c>
      <c r="Q324" s="5">
        <f>IF(O324="No","No",
MROUND(_xlfn.XLOOKUP(B324,'Base stats'!B:B,'Base stats'!BV:BV)/10000+0.01,0.01)
)</f>
        <v>0.62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2.15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26.1</v>
      </c>
      <c r="T324" s="11">
        <f>IF(S324="No","No",
MROUND(_xlfn.XLOOKUP(B324,'Base stats'!B:B,'Base stats'!BH:BH) * 0.01 * 2 + 0.05, 0.05)
)</f>
        <v>9.5500000000000007</v>
      </c>
      <c r="U324" s="5">
        <f>IF(S324="No","No",IF(_xlfn.XLOOKUP(B324,'Base stats'!B:B,'Base stats'!U:U)="No","No",
MROUND(_xlfn.XLOOKUP(B324,'Base stats'!B:B,'Base stats'!BT:BT)/10000+0.01,0.01)
))</f>
        <v>0.31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1.6500000000000001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0.16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0.70000000000000007</v>
      </c>
      <c r="AB324" s="18">
        <f>MROUND(250*(Animals!AO324+Animals!AP324),25)</f>
        <v>1375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Carcharofelis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11.9</v>
      </c>
      <c r="E325" s="11">
        <f>MROUND(_xlfn.XLOOKUP(B325,'Base stats'!B:B,'Base stats'!BG:BG) * 0.01 * 2 + 0.01, 0.05)</f>
        <v>11.15</v>
      </c>
      <c r="F325" s="7">
        <f>MROUND(_xlfn.XLOOKUP(B325,'Base stats'!B:B,'Base stats'!BD:BD)^0.25 / (_xlfn.XLOOKUP(B325,'Base stats'!B:B,'Base stats'!BK:BK) * 10) * 150 + 0.5 + _xlfn.XLOOKUP(B325,'Base stats'!B:B,'Base stats'!BW:BW), 0.05)</f>
        <v>2.5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str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No</v>
      </c>
      <c r="L325" s="11" t="str">
        <f>IF(K325="No","No",
MROUND(_xlfn.XLOOKUP(B325,'Base stats'!B:B,'Base stats'!BI:BI) * 0.01 *2 + 0.05, 0.05)
)</f>
        <v>No</v>
      </c>
      <c r="M325" s="5" t="str">
        <f>IF(K325="No","No",IF(_xlfn.XLOOKUP(_xlfn.XLOOKUP(B325,'Base stats'!B:B,'Base stats'!E:E),Groups!A:A,Groups!BD:BD)=1,"No",
MROUND(_xlfn.XLOOKUP(B325,'Base stats'!B:B,'Base stats'!BU:BU)/10000+0.01,0.01)
))</f>
        <v>No</v>
      </c>
      <c r="N325" s="4" t="str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No</v>
      </c>
      <c r="O325" s="3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49</v>
      </c>
      <c r="P325" s="11">
        <f>IF(O325="No","No",
MROUND(_xlfn.XLOOKUP(B325,'Base stats'!B:B,'Base stats'!BJ:BJ) * 0.01 * 2 + 0.05, 0.05)
)</f>
        <v>54.2</v>
      </c>
      <c r="Q325" s="5">
        <f>IF(O325="No","No",
MROUND(_xlfn.XLOOKUP(B325,'Base stats'!B:B,'Base stats'!BV:BV)/10000+0.01,0.01)
)</f>
        <v>1.47</v>
      </c>
      <c r="R325" s="4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2.75</v>
      </c>
      <c r="S325" s="3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24.400000000000002</v>
      </c>
      <c r="T325" s="11">
        <f>IF(S325="No","No",
MROUND(_xlfn.XLOOKUP(B325,'Base stats'!B:B,'Base stats'!BH:BH) * 0.01 * 2 + 0.05, 0.05)
)</f>
        <v>12.9</v>
      </c>
      <c r="U325" s="5">
        <f>IF(S325="No","No",IF(_xlfn.XLOOKUP(B325,'Base stats'!B:B,'Base stats'!U:U)="No","No",
MROUND(_xlfn.XLOOKUP(B325,'Base stats'!B:B,'Base stats'!BT:BT)/10000+0.01,0.01)
))</f>
        <v>0.36</v>
      </c>
      <c r="V325" s="4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1.8</v>
      </c>
      <c r="W325" s="8">
        <f>MROUND(_xlfn.XLOOKUP(_xlfn.XLOOKUP(B325,'Base stats'!B:B,'Base stats'!E:E),Groups!A:A,Groups!BG:BG)*_xlfn.XLOOKUP(B325,'Base stats'!B:B,'Base stats'!C:C)^-0.165,0.05)</f>
        <v>0.2</v>
      </c>
      <c r="X325" s="1">
        <f>MROUND(_xlfn.XLOOKUP(_xlfn.XLOOKUP(B325,'Base stats'!B:B,'Base stats'!E:E),Groups!A:A,Groups!BH:BH)*_xlfn.XLOOKUP(B325,'Base stats'!B:B,'Base stats'!C:C)^0.165,0.05)</f>
        <v>0.55000000000000004</v>
      </c>
      <c r="Y325" s="8">
        <f>MROUND(_xlfn.XLOOKUP(_xlfn.XLOOKUP(B325,'Base stats'!B:B,'Base stats'!E:E),Groups!A:A,Groups!BI:BI)*_xlfn.XLOOKUP(B325,'Base stats'!B:B,'Base stats'!C:C)^0.165,0.05)</f>
        <v>0.05</v>
      </c>
      <c r="Z325" s="18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0.11</v>
      </c>
      <c r="AA325" s="18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0.45</v>
      </c>
      <c r="AB325" s="18">
        <f>MROUND(250*(Animals!AO325+Animals!AP325),25)</f>
        <v>1525</v>
      </c>
      <c r="AC325" s="18" t="str">
        <f>_xlfn.XLOOKUP(_xlfn.XLOOKUP(B325,'Base stats'!B:B,'Base stats'!E:E),Groups!A:A,Groups!BJ:BJ)</f>
        <v>QuadrupedLow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5.5</v>
      </c>
      <c r="E326" s="11">
        <f>MROUND(_xlfn.XLOOKUP(B326,'Base stats'!B:B,'Base stats'!BG:BG) * 0.01 * 2 + 0.01, 0.05)</f>
        <v>4.8500000000000005</v>
      </c>
      <c r="F326" s="7">
        <f>MROUND(_xlfn.XLOOKUP(B326,'Base stats'!B:B,'Base stats'!BD:BD)^0.25 / (_xlfn.XLOOKUP(B326,'Base stats'!B:B,'Base stats'!BK:BK) * 10) * 150 + 0.5 + _xlfn.XLOOKUP(B326,'Base stats'!B:B,'Base stats'!BW:BW), 0.05)</f>
        <v>1.7000000000000002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str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No</v>
      </c>
      <c r="L326" s="11" t="str">
        <f>IF(K326="No","No",
MROUND(_xlfn.XLOOKUP(B326,'Base stats'!B:B,'Base stats'!BI:BI) * 0.01 *2 + 0.05, 0.05)
)</f>
        <v>No</v>
      </c>
      <c r="M326" s="5" t="str">
        <f>IF(K326="No","No",IF(_xlfn.XLOOKUP(_xlfn.XLOOKUP(B326,'Base stats'!B:B,'Base stats'!E:E),Groups!A:A,Groups!BD:BD)=1,"No",
MROUND(_xlfn.XLOOKUP(B326,'Base stats'!B:B,'Base stats'!BU:BU)/10000+0.01,0.01)
))</f>
        <v>No</v>
      </c>
      <c r="N326" s="4" t="str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No</v>
      </c>
      <c r="O326" s="3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14.600000000000001</v>
      </c>
      <c r="P326" s="11">
        <f>IF(O326="No","No",
MROUND(_xlfn.XLOOKUP(B326,'Base stats'!B:B,'Base stats'!BJ:BJ) * 0.01 * 2 + 0.05, 0.05)
)</f>
        <v>2.95</v>
      </c>
      <c r="Q326" s="5">
        <f>IF(O326="No","No",
MROUND(_xlfn.XLOOKUP(B326,'Base stats'!B:B,'Base stats'!BV:BV)/10000+0.01,0.01)
)</f>
        <v>0.12</v>
      </c>
      <c r="R326" s="4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2.4000000000000004</v>
      </c>
      <c r="S326" s="3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11.4</v>
      </c>
      <c r="T326" s="11">
        <f>IF(S326="No","No",
MROUND(_xlfn.XLOOKUP(B326,'Base stats'!B:B,'Base stats'!BH:BH) * 0.01 * 2 + 0.05, 0.05)
)</f>
        <v>5.95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1.6500000000000001</v>
      </c>
      <c r="W326" s="8">
        <f>MROUND(_xlfn.XLOOKUP(_xlfn.XLOOKUP(B326,'Base stats'!B:B,'Base stats'!E:E),Groups!A:A,Groups!BG:BG)*_xlfn.XLOOKUP(B326,'Base stats'!B:B,'Base stats'!C:C)^-0.165,0.05)</f>
        <v>0.1</v>
      </c>
      <c r="X326" s="1">
        <f>MROUND(_xlfn.XLOOKUP(_xlfn.XLOOKUP(B326,'Base stats'!B:B,'Base stats'!E:E),Groups!A:A,Groups!BH:BH)*_xlfn.XLOOKUP(B326,'Base stats'!B:B,'Base stats'!C:C)^0.165,0.05)</f>
        <v>0.25</v>
      </c>
      <c r="Y326" s="8">
        <f>MROUND(_xlfn.XLOOKUP(_xlfn.XLOOKUP(B326,'Base stats'!B:B,'Base stats'!E:E),Groups!A:A,Groups!BI:BI)*_xlfn.XLOOKUP(B326,'Base stats'!B:B,'Base stats'!C:C)^0.165,0.05)</f>
        <v>0.05</v>
      </c>
      <c r="Z326" s="18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0.08</v>
      </c>
      <c r="AA326" s="18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0.35000000000000003</v>
      </c>
      <c r="AB326" s="18">
        <f>MROUND(250*(Animals!AO326+Animals!AP326),25)</f>
        <v>900</v>
      </c>
      <c r="AC326" s="18" t="str">
        <f>_xlfn.XLOOKUP(_xlfn.XLOOKUP(B326,'Base stats'!B:B,'Base stats'!E:E),Groups!A:A,Groups!BJ:BJ)</f>
        <v>Birdlike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Crepiscuovis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12.3</v>
      </c>
      <c r="E327" s="11">
        <f>MROUND(_xlfn.XLOOKUP(B327,'Base stats'!B:B,'Base stats'!BG:BG) * 0.01 * 2 + 0.01, 0.05)</f>
        <v>11.3</v>
      </c>
      <c r="F327" s="7">
        <f>MROUND(_xlfn.XLOOKUP(B327,'Base stats'!B:B,'Base stats'!BD:BD)^0.25 / (_xlfn.XLOOKUP(B327,'Base stats'!B:B,'Base stats'!BK:BK) * 10) * 150 + 0.5 + _xlfn.XLOOKUP(B327,'Base stats'!B:B,'Base stats'!BW:BW), 0.05)</f>
        <v>1.6</v>
      </c>
      <c r="G327" s="3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14.9</v>
      </c>
      <c r="H327" s="11">
        <f>IF(G327="No","No",
MROUND(_xlfn.XLOOKUP(B327,'Base stats'!B:B,'Base stats'!BH:BH) * 0.01 * 2 + 0.05, 0.05)
)</f>
        <v>9.5500000000000007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2.7</v>
      </c>
      <c r="K327" s="3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14.8</v>
      </c>
      <c r="L327" s="11">
        <f>IF(K327="No","No",
MROUND(_xlfn.XLOOKUP(B327,'Base stats'!B:B,'Base stats'!BI:BI) * 0.01 *2 + 0.05, 0.05)
)</f>
        <v>13.600000000000001</v>
      </c>
      <c r="M327" s="5" t="str">
        <f>IF(K327="No","No",IF(_xlfn.XLOOKUP(_xlfn.XLOOKUP(B327,'Base stats'!B:B,'Base stats'!E:E),Groups!A:A,Groups!BD:BD)=1,"No",
MROUND(_xlfn.XLOOKUP(B327,'Base stats'!B:B,'Base stats'!BU:BU)/10000+0.01,0.01)
))</f>
        <v>No</v>
      </c>
      <c r="N327" s="4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2.6500000000000004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0.2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0.1</v>
      </c>
      <c r="AA327" s="18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0.4</v>
      </c>
      <c r="AB327" s="18">
        <f>MROUND(250*(Animals!AO327+Animals!AP327),25)</f>
        <v>1250</v>
      </c>
      <c r="AC327" s="18" t="str">
        <f>_xlfn.XLOOKUP(_xlfn.XLOOKUP(B327,'Base stats'!B:B,'Base stats'!E:E),Groups!A:A,Groups!BJ:BJ)</f>
        <v>Quadruped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13.9</v>
      </c>
      <c r="P329" s="11">
        <f>IF(O329="No","No",
MROUND(_xlfn.XLOOKUP(B329,'Base stats'!B:B,'Base stats'!BJ:BJ) * 0.01 * 2 + 0.05, 0.05)
)</f>
        <v>4.45</v>
      </c>
      <c r="Q329" s="5">
        <f>IF(O329="No","No",
MROUND(_xlfn.XLOOKUP(B329,'Base stats'!B:B,'Base stats'!BV:BV)/10000+0.01,0.01)
)</f>
        <v>0.34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0.4</v>
      </c>
      <c r="E330" s="11">
        <f>MROUND(_xlfn.XLOOKUP(B330,'Base stats'!B:B,'Base stats'!BG:BG) * 0.01 * 2 + 0.01, 0.05)</f>
        <v>0.35000000000000003</v>
      </c>
      <c r="F330" s="7">
        <f>MROUND(_xlfn.XLOOKUP(B330,'Base stats'!B:B,'Base stats'!BD:BD)^0.25 / (_xlfn.XLOOKUP(B330,'Base stats'!B:B,'Base stats'!BK:BK) * 10) * 150 + 0.5 + _xlfn.XLOOKUP(B330,'Base stats'!B:B,'Base stats'!BW:BW), 0.05)</f>
        <v>1.6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str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No</v>
      </c>
      <c r="L330" s="11" t="str">
        <f>IF(K330="No","No",
MROUND(_xlfn.XLOOKUP(B330,'Base stats'!B:B,'Base stats'!BI:BI) * 0.01 *2 + 0.05, 0.05)
)</f>
        <v>No</v>
      </c>
      <c r="M330" s="5" t="str">
        <f>IF(K330="No","No",IF(_xlfn.XLOOKUP(_xlfn.XLOOKUP(B330,'Base stats'!B:B,'Base stats'!E:E),Groups!A:A,Groups!BD:BD)=1,"No",
MROUND(_xlfn.XLOOKUP(B330,'Base stats'!B:B,'Base stats'!BU:BU)/10000+0.01,0.01)
))</f>
        <v>No</v>
      </c>
      <c r="N330" s="4" t="str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No</v>
      </c>
      <c r="O330" s="3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3.4000000000000004</v>
      </c>
      <c r="P330" s="11">
        <f>IF(O330="No","No",
MROUND(_xlfn.XLOOKUP(B330,'Base stats'!B:B,'Base stats'!BJ:BJ) * 0.01 * 2 + 0.05, 0.05)
)</f>
        <v>0.35000000000000003</v>
      </c>
      <c r="Q330" s="5">
        <f>IF(O330="No","No",
MROUND(_xlfn.XLOOKUP(B330,'Base stats'!B:B,'Base stats'!BV:BV)/10000+0.01,0.01)
)</f>
        <v>0.05</v>
      </c>
      <c r="R330" s="4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1.9000000000000001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0.35000000000000003</v>
      </c>
      <c r="X330" s="1">
        <f>MROUND(_xlfn.XLOOKUP(_xlfn.XLOOKUP(B330,'Base stats'!B:B,'Base stats'!E:E),Groups!A:A,Groups!BH:BH)*_xlfn.XLOOKUP(B330,'Base stats'!B:B,'Base stats'!C:C)^0.165,0.05)</f>
        <v>0.15000000000000002</v>
      </c>
      <c r="Y330" s="8">
        <f>MROUND(_xlfn.XLOOKUP(_xlfn.XLOOKUP(B330,'Base stats'!B:B,'Base stats'!E:E),Groups!A:A,Groups!BI:BI)*_xlfn.XLOOKUP(B330,'Base stats'!B:B,'Base stats'!C:C)^0.165,0.05)</f>
        <v>0.05</v>
      </c>
      <c r="Z330" s="18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0.04</v>
      </c>
      <c r="AA330" s="18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0.05</v>
      </c>
      <c r="AB330" s="18">
        <f>MROUND(250*(Animals!AO330+Animals!AP330),25)</f>
        <v>200</v>
      </c>
      <c r="AC330" s="18" t="str">
        <f>_xlfn.XLOOKUP(_xlfn.XLOOKUP(B330,'Base stats'!B:B,'Base stats'!E:E),Groups!A:A,Groups!BJ:BJ)</f>
        <v>Serpentine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Technoscolopendra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34.300000000000004</v>
      </c>
      <c r="E331" s="11">
        <f>MROUND(_xlfn.XLOOKUP(B331,'Base stats'!B:B,'Base stats'!BG:BG) * 0.01 * 2 + 0.01, 0.05)</f>
        <v>36.950000000000003</v>
      </c>
      <c r="F331" s="7">
        <f>MROUND(_xlfn.XLOOKUP(B331,'Base stats'!B:B,'Base stats'!BD:BD)^0.25 / (_xlfn.XLOOKUP(B331,'Base stats'!B:B,'Base stats'!BK:BK) * 10) * 150 + 0.5 + _xlfn.XLOOKUP(B331,'Base stats'!B:B,'Base stats'!BW:BW), 0.05)</f>
        <v>2.95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str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No</v>
      </c>
      <c r="L331" s="11" t="str">
        <f>IF(K331="No","No",
MROUND(_xlfn.XLOOKUP(B331,'Base stats'!B:B,'Base stats'!BI:BI) * 0.01 *2 + 0.05, 0.05)
)</f>
        <v>No</v>
      </c>
      <c r="M331" s="5" t="str">
        <f>IF(K331="No","No",IF(_xlfn.XLOOKUP(_xlfn.XLOOKUP(B331,'Base stats'!B:B,'Base stats'!E:E),Groups!A:A,Groups!BD:BD)=1,"No",
MROUND(_xlfn.XLOOKUP(B331,'Base stats'!B:B,'Base stats'!BU:BU)/10000+0.01,0.01)
))</f>
        <v>No</v>
      </c>
      <c r="N331" s="4" t="str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No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10.75</v>
      </c>
      <c r="AA331" s="18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6.5500000000000007</v>
      </c>
      <c r="AB331" s="18">
        <f>MROUND(250*(Animals!AO331+Animals!AP331),25)</f>
        <v>2375</v>
      </c>
      <c r="AC331" s="18" t="str">
        <f>_xlfn.XLOOKUP(_xlfn.XLOOKUP(B331,'Base stats'!B:B,'Base stats'!E:E),Groups!A:A,Groups!BJ:BJ)</f>
        <v>QuadrupedLow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Caprabos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14.5</v>
      </c>
      <c r="E332" s="11">
        <f>MROUND(_xlfn.XLOOKUP(B332,'Base stats'!B:B,'Base stats'!BG:BG) * 0.01 * 2 + 0.01, 0.05)</f>
        <v>13.5</v>
      </c>
      <c r="F332" s="7">
        <f>MROUND(_xlfn.XLOOKUP(B332,'Base stats'!B:B,'Base stats'!BD:BD)^0.25 / (_xlfn.XLOOKUP(B332,'Base stats'!B:B,'Base stats'!BK:BK) * 10) * 150 + 0.5 + _xlfn.XLOOKUP(B332,'Base stats'!B:B,'Base stats'!BW:BW), 0.05)</f>
        <v>1.6500000000000001</v>
      </c>
      <c r="G332" s="3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17.3</v>
      </c>
      <c r="H332" s="11">
        <f>IF(G332="No","No",
MROUND(_xlfn.XLOOKUP(B332,'Base stats'!B:B,'Base stats'!BH:BH) * 0.01 * 2 + 0.05, 0.05)
)</f>
        <v>11.25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2.8000000000000003</v>
      </c>
      <c r="K332" s="3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17.400000000000002</v>
      </c>
      <c r="L332" s="11">
        <f>IF(K332="No","No",
MROUND(_xlfn.XLOOKUP(B332,'Base stats'!B:B,'Base stats'!BI:BI) * 0.01 *2 + 0.05, 0.05)
)</f>
        <v>16.25</v>
      </c>
      <c r="M332" s="5" t="str">
        <f>IF(K332="No","No",IF(_xlfn.XLOOKUP(_xlfn.XLOOKUP(B332,'Base stats'!B:B,'Base stats'!E:E),Groups!A:A,Groups!BD:BD)=1,"No",
MROUND(_xlfn.XLOOKUP(B332,'Base stats'!B:B,'Base stats'!BU:BU)/10000+0.01,0.01)
))</f>
        <v>No</v>
      </c>
      <c r="N332" s="4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2.6500000000000004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0.2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0.1</v>
      </c>
      <c r="AA332" s="18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0.45</v>
      </c>
      <c r="AB332" s="18">
        <f>MROUND(250*(Animals!AO332+Animals!AP332),25)</f>
        <v>1375</v>
      </c>
      <c r="AC332" s="18" t="str">
        <f>_xlfn.XLOOKUP(_xlfn.XLOOKUP(B332,'Base stats'!B:B,'Base stats'!E:E),Groups!A:A,Groups!BJ:BJ)</f>
        <v>Quadruped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Megacancer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268.5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6.25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9.3000000000000007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0.1</v>
      </c>
      <c r="E334" s="11">
        <f>MROUND(_xlfn.XLOOKUP(B334,'Base stats'!B:B,'Base stats'!BG:BG) * 0.01 * 2 + 0.01, 0.05)</f>
        <v>0.1</v>
      </c>
      <c r="F334" s="7">
        <f>MROUND(_xlfn.XLOOKUP(B334,'Base stats'!B:B,'Base stats'!BD:BD)^0.25 / (_xlfn.XLOOKUP(B334,'Base stats'!B:B,'Base stats'!BK:BK) * 10) * 150 + 0.5 + _xlfn.XLOOKUP(B334,'Base stats'!B:B,'Base stats'!BW:BW), 0.05)</f>
        <v>1.8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str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No</v>
      </c>
      <c r="L334" s="11" t="str">
        <f>IF(K334="No","No",
MROUND(_xlfn.XLOOKUP(B334,'Base stats'!B:B,'Base stats'!BI:BI) * 0.01 *2 + 0.05, 0.05)
)</f>
        <v>No</v>
      </c>
      <c r="M334" s="5" t="str">
        <f>IF(K334="No","No",IF(_xlfn.XLOOKUP(_xlfn.XLOOKUP(B334,'Base stats'!B:B,'Base stats'!E:E),Groups!A:A,Groups!BD:BD)=1,"No",
MROUND(_xlfn.XLOOKUP(B334,'Base stats'!B:B,'Base stats'!BU:BU)/10000+0.01,0.01)
))</f>
        <v>No</v>
      </c>
      <c r="N334" s="4" t="str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No</v>
      </c>
      <c r="O334" s="3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6.1000000000000005</v>
      </c>
      <c r="P334" s="11">
        <f>IF(O334="No","No",
MROUND(_xlfn.XLOOKUP(B334,'Base stats'!B:B,'Base stats'!BJ:BJ) * 0.01 * 2 + 0.05, 0.05)
)</f>
        <v>0.9</v>
      </c>
      <c r="Q334" s="5">
        <f>IF(O334="No","No",
MROUND(_xlfn.XLOOKUP(B334,'Base stats'!B:B,'Base stats'!BV:BV)/10000+0.01,0.01)
)</f>
        <v>0.16</v>
      </c>
      <c r="R334" s="4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1.4000000000000001</v>
      </c>
      <c r="S334" s="3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1.8</v>
      </c>
      <c r="T334" s="11">
        <f>IF(S334="No","No",
MROUND(_xlfn.XLOOKUP(B334,'Base stats'!B:B,'Base stats'!BH:BH) * 0.01 * 2 + 0.05, 0.05)
)</f>
        <v>0.70000000000000007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1.9500000000000002</v>
      </c>
      <c r="W334" s="8">
        <f>MROUND(_xlfn.XLOOKUP(_xlfn.XLOOKUP(B334,'Base stats'!B:B,'Base stats'!E:E),Groups!A:A,Groups!BG:BG)*_xlfn.XLOOKUP(B334,'Base stats'!B:B,'Base stats'!C:C)^-0.165,0.05)</f>
        <v>0.2</v>
      </c>
      <c r="X334" s="1">
        <f>MROUND(_xlfn.XLOOKUP(_xlfn.XLOOKUP(B334,'Base stats'!B:B,'Base stats'!E:E),Groups!A:A,Groups!BH:BH)*_xlfn.XLOOKUP(B334,'Base stats'!B:B,'Base stats'!C:C)^0.165,0.05)</f>
        <v>0.15000000000000002</v>
      </c>
      <c r="Y334" s="8">
        <f>MROUND(_xlfn.XLOOKUP(_xlfn.XLOOKUP(B334,'Base stats'!B:B,'Base stats'!E:E),Groups!A:A,Groups!BI:BI)*_xlfn.XLOOKUP(B334,'Base stats'!B:B,'Base stats'!C:C)^0.165,0.05)</f>
        <v>0.05</v>
      </c>
      <c r="Z334" s="18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0.39</v>
      </c>
      <c r="AA334" s="18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0.05</v>
      </c>
      <c r="AB334" s="18">
        <f>MROUND(250*(Animals!AO334+Animals!AP334),25)</f>
        <v>150</v>
      </c>
      <c r="AC334" s="18" t="str">
        <f>_xlfn.XLOOKUP(_xlfn.XLOOKUP(B334,'Base stats'!B:B,'Base stats'!E:E),Groups!A:A,Groups!BJ:BJ)</f>
        <v>QuadrupedLow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5.5</v>
      </c>
      <c r="E335" s="11">
        <f>MROUND(_xlfn.XLOOKUP(B335,'Base stats'!B:B,'Base stats'!BG:BG) * 0.01 * 2 + 0.01, 0.05)</f>
        <v>4.8500000000000005</v>
      </c>
      <c r="F335" s="7">
        <f>MROUND(_xlfn.XLOOKUP(B335,'Base stats'!B:B,'Base stats'!BD:BD)^0.25 / (_xlfn.XLOOKUP(B335,'Base stats'!B:B,'Base stats'!BK:BK) * 10) * 150 + 0.5 + _xlfn.XLOOKUP(B335,'Base stats'!B:B,'Base stats'!BW:BW), 0.05)</f>
        <v>2.15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str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No</v>
      </c>
      <c r="L335" s="11" t="str">
        <f>IF(K335="No","No",
MROUND(_xlfn.XLOOKUP(B335,'Base stats'!B:B,'Base stats'!BI:BI) * 0.01 *2 + 0.05, 0.05)
)</f>
        <v>No</v>
      </c>
      <c r="M335" s="5" t="str">
        <f>IF(K335="No","No",IF(_xlfn.XLOOKUP(_xlfn.XLOOKUP(B335,'Base stats'!B:B,'Base stats'!E:E),Groups!A:A,Groups!BD:BD)=1,"No",
MROUND(_xlfn.XLOOKUP(B335,'Base stats'!B:B,'Base stats'!BU:BU)/10000+0.01,0.01)
))</f>
        <v>No</v>
      </c>
      <c r="N335" s="4" t="str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No</v>
      </c>
      <c r="O335" s="3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12.3</v>
      </c>
      <c r="P335" s="11">
        <f>IF(O335="No","No",
MROUND(_xlfn.XLOOKUP(B335,'Base stats'!B:B,'Base stats'!BJ:BJ) * 0.01 * 2 + 0.05, 0.05)
)</f>
        <v>2.95</v>
      </c>
      <c r="Q335" s="5">
        <f>IF(O335="No","No",
MROUND(_xlfn.XLOOKUP(B335,'Base stats'!B:B,'Base stats'!BV:BV)/10000+0.01,0.01)
)</f>
        <v>0.12</v>
      </c>
      <c r="R335" s="4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2.4500000000000002</v>
      </c>
      <c r="S335" s="3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11.4</v>
      </c>
      <c r="T335" s="11">
        <f>IF(S335="No","No",
MROUND(_xlfn.XLOOKUP(B335,'Base stats'!B:B,'Base stats'!BH:BH) * 0.01 * 2 + 0.05, 0.05)
)</f>
        <v>5.95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1.6500000000000001</v>
      </c>
      <c r="W335" s="8">
        <f>MROUND(_xlfn.XLOOKUP(_xlfn.XLOOKUP(B335,'Base stats'!B:B,'Base stats'!E:E),Groups!A:A,Groups!BG:BG)*_xlfn.XLOOKUP(B335,'Base stats'!B:B,'Base stats'!C:C)^-0.165,0.05)</f>
        <v>0.1</v>
      </c>
      <c r="X335" s="1">
        <f>MROUND(_xlfn.XLOOKUP(_xlfn.XLOOKUP(B335,'Base stats'!B:B,'Base stats'!E:E),Groups!A:A,Groups!BH:BH)*_xlfn.XLOOKUP(B335,'Base stats'!B:B,'Base stats'!C:C)^0.165,0.05)</f>
        <v>0.25</v>
      </c>
      <c r="Y335" s="8">
        <f>MROUND(_xlfn.XLOOKUP(_xlfn.XLOOKUP(B335,'Base stats'!B:B,'Base stats'!E:E),Groups!A:A,Groups!BI:BI)*_xlfn.XLOOKUP(B335,'Base stats'!B:B,'Base stats'!C:C)^0.165,0.05)</f>
        <v>0.05</v>
      </c>
      <c r="Z335" s="18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0.08</v>
      </c>
      <c r="AA335" s="18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0.35000000000000003</v>
      </c>
      <c r="AB335" s="18">
        <f>MROUND(250*(Animals!AO335+Animals!AP335),25)</f>
        <v>900</v>
      </c>
      <c r="AC335" s="18" t="str">
        <f>_xlfn.XLOOKUP(_xlfn.XLOOKUP(B335,'Base stats'!B:B,'Base stats'!E:E),Groups!A:A,Groups!BJ:BJ)</f>
        <v>Birdlike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5.9</v>
      </c>
      <c r="E336" s="11">
        <f>MROUND(_xlfn.XLOOKUP(B336,'Base stats'!B:B,'Base stats'!BG:BG) * 0.01 * 2 + 0.01, 0.05)</f>
        <v>5.6000000000000005</v>
      </c>
      <c r="F336" s="7">
        <f>MROUND(_xlfn.XLOOKUP(B336,'Base stats'!B:B,'Base stats'!BD:BD)^0.25 / (_xlfn.XLOOKUP(B336,'Base stats'!B:B,'Base stats'!BK:BK) * 10) * 150 + 0.5 + _xlfn.XLOOKUP(B336,'Base stats'!B:B,'Base stats'!BW:BW), 0.05)</f>
        <v>2.4500000000000002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str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No</v>
      </c>
      <c r="L336" s="11" t="str">
        <f>IF(K336="No","No",
MROUND(_xlfn.XLOOKUP(B336,'Base stats'!B:B,'Base stats'!BI:BI) * 0.01 *2 + 0.05, 0.05)
)</f>
        <v>No</v>
      </c>
      <c r="M336" s="5" t="str">
        <f>IF(K336="No","No",IF(_xlfn.XLOOKUP(_xlfn.XLOOKUP(B336,'Base stats'!B:B,'Base stats'!E:E),Groups!A:A,Groups!BD:BD)=1,"No",
MROUND(_xlfn.XLOOKUP(B336,'Base stats'!B:B,'Base stats'!BU:BU)/10000+0.01,0.01)
))</f>
        <v>No</v>
      </c>
      <c r="N336" s="4" t="str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No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9.9</v>
      </c>
      <c r="T336" s="11">
        <f>IF(S336="No","No",
MROUND(_xlfn.XLOOKUP(B336,'Base stats'!B:B,'Base stats'!BH:BH) * 0.01 * 2 + 0.05, 0.05)
)</f>
        <v>5.6000000000000005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2.5</v>
      </c>
      <c r="W336" s="8">
        <f>MROUND(_xlfn.XLOOKUP(_xlfn.XLOOKUP(B336,'Base stats'!B:B,'Base stats'!E:E),Groups!A:A,Groups!BG:BG)*_xlfn.XLOOKUP(B336,'Base stats'!B:B,'Base stats'!C:C)^-0.165,0.05)</f>
        <v>0.1</v>
      </c>
      <c r="X336" s="1">
        <f>MROUND(_xlfn.XLOOKUP(_xlfn.XLOOKUP(B336,'Base stats'!B:B,'Base stats'!E:E),Groups!A:A,Groups!BH:BH)*_xlfn.XLOOKUP(B336,'Base stats'!B:B,'Base stats'!C:C)^0.165,0.05)</f>
        <v>0.30000000000000004</v>
      </c>
      <c r="Y336" s="8">
        <f>MROUND(_xlfn.XLOOKUP(_xlfn.XLOOKUP(B336,'Base stats'!B:B,'Base stats'!E:E),Groups!A:A,Groups!BI:BI)*_xlfn.XLOOKUP(B336,'Base stats'!B:B,'Base stats'!C:C)^0.165,0.05)</f>
        <v>0.05</v>
      </c>
      <c r="Z336" s="18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0.01</v>
      </c>
      <c r="AA336" s="18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0.05</v>
      </c>
      <c r="AB336" s="18">
        <f>MROUND(250*(Animals!AO336+Animals!AP336),25)</f>
        <v>1375</v>
      </c>
      <c r="AC336" s="18" t="str">
        <f>_xlfn.XLOOKUP(_xlfn.XLOOKUP(B336,'Base stats'!B:B,'Base stats'!E:E),Groups!A:A,Groups!BJ:BJ)</f>
        <v>QuadrupedLow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0.70000000000000007</v>
      </c>
      <c r="E337" s="11">
        <f>MROUND(_xlfn.XLOOKUP(B337,'Base stats'!B:B,'Base stats'!BG:BG) * 0.01 * 2 + 0.01, 0.05)</f>
        <v>0.55000000000000004</v>
      </c>
      <c r="F337" s="7">
        <f>MROUND(_xlfn.XLOOKUP(B337,'Base stats'!B:B,'Base stats'!BD:BD)^0.25 / (_xlfn.XLOOKUP(B337,'Base stats'!B:B,'Base stats'!BK:BK) * 10) * 150 + 0.5 + _xlfn.XLOOKUP(B337,'Base stats'!B:B,'Base stats'!BW:BW), 0.05)</f>
        <v>2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str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No</v>
      </c>
      <c r="L337" s="11" t="str">
        <f>IF(K337="No","No",
MROUND(_xlfn.XLOOKUP(B337,'Base stats'!B:B,'Base stats'!BI:BI) * 0.01 *2 + 0.05, 0.05)
)</f>
        <v>No</v>
      </c>
      <c r="M337" s="5" t="str">
        <f>IF(K337="No","No",IF(_xlfn.XLOOKUP(_xlfn.XLOOKUP(B337,'Base stats'!B:B,'Base stats'!E:E),Groups!A:A,Groups!BD:BD)=1,"No",
MROUND(_xlfn.XLOOKUP(B337,'Base stats'!B:B,'Base stats'!BU:BU)/10000+0.01,0.01)
))</f>
        <v>No</v>
      </c>
      <c r="N337" s="4" t="str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No</v>
      </c>
      <c r="O337" s="3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6.3000000000000007</v>
      </c>
      <c r="P337" s="11">
        <f>IF(O337="No","No",
MROUND(_xlfn.XLOOKUP(B337,'Base stats'!B:B,'Base stats'!BJ:BJ) * 0.01 * 2 + 0.05, 0.05)
)</f>
        <v>0.95000000000000007</v>
      </c>
      <c r="Q337" s="5">
        <f>IF(O337="No","No",
MROUND(_xlfn.XLOOKUP(B337,'Base stats'!B:B,'Base stats'!BV:BV)/10000+0.01,0.01)
)</f>
        <v>0.08</v>
      </c>
      <c r="R337" s="4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2.2000000000000002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0.15000000000000002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0.05</v>
      </c>
      <c r="AA337" s="18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0.2</v>
      </c>
      <c r="AB337" s="18">
        <f>MROUND(250*(Animals!AO337+Animals!AP337),25)</f>
        <v>400</v>
      </c>
      <c r="AC337" s="18" t="str">
        <f>_xlfn.XLOOKUP(_xlfn.XLOOKUP(B337,'Base stats'!B:B,'Base stats'!E:E),Groups!A:A,Groups!BJ:BJ)</f>
        <v>QuadrupedLow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37.9</v>
      </c>
      <c r="E338" s="11">
        <f>MROUND(_xlfn.XLOOKUP(B338,'Base stats'!B:B,'Base stats'!BG:BG) * 0.01 * 2 + 0.01, 0.05)</f>
        <v>41.150000000000006</v>
      </c>
      <c r="F338" s="7">
        <f>MROUND(_xlfn.XLOOKUP(B338,'Base stats'!B:B,'Base stats'!BD:BD)^0.25 / (_xlfn.XLOOKUP(B338,'Base stats'!B:B,'Base stats'!BK:BK) * 10) * 150 + 0.5 + _xlfn.XLOOKUP(B338,'Base stats'!B:B,'Base stats'!BW:BW), 0.05)</f>
        <v>3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str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No</v>
      </c>
      <c r="L338" s="11" t="str">
        <f>IF(K338="No","No",
MROUND(_xlfn.XLOOKUP(B338,'Base stats'!B:B,'Base stats'!BI:BI) * 0.01 *2 + 0.05, 0.05)
)</f>
        <v>No</v>
      </c>
      <c r="M338" s="5" t="str">
        <f>IF(K338="No","No",IF(_xlfn.XLOOKUP(_xlfn.XLOOKUP(B338,'Base stats'!B:B,'Base stats'!E:E),Groups!A:A,Groups!BD:BD)=1,"No",
MROUND(_xlfn.XLOOKUP(B338,'Base stats'!B:B,'Base stats'!BU:BU)/10000+0.01,0.01)
))</f>
        <v>No</v>
      </c>
      <c r="N338" s="4" t="str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No</v>
      </c>
      <c r="O338" s="3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30.6</v>
      </c>
      <c r="P338" s="11">
        <f>IF(O338="No","No",
MROUND(_xlfn.XLOOKUP(B338,'Base stats'!B:B,'Base stats'!BJ:BJ) * 0.01 * 2 + 0.05, 0.05)
)</f>
        <v>27.150000000000002</v>
      </c>
      <c r="Q338" s="5">
        <f>IF(O338="No","No",
MROUND(_xlfn.XLOOKUP(B338,'Base stats'!B:B,'Base stats'!BV:BV)/10000+0.01,0.01)
)</f>
        <v>0.31</v>
      </c>
      <c r="R338" s="4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2.75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0.05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0.2</v>
      </c>
      <c r="AA338" s="18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0.85000000000000009</v>
      </c>
      <c r="AB338" s="18">
        <f>MROUND(250*(Animals!AO338+Animals!AP338),25)</f>
        <v>2500</v>
      </c>
      <c r="AC338" s="18" t="str">
        <f>_xlfn.XLOOKUP(_xlfn.XLOOKUP(B338,'Base stats'!B:B,'Base stats'!E:E),Groups!A:A,Groups!BJ:BJ)</f>
        <v>QuadrupedLow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5.4</v>
      </c>
      <c r="E339" s="11">
        <f>MROUND(_xlfn.XLOOKUP(B339,'Base stats'!B:B,'Base stats'!BG:BG) * 0.01 * 2 + 0.01, 0.05)</f>
        <v>5.1000000000000005</v>
      </c>
      <c r="F339" s="7">
        <f>MROUND(_xlfn.XLOOKUP(B339,'Base stats'!B:B,'Base stats'!BD:BD)^0.25 / (_xlfn.XLOOKUP(B339,'Base stats'!B:B,'Base stats'!BK:BK) * 10) * 150 + 0.5 + _xlfn.XLOOKUP(B339,'Base stats'!B:B,'Base stats'!BW:BW), 0.05)</f>
        <v>3.45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str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No</v>
      </c>
      <c r="L339" s="11" t="str">
        <f>IF(K339="No","No",
MROUND(_xlfn.XLOOKUP(B339,'Base stats'!B:B,'Base stats'!BI:BI) * 0.01 *2 + 0.05, 0.05)
)</f>
        <v>No</v>
      </c>
      <c r="M339" s="5" t="str">
        <f>IF(K339="No","No",IF(_xlfn.XLOOKUP(_xlfn.XLOOKUP(B339,'Base stats'!B:B,'Base stats'!E:E),Groups!A:A,Groups!BD:BD)=1,"No",
MROUND(_xlfn.XLOOKUP(B339,'Base stats'!B:B,'Base stats'!BU:BU)/10000+0.01,0.01)
))</f>
        <v>No</v>
      </c>
      <c r="N339" s="4" t="str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No</v>
      </c>
      <c r="O339" s="3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44.900000000000006</v>
      </c>
      <c r="P339" s="11">
        <f>IF(O339="No","No",
MROUND(_xlfn.XLOOKUP(B339,'Base stats'!B:B,'Base stats'!BJ:BJ) * 0.01 * 2 + 0.05, 0.05)
)</f>
        <v>33.5</v>
      </c>
      <c r="Q339" s="5">
        <f>IF(O339="No","No",
MROUND(_xlfn.XLOOKUP(B339,'Base stats'!B:B,'Base stats'!BV:BV)/10000+0.01,0.01)
)</f>
        <v>0.95000000000000007</v>
      </c>
      <c r="R339" s="4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3.0500000000000003</v>
      </c>
      <c r="S339" s="3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39.700000000000003</v>
      </c>
      <c r="T339" s="11">
        <f>IF(S339="No","No",
MROUND(_xlfn.XLOOKUP(B339,'Base stats'!B:B,'Base stats'!BH:BH) * 0.01 * 2 + 0.05, 0.05)
)</f>
        <v>26.8</v>
      </c>
      <c r="U339" s="5">
        <f>IF(S339="No","No",IF(_xlfn.XLOOKUP(B339,'Base stats'!B:B,'Base stats'!U:U)="No","No",
MROUND(_xlfn.XLOOKUP(B339,'Base stats'!B:B,'Base stats'!BT:BT)/10000+0.01,0.01)
))</f>
        <v>7.55</v>
      </c>
      <c r="V339" s="4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3.6500000000000004</v>
      </c>
      <c r="W339" s="8">
        <f>MROUND(_xlfn.XLOOKUP(_xlfn.XLOOKUP(B339,'Base stats'!B:B,'Base stats'!E:E),Groups!A:A,Groups!BG:BG)*_xlfn.XLOOKUP(B339,'Base stats'!B:B,'Base stats'!C:C)^-0.165,0.05)</f>
        <v>0.1</v>
      </c>
      <c r="X339" s="1">
        <f>MROUND(_xlfn.XLOOKUP(_xlfn.XLOOKUP(B339,'Base stats'!B:B,'Base stats'!E:E),Groups!A:A,Groups!BH:BH)*_xlfn.XLOOKUP(B339,'Base stats'!B:B,'Base stats'!C:C)^0.165,0.05)</f>
        <v>0.25</v>
      </c>
      <c r="Y339" s="8">
        <f>MROUND(_xlfn.XLOOKUP(_xlfn.XLOOKUP(B339,'Base stats'!B:B,'Base stats'!E:E),Groups!A:A,Groups!BI:BI)*_xlfn.XLOOKUP(B339,'Base stats'!B:B,'Base stats'!C:C)^0.165,0.05)</f>
        <v>0.05</v>
      </c>
      <c r="Z339" s="18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5</v>
      </c>
      <c r="AA339" s="18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3.0500000000000003</v>
      </c>
      <c r="AB339" s="18">
        <f>MROUND(250*(Animals!AO339+Animals!AP339),25)</f>
        <v>1375</v>
      </c>
      <c r="AC339" s="18" t="str">
        <f>_xlfn.XLOOKUP(_xlfn.XLOOKUP(B339,'Base stats'!B:B,'Base stats'!E:E),Groups!A:A,Groups!BJ:BJ)</f>
        <v>QuadrupedLow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7.7</v>
      </c>
      <c r="E340" s="11">
        <f>MROUND(_xlfn.XLOOKUP(B340,'Base stats'!B:B,'Base stats'!BG:BG) * 0.01 * 2 + 0.01, 0.05)</f>
        <v>7.0500000000000007</v>
      </c>
      <c r="F340" s="7">
        <f>MROUND(_xlfn.XLOOKUP(B340,'Base stats'!B:B,'Base stats'!BD:BD)^0.25 / (_xlfn.XLOOKUP(B340,'Base stats'!B:B,'Base stats'!BK:BK) * 10) * 150 + 0.5 + _xlfn.XLOOKUP(B340,'Base stats'!B:B,'Base stats'!BW:BW), 0.05)</f>
        <v>1.8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13.200000000000001</v>
      </c>
      <c r="H340" s="11">
        <f>IF(G340="No","No",
MROUND(_xlfn.XLOOKUP(B340,'Base stats'!B:B,'Base stats'!BH:BH) * 0.01 * 2 + 0.05, 0.05)
)</f>
        <v>8.35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2.4500000000000002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24.5</v>
      </c>
      <c r="L340" s="11">
        <f>IF(K340="No","No",
MROUND(_xlfn.XLOOKUP(B340,'Base stats'!B:B,'Base stats'!BI:BI) * 0.01 *2 + 0.05, 0.05)
)</f>
        <v>8.4500000000000011</v>
      </c>
      <c r="M340" s="5">
        <f>IF(K340="No","No",IF(_xlfn.XLOOKUP(_xlfn.XLOOKUP(B340,'Base stats'!B:B,'Base stats'!E:E),Groups!A:A,Groups!BD:BD)=1,"No",
MROUND(_xlfn.XLOOKUP(B340,'Base stats'!B:B,'Base stats'!BU:BU)/10000+0.01,0.01)
))</f>
        <v>4.7300000000000004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2.4500000000000002</v>
      </c>
      <c r="O340" s="3" t="e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#VALUE!</v>
      </c>
      <c r="P340" s="11" t="e">
        <f>IF(O340="No","No",
MROUND(_xlfn.XLOOKUP(B340,'Base stats'!B:B,'Base stats'!BJ:BJ) * 0.01 * 2 + 0.05, 0.05)
)</f>
        <v>#VALUE!</v>
      </c>
      <c r="Q340" s="5" t="e">
        <f>IF(O340="No","No",
MROUND(_xlfn.XLOOKUP(B340,'Base stats'!B:B,'Base stats'!BV:BV)/10000+0.01,0.01)
)</f>
        <v>#VALUE!</v>
      </c>
      <c r="R340" s="4" t="e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#VALUE!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Crepiscubos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21.3</v>
      </c>
      <c r="E341" s="11">
        <f>MROUND(_xlfn.XLOOKUP(B341,'Base stats'!B:B,'Base stats'!BG:BG) * 0.01 * 2 + 0.01, 0.05)</f>
        <v>20.400000000000002</v>
      </c>
      <c r="F341" s="7">
        <f>MROUND(_xlfn.XLOOKUP(B341,'Base stats'!B:B,'Base stats'!BD:BD)^0.25 / (_xlfn.XLOOKUP(B341,'Base stats'!B:B,'Base stats'!BK:BK) * 10) * 150 + 0.5 + _xlfn.XLOOKUP(B341,'Base stats'!B:B,'Base stats'!BW:BW), 0.05)</f>
        <v>1.7000000000000002</v>
      </c>
      <c r="G341" s="3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24.400000000000002</v>
      </c>
      <c r="H341" s="11">
        <f>IF(G341="No","No",
MROUND(_xlfn.XLOOKUP(B341,'Base stats'!B:B,'Base stats'!BH:BH) * 0.01 * 2 + 0.05, 0.05)
)</f>
        <v>16.55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2.8000000000000003</v>
      </c>
      <c r="K341" s="3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25.5</v>
      </c>
      <c r="L341" s="11">
        <f>IF(K341="No","No",
MROUND(_xlfn.XLOOKUP(B341,'Base stats'!B:B,'Base stats'!BI:BI) * 0.01 *2 + 0.05, 0.05)
)</f>
        <v>24.5</v>
      </c>
      <c r="M341" s="5" t="str">
        <f>IF(K341="No","No",IF(_xlfn.XLOOKUP(_xlfn.XLOOKUP(B341,'Base stats'!B:B,'Base stats'!E:E),Groups!A:A,Groups!BD:BD)=1,"No",
MROUND(_xlfn.XLOOKUP(B341,'Base stats'!B:B,'Base stats'!BU:BU)/10000+0.01,0.01)
))</f>
        <v>No</v>
      </c>
      <c r="N341" s="4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2.7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0.15000000000000002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0.12</v>
      </c>
      <c r="AA341" s="18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0.5</v>
      </c>
      <c r="AB341" s="18">
        <f>MROUND(250*(Animals!AO341+Animals!AP341),25)</f>
        <v>1500</v>
      </c>
      <c r="AC341" s="18" t="str">
        <f>_xlfn.XLOOKUP(_xlfn.XLOOKUP(B341,'Base stats'!B:B,'Base stats'!E:E),Groups!A:A,Groups!BJ:BJ)</f>
        <v>Quadruped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83.7</v>
      </c>
      <c r="E342" s="11">
        <f>MROUND(_xlfn.XLOOKUP(B342,'Base stats'!B:B,'Base stats'!BG:BG) * 0.01 * 2 + 0.01, 0.05)</f>
        <v>96.5</v>
      </c>
      <c r="F342" s="7">
        <f>MROUND(_xlfn.XLOOKUP(B342,'Base stats'!B:B,'Base stats'!BD:BD)^0.25 / (_xlfn.XLOOKUP(B342,'Base stats'!B:B,'Base stats'!BK:BK) * 10) * 150 + 0.5 + _xlfn.XLOOKUP(B342,'Base stats'!B:B,'Base stats'!BW:BW), 0.05)</f>
        <v>5.15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48.6</v>
      </c>
      <c r="L342" s="11">
        <f>IF(K342="No","No",
MROUND(_xlfn.XLOOKUP(B342,'Base stats'!B:B,'Base stats'!BI:BI) * 0.01 *2 + 0.05, 0.05)
)</f>
        <v>96.9</v>
      </c>
      <c r="M342" s="5">
        <f>IF(K342="No","No",IF(_xlfn.XLOOKUP(_xlfn.XLOOKUP(B342,'Base stats'!B:B,'Base stats'!E:E),Groups!A:A,Groups!BD:BD)=1,"No",
MROUND(_xlfn.XLOOKUP(B342,'Base stats'!B:B,'Base stats'!BU:BU)/10000+0.01,0.01)
))</f>
        <v>3.9</v>
      </c>
      <c r="N342" s="4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7.45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0.05</v>
      </c>
      <c r="X342" s="1">
        <f>MROUND(_xlfn.XLOOKUP(_xlfn.XLOOKUP(B342,'Base stats'!B:B,'Base stats'!E:E),Groups!A:A,Groups!BH:BH)*_xlfn.XLOOKUP(B342,'Base stats'!B:B,'Base stats'!C:C)^0.165,0.05)</f>
        <v>0.45</v>
      </c>
      <c r="Y342" s="8">
        <f>MROUND(_xlfn.XLOOKUP(_xlfn.XLOOKUP(B342,'Base stats'!B:B,'Base stats'!E:E),Groups!A:A,Groups!BI:BI)*_xlfn.XLOOKUP(B342,'Base stats'!B:B,'Base stats'!C:C)^0.165,0.05)</f>
        <v>0.1</v>
      </c>
      <c r="Z342" s="18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0.01</v>
      </c>
      <c r="AA342" s="18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0.05</v>
      </c>
      <c r="AB342" s="18">
        <f>MROUND(250*(Animals!AO342+Animals!AP342),25)</f>
        <v>3500</v>
      </c>
      <c r="AC342" s="18" t="str">
        <f>_xlfn.XLOOKUP(_xlfn.XLOOKUP(B342,'Base stats'!B:B,'Base stats'!E:E),Groups!A:A,Groups!BJ:BJ)</f>
        <v>Birdlike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Mycopion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1.8</v>
      </c>
      <c r="E343" s="11">
        <f>MROUND(_xlfn.XLOOKUP(B343,'Base stats'!B:B,'Base stats'!BG:BG) * 0.01 * 2 + 0.01, 0.05)</f>
        <v>1.6</v>
      </c>
      <c r="F343" s="7">
        <f>MROUND(_xlfn.XLOOKUP(B343,'Base stats'!B:B,'Base stats'!BD:BD)^0.25 / (_xlfn.XLOOKUP(B343,'Base stats'!B:B,'Base stats'!BK:BK) * 10) * 150 + 0.5 + _xlfn.XLOOKUP(B343,'Base stats'!B:B,'Base stats'!BW:BW), 0.05)</f>
        <v>2.15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14.100000000000001</v>
      </c>
      <c r="P343" s="11">
        <f>IF(O343="No","No",
MROUND(_xlfn.XLOOKUP(B343,'Base stats'!B:B,'Base stats'!BJ:BJ) * 0.01 * 2 + 0.05, 0.05)
)</f>
        <v>3.7</v>
      </c>
      <c r="Q343" s="5">
        <f>IF(O343="No","No",
MROUND(_xlfn.XLOOKUP(B343,'Base stats'!B:B,'Base stats'!BV:BV)/10000+0.01,0.01)
)</f>
        <v>1.75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9.1</v>
      </c>
      <c r="T343" s="11">
        <f>IF(S343="No","No",
MROUND(_xlfn.XLOOKUP(B343,'Base stats'!B:B,'Base stats'!BH:BH) * 0.01 * 2 + 0.05, 0.05)
)</f>
        <v>1.75</v>
      </c>
      <c r="U343" s="5">
        <f>IF(S343="No","No",IF(_xlfn.XLOOKUP(B343,'Base stats'!B:B,'Base stats'!U:U)="No","No",
MROUND(_xlfn.XLOOKUP(B343,'Base stats'!B:B,'Base stats'!BT:BT)/10000+0.01,0.01)
))</f>
        <v>0.09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2.15</v>
      </c>
      <c r="W343" s="8">
        <f>MROUND(_xlfn.XLOOKUP(_xlfn.XLOOKUP(B343,'Base stats'!B:B,'Base stats'!E:E),Groups!A:A,Groups!BG:BG)*_xlfn.XLOOKUP(B343,'Base stats'!B:B,'Base stats'!C:C)^-0.165,0.05)</f>
        <v>0.1</v>
      </c>
      <c r="X343" s="1">
        <f>MROUND(_xlfn.XLOOKUP(_xlfn.XLOOKUP(B343,'Base stats'!B:B,'Base stats'!E:E),Groups!A:A,Groups!BH:BH)*_xlfn.XLOOKUP(B343,'Base stats'!B:B,'Base stats'!C:C)^0.165,0.05)</f>
        <v>0.35000000000000003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3.5500000000000003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34.35</v>
      </c>
      <c r="AB343" s="18">
        <f>MROUND(250*(Animals!AO343+Animals!AP343),25)</f>
        <v>700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Mycopodium ferus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19.100000000000001</v>
      </c>
      <c r="E344" s="11">
        <f>MROUND(_xlfn.XLOOKUP(B344,'Base stats'!B:B,'Base stats'!BG:BG) * 0.01 * 2 + 0.01, 0.05)</f>
        <v>19.700000000000003</v>
      </c>
      <c r="F344" s="7">
        <f>MROUND(_xlfn.XLOOKUP(B344,'Base stats'!B:B,'Base stats'!BD:BD)^0.25 / (_xlfn.XLOOKUP(B344,'Base stats'!B:B,'Base stats'!BK:BK) * 10) * 150 + 0.5 + _xlfn.XLOOKUP(B344,'Base stats'!B:B,'Base stats'!BW:BW), 0.05)</f>
        <v>2.85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45.300000000000004</v>
      </c>
      <c r="P344" s="11">
        <f>IF(O344="No","No",
MROUND(_xlfn.XLOOKUP(B344,'Base stats'!B:B,'Base stats'!BJ:BJ) * 0.01 * 2 + 0.05, 0.05)
)</f>
        <v>34.300000000000004</v>
      </c>
      <c r="Q344" s="5">
        <f>IF(O344="No","No",
MROUND(_xlfn.XLOOKUP(B344,'Base stats'!B:B,'Base stats'!BV:BV)/10000+0.01,0.01)
)</f>
        <v>5.26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2.6500000000000004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35.9</v>
      </c>
      <c r="T344" s="11">
        <f>IF(S344="No","No",
MROUND(_xlfn.XLOOKUP(B344,'Base stats'!B:B,'Base stats'!BH:BH) * 0.01 * 2 + 0.05, 0.05)
)</f>
        <v>18.2</v>
      </c>
      <c r="U344" s="5">
        <f>IF(S344="No","No",IF(_xlfn.XLOOKUP(B344,'Base stats'!B:B,'Base stats'!U:U)="No","No",
MROUND(_xlfn.XLOOKUP(B344,'Base stats'!B:B,'Base stats'!BT:BT)/10000+0.01,0.01)
))</f>
        <v>0.28999999999999998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2.95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0.55000000000000004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9.4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90.65</v>
      </c>
      <c r="AB344" s="18">
        <f>MROUND(250*(Animals!AO344+Animals!AP344),25)</f>
        <v>2000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7.7</v>
      </c>
      <c r="E345" s="11">
        <f>MROUND(_xlfn.XLOOKUP(B345,'Base stats'!B:B,'Base stats'!BG:BG) * 0.01 * 2 + 0.01, 0.05)</f>
        <v>7.0500000000000007</v>
      </c>
      <c r="F345" s="7">
        <f>MROUND(_xlfn.XLOOKUP(B345,'Base stats'!B:B,'Base stats'!BD:BD)^0.25 / (_xlfn.XLOOKUP(B345,'Base stats'!B:B,'Base stats'!BK:BK) * 10) * 150 + 0.5 + _xlfn.XLOOKUP(B345,'Base stats'!B:B,'Base stats'!BW:BW), 0.05)</f>
        <v>1.8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13.200000000000001</v>
      </c>
      <c r="H345" s="11">
        <f>IF(G345="No","No",
MROUND(_xlfn.XLOOKUP(B345,'Base stats'!B:B,'Base stats'!BH:BH) * 0.01 * 2 + 0.05, 0.05)
)</f>
        <v>8.35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2.4500000000000002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24.5</v>
      </c>
      <c r="L345" s="11">
        <f>IF(K345="No","No",
MROUND(_xlfn.XLOOKUP(B345,'Base stats'!B:B,'Base stats'!BI:BI) * 0.01 *2 + 0.05, 0.05)
)</f>
        <v>8.4500000000000011</v>
      </c>
      <c r="M345" s="5">
        <f>IF(K345="No","No",IF(_xlfn.XLOOKUP(_xlfn.XLOOKUP(B345,'Base stats'!B:B,'Base stats'!E:E),Groups!A:A,Groups!BD:BD)=1,"No",
MROUND(_xlfn.XLOOKUP(B345,'Base stats'!B:B,'Base stats'!BU:BU)/10000+0.01,0.01)
))</f>
        <v>4.7300000000000004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2.4500000000000002</v>
      </c>
      <c r="O345" s="3" t="e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#VALUE!</v>
      </c>
      <c r="P345" s="11" t="e">
        <f>IF(O345="No","No",
MROUND(_xlfn.XLOOKUP(B345,'Base stats'!B:B,'Base stats'!BJ:BJ) * 0.01 * 2 + 0.05, 0.05)
)</f>
        <v>#VALUE!</v>
      </c>
      <c r="Q345" s="5" t="e">
        <f>IF(O345="No","No",
MROUND(_xlfn.XLOOKUP(B345,'Base stats'!B:B,'Base stats'!BV:BV)/10000+0.01,0.01)
)</f>
        <v>#VALUE!</v>
      </c>
      <c r="R345" s="4" t="e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#VALUE!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59"/>
  <sheetViews>
    <sheetView topLeftCell="J1" zoomScale="85" zoomScaleNormal="85" workbookViewId="0">
      <selection activeCell="M5" sqref="M5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853</v>
      </c>
      <c r="C1" t="s">
        <v>852</v>
      </c>
      <c r="D1" s="16" t="s">
        <v>669</v>
      </c>
      <c r="E1" t="s">
        <v>866</v>
      </c>
      <c r="F1" t="s">
        <v>854</v>
      </c>
      <c r="G1" t="s">
        <v>855</v>
      </c>
      <c r="H1" s="16" t="s">
        <v>856</v>
      </c>
      <c r="I1" t="s">
        <v>857</v>
      </c>
      <c r="J1" t="s">
        <v>858</v>
      </c>
      <c r="K1" t="s">
        <v>863</v>
      </c>
      <c r="L1" t="s">
        <v>865</v>
      </c>
      <c r="M1" t="s">
        <v>859</v>
      </c>
      <c r="N1" t="s">
        <v>860</v>
      </c>
      <c r="O1" t="s">
        <v>861</v>
      </c>
      <c r="P1" t="s">
        <v>862</v>
      </c>
      <c r="Q1" t="s">
        <v>864</v>
      </c>
      <c r="R1" t="s">
        <v>867</v>
      </c>
      <c r="S1" t="s">
        <v>1106</v>
      </c>
      <c r="T1" t="s">
        <v>1107</v>
      </c>
      <c r="U1" t="s">
        <v>1108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4:18" x14ac:dyDescent="0.25"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4:18" x14ac:dyDescent="0.25"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4:18" x14ac:dyDescent="0.25"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4:18" x14ac:dyDescent="0.25"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4:18" x14ac:dyDescent="0.25"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4:18" x14ac:dyDescent="0.25"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4:18" x14ac:dyDescent="0.25"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4:18" x14ac:dyDescent="0.25"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/>
    </row>
    <row r="31" spans="4:18" x14ac:dyDescent="0.25"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/>
    </row>
    <row r="32" spans="4:18" s="16" customFormat="1" x14ac:dyDescent="0.25"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</row>
    <row r="33" spans="5:18" x14ac:dyDescent="0.25"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/>
    </row>
    <row r="34" spans="5:18" x14ac:dyDescent="0.25"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/>
    </row>
    <row r="35" spans="5:18" x14ac:dyDescent="0.25"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</row>
    <row r="36" spans="5:18" x14ac:dyDescent="0.25"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</row>
    <row r="37" spans="5:18" x14ac:dyDescent="0.25">
      <c r="E37" s="16"/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</row>
    <row r="38" spans="5:18" s="16" customFormat="1" x14ac:dyDescent="0.25"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</row>
    <row r="39" spans="5:18" s="16" customFormat="1" x14ac:dyDescent="0.25"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</row>
    <row r="40" spans="5:18" x14ac:dyDescent="0.25"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P40" t="str">
        <f>Animals!$C$175</f>
        <v>&lt;li&gt;AEXP_Bonobo&lt;/li&gt;</v>
      </c>
      <c r="Q40" t="str">
        <f>Animals!$C$200</f>
        <v>&lt;li&gt;VAEWaste_Megatardi&lt;/li&gt;</v>
      </c>
    </row>
    <row r="41" spans="5:18" x14ac:dyDescent="0.25"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P41" t="str">
        <f>Animals!$C$200</f>
        <v>&lt;li&gt;VAEWaste_Megatardi&lt;/li&gt;</v>
      </c>
      <c r="Q41" t="str">
        <f>Animals!$C$199</f>
        <v>&lt;li&gt;VAEWaste_Hydra&lt;/li&gt;</v>
      </c>
    </row>
    <row r="42" spans="5:18" x14ac:dyDescent="0.25"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P42" t="str">
        <f>Animals!$C$199</f>
        <v>&lt;li&gt;VAEWaste_Hydra&lt;/li&gt;</v>
      </c>
      <c r="Q42" t="str">
        <f>Animals!$C$201</f>
        <v>&lt;li&gt;VAEWaste_Pestigator&lt;/li&gt;</v>
      </c>
    </row>
    <row r="43" spans="5:18" x14ac:dyDescent="0.25">
      <c r="E43" s="16"/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P43" t="str">
        <f>Animals!$C$201</f>
        <v>&lt;li&gt;VAEWaste_Pestigator&lt;/li&gt;</v>
      </c>
      <c r="Q43" t="str">
        <f>Animals!$C$206</f>
        <v>&lt;li&gt;VAEWaste_Toxscorpion&lt;/li&gt;</v>
      </c>
    </row>
    <row r="44" spans="5:18" x14ac:dyDescent="0.25">
      <c r="E44" s="16"/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P44" t="str">
        <f>Animals!$C$204</f>
        <v>&lt;li&gt;VAEWaste_Toxiguana&lt;/li&gt;</v>
      </c>
      <c r="Q44" t="str">
        <f>Animals!$C$207</f>
        <v>&lt;li&gt;VAEWaste_Wasteboar&lt;/li&gt;</v>
      </c>
    </row>
    <row r="45" spans="5:18" x14ac:dyDescent="0.25"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P45" t="str">
        <f>Animals!$C$206</f>
        <v>&lt;li&gt;VAEWaste_Toxscorpion&lt;/li&gt;</v>
      </c>
    </row>
    <row r="46" spans="5:18" x14ac:dyDescent="0.25"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P46" t="str">
        <f>Animals!$C$207</f>
        <v>&lt;li&gt;VAEWaste_Wasteboar&lt;/li&gt;</v>
      </c>
    </row>
    <row r="47" spans="5:18" x14ac:dyDescent="0.25"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</row>
    <row r="48" spans="5:18" x14ac:dyDescent="0.25"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</row>
    <row r="49" spans="8:10" x14ac:dyDescent="0.25"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</row>
    <row r="50" spans="8:10" x14ac:dyDescent="0.25">
      <c r="I50" t="str">
        <f>Animals!$C$176</f>
        <v>&lt;li&gt;AEXP_Moa&lt;/li&gt;</v>
      </c>
    </row>
    <row r="51" spans="8:10" x14ac:dyDescent="0.25">
      <c r="I51" t="str">
        <f>Animals!$C$179</f>
        <v>&lt;li&gt;AEXP_TasmanianDevil&lt;/li&gt;</v>
      </c>
    </row>
    <row r="52" spans="8:10" x14ac:dyDescent="0.25">
      <c r="I52" t="str">
        <f>Animals!$C$180</f>
        <v>&lt;li&gt;AEXP_Thylacine&lt;/li&gt;</v>
      </c>
    </row>
    <row r="53" spans="8:10" x14ac:dyDescent="0.25">
      <c r="I53" t="str">
        <f>Animals!$C$200</f>
        <v>&lt;li&gt;VAEWaste_Megatardi&lt;/li&gt;</v>
      </c>
    </row>
    <row r="54" spans="8:10" x14ac:dyDescent="0.25">
      <c r="I54" t="str">
        <f>Animals!$C$201</f>
        <v>&lt;li&gt;VAEWaste_Pestigator&lt;/li&gt;</v>
      </c>
    </row>
    <row r="55" spans="8:10" x14ac:dyDescent="0.25">
      <c r="I55" t="str">
        <f>Animals!$C$202</f>
        <v>&lt;li&gt;VAEWaste_Toxafox&lt;/li&gt;</v>
      </c>
    </row>
    <row r="56" spans="8:10" x14ac:dyDescent="0.25">
      <c r="I56" t="str">
        <f>Animals!$C$203</f>
        <v>&lt;li&gt;VAEWaste_Toxbear&lt;/li&gt;</v>
      </c>
    </row>
    <row r="57" spans="8:10" x14ac:dyDescent="0.25">
      <c r="I57" t="str">
        <f>Animals!$C$207</f>
        <v>&lt;li&gt;VAEWaste_Wasteboar&lt;/li&gt;</v>
      </c>
    </row>
    <row r="58" spans="8:10" x14ac:dyDescent="0.25">
      <c r="I58" t="str">
        <f>Animals!$C$208</f>
        <v>&lt;li&gt;VAEWaste_Wastedeer&lt;/li&gt;</v>
      </c>
    </row>
    <row r="59" spans="8:10" x14ac:dyDescent="0.25">
      <c r="I59" t="str">
        <f>Animals!$C$209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639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1123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1144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1145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40"/>
  <sheetViews>
    <sheetView topLeftCell="A13" workbookViewId="0">
      <selection activeCell="E39" sqref="E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1769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1798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1749</v>
      </c>
    </row>
    <row r="33" spans="1:1" x14ac:dyDescent="0.25">
      <c r="A33" t="s">
        <v>1719</v>
      </c>
    </row>
    <row r="34" spans="1:1" x14ac:dyDescent="0.25">
      <c r="A34" t="s">
        <v>1750</v>
      </c>
    </row>
    <row r="35" spans="1:1" x14ac:dyDescent="0.25">
      <c r="A35" t="s">
        <v>1760</v>
      </c>
    </row>
    <row r="36" spans="1:1" x14ac:dyDescent="0.25">
      <c r="A36" t="s">
        <v>1903</v>
      </c>
    </row>
    <row r="37" spans="1:1" x14ac:dyDescent="0.25">
      <c r="A37" t="s">
        <v>1780</v>
      </c>
    </row>
    <row r="38" spans="1:1" x14ac:dyDescent="0.25">
      <c r="A38" t="s">
        <v>1787</v>
      </c>
    </row>
    <row r="39" spans="1:1" x14ac:dyDescent="0.25">
      <c r="A39" t="s">
        <v>1788</v>
      </c>
    </row>
    <row r="40" spans="1:1" x14ac:dyDescent="0.25">
      <c r="A40" t="s">
        <v>1812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2026-05-05T18:28:00Z</dcterms:modified>
</cp:coreProperties>
</file>