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F1094BEB-EA8F-4AC7-B35B-597DBD454C8F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Animals!$A$1:$BQ$68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81" i="5" l="1"/>
  <c r="D181" i="5" s="1"/>
  <c r="C181" i="5"/>
  <c r="W181" i="5"/>
  <c r="Y181" i="5"/>
  <c r="Z181" i="5"/>
  <c r="AA181" i="5"/>
  <c r="B182" i="5"/>
  <c r="W182" i="5" s="1"/>
  <c r="C182" i="5"/>
  <c r="Z182" i="5"/>
  <c r="B183" i="5"/>
  <c r="F183" i="5" s="1"/>
  <c r="C183" i="5"/>
  <c r="B184" i="5"/>
  <c r="Y184" i="5" s="1"/>
  <c r="C184" i="5"/>
  <c r="K184" i="5"/>
  <c r="M184" i="5" s="1"/>
  <c r="B185" i="5"/>
  <c r="X185" i="5" s="1"/>
  <c r="C185" i="5"/>
  <c r="Z185" i="5"/>
  <c r="B186" i="5"/>
  <c r="X186" i="5" s="1"/>
  <c r="C186" i="5"/>
  <c r="B187" i="5"/>
  <c r="X187" i="5" s="1"/>
  <c r="C187" i="5"/>
  <c r="Y187" i="5"/>
  <c r="B188" i="5"/>
  <c r="AA188" i="5" s="1"/>
  <c r="C188" i="5"/>
  <c r="Z188" i="5"/>
  <c r="B189" i="5"/>
  <c r="E189" i="5" s="1"/>
  <c r="C189" i="5"/>
  <c r="X189" i="5"/>
  <c r="Z189" i="5"/>
  <c r="B190" i="5"/>
  <c r="E190" i="5" s="1"/>
  <c r="C190" i="5"/>
  <c r="A191" i="5"/>
  <c r="B191" i="5"/>
  <c r="D191" i="5" s="1"/>
  <c r="C191" i="5"/>
  <c r="E191" i="5"/>
  <c r="W191" i="5"/>
  <c r="X191" i="5"/>
  <c r="Z191" i="5"/>
  <c r="AA191" i="5"/>
  <c r="B192" i="5"/>
  <c r="W192" i="5" s="1"/>
  <c r="C192" i="5"/>
  <c r="D192" i="5"/>
  <c r="E192" i="5"/>
  <c r="F192" i="5"/>
  <c r="G192" i="5"/>
  <c r="I192" i="5" s="1"/>
  <c r="X192" i="5"/>
  <c r="Y192" i="5"/>
  <c r="Z192" i="5"/>
  <c r="AA192" i="5"/>
  <c r="AC192" i="5"/>
  <c r="B193" i="5"/>
  <c r="D193" i="5" s="1"/>
  <c r="C193" i="5"/>
  <c r="B194" i="5"/>
  <c r="W194" i="5" s="1"/>
  <c r="C194" i="5"/>
  <c r="F194" i="5"/>
  <c r="X194" i="5"/>
  <c r="B195" i="5"/>
  <c r="F195" i="5" s="1"/>
  <c r="C195" i="5"/>
  <c r="S195" i="5"/>
  <c r="T195" i="5" s="1"/>
  <c r="B196" i="5"/>
  <c r="X196" i="5" s="1"/>
  <c r="C196" i="5"/>
  <c r="E196" i="5"/>
  <c r="F196" i="5"/>
  <c r="K196" i="5"/>
  <c r="L196" i="5" s="1"/>
  <c r="W196" i="5"/>
  <c r="AC196" i="5"/>
  <c r="E77" i="3"/>
  <c r="E76" i="3"/>
  <c r="CI196" i="1"/>
  <c r="CH196" i="1"/>
  <c r="CG196" i="1"/>
  <c r="CF196" i="1"/>
  <c r="CE196" i="1"/>
  <c r="CD196" i="1"/>
  <c r="CB196" i="1"/>
  <c r="CA196" i="1"/>
  <c r="BX196" i="1"/>
  <c r="BU196" i="1"/>
  <c r="BS196" i="1"/>
  <c r="BN196" i="1"/>
  <c r="BL196" i="1"/>
  <c r="BI196" i="1"/>
  <c r="BH196" i="1"/>
  <c r="BK196" i="1" s="1"/>
  <c r="BB196" i="1"/>
  <c r="BA196" i="1"/>
  <c r="AZ196" i="1"/>
  <c r="AY196" i="1"/>
  <c r="AX196" i="1"/>
  <c r="AW196" i="1"/>
  <c r="AV196" i="1"/>
  <c r="AS196" i="1"/>
  <c r="AR196" i="1"/>
  <c r="AO196" i="1"/>
  <c r="AN196" i="1"/>
  <c r="AI196" i="1"/>
  <c r="AK196" i="1" s="1"/>
  <c r="AC196" i="1"/>
  <c r="X196" i="1"/>
  <c r="Y196" i="1" s="1"/>
  <c r="S196" i="1"/>
  <c r="W196" i="1" s="1"/>
  <c r="P196" i="1"/>
  <c r="BZ196" i="1" s="1"/>
  <c r="O196" i="1"/>
  <c r="N196" i="1"/>
  <c r="I196" i="1"/>
  <c r="A196" i="1"/>
  <c r="A196" i="5" s="1"/>
  <c r="BL187" i="1"/>
  <c r="BL188" i="1"/>
  <c r="BL189" i="1"/>
  <c r="BL190" i="1"/>
  <c r="BL192" i="1"/>
  <c r="BL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9" i="1"/>
  <c r="BL90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4" i="1"/>
  <c r="BL115" i="1"/>
  <c r="BL116" i="1"/>
  <c r="BL117" i="1"/>
  <c r="BL119" i="1"/>
  <c r="BL120" i="1"/>
  <c r="BL121" i="1"/>
  <c r="BL122" i="1"/>
  <c r="BL123" i="1"/>
  <c r="BL124" i="1"/>
  <c r="BL125" i="1"/>
  <c r="BL126" i="1"/>
  <c r="BL127" i="1"/>
  <c r="BL128" i="1"/>
  <c r="BL129" i="1"/>
  <c r="BL131" i="1"/>
  <c r="BL132" i="1"/>
  <c r="BL133" i="1"/>
  <c r="BL134" i="1"/>
  <c r="BL135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7" i="1"/>
  <c r="BL178" i="1"/>
  <c r="BL179" i="1"/>
  <c r="BL180" i="1"/>
  <c r="BL181" i="1"/>
  <c r="BL182" i="1"/>
  <c r="BL183" i="1"/>
  <c r="BL184" i="1"/>
  <c r="BL185" i="1"/>
  <c r="CI195" i="1"/>
  <c r="CH195" i="1"/>
  <c r="CG195" i="1"/>
  <c r="CF195" i="1"/>
  <c r="CE195" i="1"/>
  <c r="CD195" i="1"/>
  <c r="CB195" i="1"/>
  <c r="CA195" i="1"/>
  <c r="BX195" i="1"/>
  <c r="BU195" i="1"/>
  <c r="BS195" i="1"/>
  <c r="AW195" i="1" s="1"/>
  <c r="BN195" i="1"/>
  <c r="BI195" i="1"/>
  <c r="BJ195" i="1" s="1"/>
  <c r="BH195" i="1"/>
  <c r="BK195" i="1" s="1"/>
  <c r="BB195" i="1"/>
  <c r="BA195" i="1"/>
  <c r="AZ195" i="1"/>
  <c r="AY195" i="1"/>
  <c r="AX195" i="1"/>
  <c r="AV195" i="1"/>
  <c r="AS195" i="1"/>
  <c r="AR195" i="1"/>
  <c r="AO195" i="1"/>
  <c r="AN195" i="1"/>
  <c r="AI195" i="1"/>
  <c r="AJ195" i="1" s="1"/>
  <c r="AC195" i="1"/>
  <c r="S195" i="1"/>
  <c r="W195" i="1" s="1"/>
  <c r="P195" i="1"/>
  <c r="BZ195" i="1" s="1"/>
  <c r="O195" i="1"/>
  <c r="N195" i="1"/>
  <c r="I195" i="1"/>
  <c r="BL195" i="1" s="1"/>
  <c r="A195" i="1"/>
  <c r="A195" i="5" s="1"/>
  <c r="CI194" i="1"/>
  <c r="CH194" i="1"/>
  <c r="CG194" i="1"/>
  <c r="CF194" i="1"/>
  <c r="CE194" i="1"/>
  <c r="CD194" i="1"/>
  <c r="CB194" i="1"/>
  <c r="CA194" i="1"/>
  <c r="BX194" i="1"/>
  <c r="BU194" i="1"/>
  <c r="BS194" i="1"/>
  <c r="AW194" i="1" s="1"/>
  <c r="BN194" i="1"/>
  <c r="BI194" i="1"/>
  <c r="BJ194" i="1" s="1"/>
  <c r="BH194" i="1"/>
  <c r="BK194" i="1" s="1"/>
  <c r="BB194" i="1"/>
  <c r="BA194" i="1"/>
  <c r="AZ194" i="1"/>
  <c r="AY194" i="1"/>
  <c r="AX194" i="1"/>
  <c r="AV194" i="1"/>
  <c r="AS194" i="1"/>
  <c r="AR194" i="1"/>
  <c r="AO194" i="1"/>
  <c r="AI194" i="1"/>
  <c r="AL194" i="1" s="1"/>
  <c r="AC194" i="1"/>
  <c r="X194" i="1"/>
  <c r="Y194" i="1" s="1"/>
  <c r="S194" i="1"/>
  <c r="W194" i="1" s="1"/>
  <c r="P194" i="1"/>
  <c r="BZ194" i="1" s="1"/>
  <c r="O194" i="1"/>
  <c r="N194" i="1"/>
  <c r="I194" i="1"/>
  <c r="BL194" i="1" s="1"/>
  <c r="A194" i="1"/>
  <c r="A194" i="5" s="1"/>
  <c r="CI193" i="1"/>
  <c r="CH193" i="1"/>
  <c r="CG193" i="1"/>
  <c r="CF193" i="1"/>
  <c r="CE193" i="1"/>
  <c r="CD193" i="1"/>
  <c r="CB193" i="1"/>
  <c r="CA193" i="1"/>
  <c r="BX193" i="1"/>
  <c r="BU193" i="1"/>
  <c r="BS193" i="1"/>
  <c r="AW193" i="1" s="1"/>
  <c r="BN193" i="1"/>
  <c r="BI193" i="1"/>
  <c r="AN193" i="1" s="1"/>
  <c r="BH193" i="1"/>
  <c r="BK193" i="1" s="1"/>
  <c r="BB193" i="1"/>
  <c r="BA193" i="1"/>
  <c r="AZ193" i="1"/>
  <c r="AY193" i="1"/>
  <c r="AX193" i="1"/>
  <c r="AV193" i="1"/>
  <c r="AS193" i="1"/>
  <c r="AR193" i="1"/>
  <c r="AO193" i="1"/>
  <c r="AC193" i="1"/>
  <c r="X193" i="1"/>
  <c r="AA193" i="1" s="1"/>
  <c r="S193" i="1"/>
  <c r="V193" i="1" s="1"/>
  <c r="P193" i="1"/>
  <c r="BZ193" i="1" s="1"/>
  <c r="O193" i="1"/>
  <c r="N193" i="1"/>
  <c r="I193" i="1"/>
  <c r="BL193" i="1" s="1"/>
  <c r="A193" i="1"/>
  <c r="A193" i="5" s="1"/>
  <c r="CI192" i="1"/>
  <c r="CH192" i="1"/>
  <c r="CG192" i="1"/>
  <c r="CF192" i="1"/>
  <c r="CE192" i="1"/>
  <c r="CD192" i="1"/>
  <c r="CB192" i="1"/>
  <c r="CA192" i="1"/>
  <c r="BX192" i="1"/>
  <c r="BU192" i="1"/>
  <c r="BS192" i="1"/>
  <c r="AW192" i="1" s="1"/>
  <c r="BN192" i="1"/>
  <c r="BP192" i="1" s="1"/>
  <c r="BI192" i="1"/>
  <c r="BH192" i="1"/>
  <c r="BK192" i="1" s="1"/>
  <c r="BB192" i="1"/>
  <c r="BA192" i="1"/>
  <c r="AY192" i="1"/>
  <c r="AX192" i="1"/>
  <c r="AV192" i="1"/>
  <c r="AS192" i="1"/>
  <c r="AR192" i="1"/>
  <c r="AO192" i="1"/>
  <c r="AD192" i="1" s="1"/>
  <c r="O192" i="5" s="1"/>
  <c r="AI192" i="1"/>
  <c r="AL192" i="1" s="1"/>
  <c r="AC192" i="1"/>
  <c r="X192" i="1"/>
  <c r="Y192" i="1" s="1"/>
  <c r="S192" i="1"/>
  <c r="W192" i="1" s="1"/>
  <c r="P192" i="1"/>
  <c r="BZ192" i="1" s="1"/>
  <c r="O192" i="1"/>
  <c r="N192" i="1"/>
  <c r="I192" i="1"/>
  <c r="A192" i="1"/>
  <c r="A192" i="5" s="1"/>
  <c r="CI184" i="1"/>
  <c r="CH184" i="1"/>
  <c r="CG184" i="1"/>
  <c r="CF184" i="1"/>
  <c r="CE184" i="1"/>
  <c r="CD184" i="1"/>
  <c r="CB184" i="1"/>
  <c r="CA184" i="1"/>
  <c r="BX184" i="1"/>
  <c r="BU184" i="1"/>
  <c r="BS184" i="1"/>
  <c r="AW184" i="1" s="1"/>
  <c r="BN184" i="1"/>
  <c r="BI184" i="1"/>
  <c r="BJ184" i="1" s="1"/>
  <c r="BH184" i="1"/>
  <c r="BK184" i="1" s="1"/>
  <c r="BB184" i="1"/>
  <c r="BA184" i="1"/>
  <c r="AY184" i="1"/>
  <c r="AX184" i="1"/>
  <c r="AV184" i="1"/>
  <c r="AS184" i="1"/>
  <c r="AR184" i="1"/>
  <c r="AO184" i="1"/>
  <c r="BD184" i="1" s="1"/>
  <c r="AI184" i="1"/>
  <c r="AM184" i="1" s="1"/>
  <c r="AC184" i="1"/>
  <c r="X184" i="1"/>
  <c r="Y184" i="1" s="1"/>
  <c r="P184" i="1"/>
  <c r="BZ184" i="1" s="1"/>
  <c r="O184" i="1"/>
  <c r="N184" i="1"/>
  <c r="I184" i="1"/>
  <c r="A184" i="1"/>
  <c r="A184" i="5" s="1"/>
  <c r="CI191" i="1"/>
  <c r="CH191" i="1"/>
  <c r="CG191" i="1"/>
  <c r="CF191" i="1"/>
  <c r="CE191" i="1"/>
  <c r="CD191" i="1"/>
  <c r="CB191" i="1"/>
  <c r="CA191" i="1"/>
  <c r="BX191" i="1"/>
  <c r="BU191" i="1"/>
  <c r="BS191" i="1"/>
  <c r="AW191" i="1" s="1"/>
  <c r="BN191" i="1"/>
  <c r="BI191" i="1"/>
  <c r="BJ191" i="1" s="1"/>
  <c r="BH191" i="1"/>
  <c r="BK191" i="1" s="1"/>
  <c r="BB191" i="1"/>
  <c r="BA191" i="1"/>
  <c r="AY191" i="1"/>
  <c r="AX191" i="1"/>
  <c r="AV191" i="1"/>
  <c r="AS191" i="1"/>
  <c r="AR191" i="1"/>
  <c r="AO191" i="1"/>
  <c r="AP191" i="1" s="1"/>
  <c r="AI191" i="1"/>
  <c r="AM191" i="1" s="1"/>
  <c r="AC191" i="1"/>
  <c r="X191" i="1"/>
  <c r="Y191" i="1" s="1"/>
  <c r="S191" i="1"/>
  <c r="W191" i="1" s="1"/>
  <c r="P191" i="1"/>
  <c r="BZ191" i="1" s="1"/>
  <c r="O191" i="1"/>
  <c r="N191" i="1"/>
  <c r="I191" i="1"/>
  <c r="BL191" i="1" s="1"/>
  <c r="A191" i="1"/>
  <c r="CI183" i="1"/>
  <c r="CH183" i="1"/>
  <c r="CG183" i="1"/>
  <c r="CF183" i="1"/>
  <c r="CE183" i="1"/>
  <c r="CD183" i="1"/>
  <c r="CB183" i="1"/>
  <c r="CA183" i="1"/>
  <c r="BX183" i="1"/>
  <c r="BU183" i="1"/>
  <c r="BS183" i="1"/>
  <c r="AW183" i="1" s="1"/>
  <c r="BN183" i="1"/>
  <c r="BI183" i="1"/>
  <c r="BJ183" i="1" s="1"/>
  <c r="BH183" i="1"/>
  <c r="BK183" i="1" s="1"/>
  <c r="BB183" i="1"/>
  <c r="BA183" i="1"/>
  <c r="AY183" i="1"/>
  <c r="AX183" i="1"/>
  <c r="AV183" i="1"/>
  <c r="AS183" i="1"/>
  <c r="AR183" i="1"/>
  <c r="AO183" i="1"/>
  <c r="BC183" i="1" s="1"/>
  <c r="AI183" i="1"/>
  <c r="AM183" i="1" s="1"/>
  <c r="AC183" i="1"/>
  <c r="X183" i="1"/>
  <c r="AB183" i="1" s="1"/>
  <c r="S183" i="1"/>
  <c r="V183" i="1" s="1"/>
  <c r="P183" i="1"/>
  <c r="BZ183" i="1" s="1"/>
  <c r="O183" i="1"/>
  <c r="N183" i="1"/>
  <c r="I183" i="1"/>
  <c r="A183" i="1"/>
  <c r="AT183" i="1" s="1"/>
  <c r="AU183" i="1" s="1"/>
  <c r="CI182" i="1"/>
  <c r="CH182" i="1"/>
  <c r="CG182" i="1"/>
  <c r="CF182" i="1"/>
  <c r="CE182" i="1"/>
  <c r="CD182" i="1"/>
  <c r="CB182" i="1"/>
  <c r="CA182" i="1"/>
  <c r="BX182" i="1"/>
  <c r="BU182" i="1"/>
  <c r="BS182" i="1"/>
  <c r="AW182" i="1" s="1"/>
  <c r="BN182" i="1"/>
  <c r="BI182" i="1"/>
  <c r="BJ182" i="1" s="1"/>
  <c r="BH182" i="1"/>
  <c r="BK182" i="1" s="1"/>
  <c r="BB182" i="1"/>
  <c r="BA182" i="1"/>
  <c r="AY182" i="1"/>
  <c r="AX182" i="1"/>
  <c r="AV182" i="1"/>
  <c r="AS182" i="1"/>
  <c r="AR182" i="1"/>
  <c r="AO182" i="1"/>
  <c r="BC182" i="1" s="1"/>
  <c r="AI182" i="1"/>
  <c r="AK182" i="1" s="1"/>
  <c r="AC182" i="1"/>
  <c r="X182" i="1"/>
  <c r="AA182" i="1" s="1"/>
  <c r="P182" i="1"/>
  <c r="BZ182" i="1" s="1"/>
  <c r="O182" i="1"/>
  <c r="N182" i="1"/>
  <c r="I182" i="1"/>
  <c r="A182" i="1"/>
  <c r="AT182" i="1" s="1"/>
  <c r="CI181" i="1"/>
  <c r="CH181" i="1"/>
  <c r="CG181" i="1"/>
  <c r="CF181" i="1"/>
  <c r="CE181" i="1"/>
  <c r="CD181" i="1"/>
  <c r="CB181" i="1"/>
  <c r="CA181" i="1"/>
  <c r="BX181" i="1"/>
  <c r="BU181" i="1"/>
  <c r="BS181" i="1"/>
  <c r="AW181" i="1" s="1"/>
  <c r="BN181" i="1"/>
  <c r="BI181" i="1"/>
  <c r="BJ181" i="1" s="1"/>
  <c r="BH181" i="1"/>
  <c r="BK181" i="1" s="1"/>
  <c r="BB181" i="1"/>
  <c r="BA181" i="1"/>
  <c r="AZ181" i="1"/>
  <c r="AY181" i="1"/>
  <c r="AX181" i="1"/>
  <c r="AV181" i="1"/>
  <c r="AS181" i="1"/>
  <c r="AR181" i="1"/>
  <c r="AO181" i="1"/>
  <c r="BD181" i="1" s="1"/>
  <c r="AC181" i="1"/>
  <c r="X181" i="1"/>
  <c r="AA181" i="1" s="1"/>
  <c r="S181" i="1"/>
  <c r="W181" i="1" s="1"/>
  <c r="P181" i="1"/>
  <c r="BZ181" i="1" s="1"/>
  <c r="O181" i="1"/>
  <c r="N181" i="1"/>
  <c r="I181" i="1"/>
  <c r="A181" i="1"/>
  <c r="A181" i="5" s="1"/>
  <c r="CI190" i="1"/>
  <c r="CH190" i="1"/>
  <c r="CG190" i="1"/>
  <c r="CF190" i="1"/>
  <c r="CE190" i="1"/>
  <c r="CD190" i="1"/>
  <c r="CB190" i="1"/>
  <c r="CA190" i="1"/>
  <c r="BX190" i="1"/>
  <c r="BU190" i="1"/>
  <c r="BS190" i="1"/>
  <c r="AW190" i="1" s="1"/>
  <c r="BN190" i="1"/>
  <c r="BI190" i="1"/>
  <c r="BJ190" i="1" s="1"/>
  <c r="BH190" i="1"/>
  <c r="BK190" i="1" s="1"/>
  <c r="BB190" i="1"/>
  <c r="BA190" i="1"/>
  <c r="AZ190" i="1"/>
  <c r="AY190" i="1"/>
  <c r="AX190" i="1"/>
  <c r="AV190" i="1"/>
  <c r="AS190" i="1"/>
  <c r="AR190" i="1"/>
  <c r="AO190" i="1"/>
  <c r="AC190" i="1"/>
  <c r="X190" i="1"/>
  <c r="AA190" i="1" s="1"/>
  <c r="S190" i="1"/>
  <c r="W190" i="1" s="1"/>
  <c r="P190" i="1"/>
  <c r="BZ190" i="1" s="1"/>
  <c r="O190" i="1"/>
  <c r="N190" i="1"/>
  <c r="I190" i="1"/>
  <c r="A190" i="1"/>
  <c r="A190" i="5" s="1"/>
  <c r="CI189" i="1"/>
  <c r="CH189" i="1"/>
  <c r="CG189" i="1"/>
  <c r="CF189" i="1"/>
  <c r="CE189" i="1"/>
  <c r="CD189" i="1"/>
  <c r="CB189" i="1"/>
  <c r="CA189" i="1"/>
  <c r="BX189" i="1"/>
  <c r="BU189" i="1"/>
  <c r="BS189" i="1"/>
  <c r="AW189" i="1" s="1"/>
  <c r="BN189" i="1"/>
  <c r="BI189" i="1"/>
  <c r="AN189" i="1" s="1"/>
  <c r="BH189" i="1"/>
  <c r="BK189" i="1" s="1"/>
  <c r="BB189" i="1"/>
  <c r="BA189" i="1"/>
  <c r="AZ189" i="1"/>
  <c r="AY189" i="1"/>
  <c r="AX189" i="1"/>
  <c r="AV189" i="1"/>
  <c r="AS189" i="1"/>
  <c r="AR189" i="1"/>
  <c r="AO189" i="1"/>
  <c r="Q189" i="1" s="1"/>
  <c r="R189" i="1" s="1"/>
  <c r="AC189" i="1"/>
  <c r="X189" i="1"/>
  <c r="Z189" i="1" s="1"/>
  <c r="S189" i="1"/>
  <c r="W189" i="1" s="1"/>
  <c r="P189" i="1"/>
  <c r="BZ189" i="1" s="1"/>
  <c r="O189" i="1"/>
  <c r="N189" i="1"/>
  <c r="I189" i="1"/>
  <c r="A189" i="1"/>
  <c r="A189" i="5" s="1"/>
  <c r="CI188" i="1"/>
  <c r="CH188" i="1"/>
  <c r="CG188" i="1"/>
  <c r="CF188" i="1"/>
  <c r="CE188" i="1"/>
  <c r="CD188" i="1"/>
  <c r="CB188" i="1"/>
  <c r="CA188" i="1"/>
  <c r="BX188" i="1"/>
  <c r="BU188" i="1"/>
  <c r="BS188" i="1"/>
  <c r="AW188" i="1" s="1"/>
  <c r="BN188" i="1"/>
  <c r="BI188" i="1"/>
  <c r="BH188" i="1"/>
  <c r="BK188" i="1" s="1"/>
  <c r="BB188" i="1"/>
  <c r="BA188" i="1"/>
  <c r="AY188" i="1"/>
  <c r="AX188" i="1"/>
  <c r="AV188" i="1"/>
  <c r="AS188" i="1"/>
  <c r="AR188" i="1"/>
  <c r="AO188" i="1"/>
  <c r="AI188" i="1"/>
  <c r="AK188" i="1" s="1"/>
  <c r="AC188" i="1"/>
  <c r="P188" i="1"/>
  <c r="BZ188" i="1" s="1"/>
  <c r="O188" i="1"/>
  <c r="N188" i="1"/>
  <c r="A188" i="1"/>
  <c r="A188" i="5" s="1"/>
  <c r="CI187" i="1"/>
  <c r="CH187" i="1"/>
  <c r="CG187" i="1"/>
  <c r="CF187" i="1"/>
  <c r="CE187" i="1"/>
  <c r="CD187" i="1"/>
  <c r="CB187" i="1"/>
  <c r="CA187" i="1"/>
  <c r="BX187" i="1"/>
  <c r="BU187" i="1"/>
  <c r="BS187" i="1"/>
  <c r="AW187" i="1" s="1"/>
  <c r="BN187" i="1"/>
  <c r="BI187" i="1"/>
  <c r="BH187" i="1"/>
  <c r="BK187" i="1" s="1"/>
  <c r="BB187" i="1"/>
  <c r="BA187" i="1"/>
  <c r="AY187" i="1"/>
  <c r="AX187" i="1"/>
  <c r="AV187" i="1"/>
  <c r="AS187" i="1"/>
  <c r="AR187" i="1"/>
  <c r="AO187" i="1"/>
  <c r="AI187" i="1"/>
  <c r="AM187" i="1" s="1"/>
  <c r="AC187" i="1"/>
  <c r="P187" i="1"/>
  <c r="BZ187" i="1" s="1"/>
  <c r="O187" i="1"/>
  <c r="N187" i="1"/>
  <c r="I187" i="1"/>
  <c r="A187" i="1"/>
  <c r="A187" i="5" s="1"/>
  <c r="CI186" i="1"/>
  <c r="CH186" i="1"/>
  <c r="CG186" i="1"/>
  <c r="CF186" i="1"/>
  <c r="CE186" i="1"/>
  <c r="CD186" i="1"/>
  <c r="CB186" i="1"/>
  <c r="CA186" i="1"/>
  <c r="BX186" i="1"/>
  <c r="BU186" i="1"/>
  <c r="BS186" i="1"/>
  <c r="AW186" i="1" s="1"/>
  <c r="BN186" i="1"/>
  <c r="BI186" i="1"/>
  <c r="BJ186" i="1" s="1"/>
  <c r="BH186" i="1"/>
  <c r="BK186" i="1" s="1"/>
  <c r="BB186" i="1"/>
  <c r="BA186" i="1"/>
  <c r="AZ186" i="1"/>
  <c r="AY186" i="1"/>
  <c r="AX186" i="1"/>
  <c r="AV186" i="1"/>
  <c r="AS186" i="1"/>
  <c r="AR186" i="1"/>
  <c r="AO186" i="1"/>
  <c r="Q186" i="1" s="1"/>
  <c r="AI186" i="1"/>
  <c r="AM186" i="1" s="1"/>
  <c r="AC186" i="1"/>
  <c r="X186" i="1"/>
  <c r="Y186" i="1" s="1"/>
  <c r="S186" i="1"/>
  <c r="W186" i="1" s="1"/>
  <c r="P186" i="1"/>
  <c r="BZ186" i="1" s="1"/>
  <c r="I186" i="1"/>
  <c r="BL186" i="1" s="1"/>
  <c r="A186" i="1"/>
  <c r="A186" i="5" s="1"/>
  <c r="CI185" i="1"/>
  <c r="CH185" i="1"/>
  <c r="CG185" i="1"/>
  <c r="CF185" i="1"/>
  <c r="CE185" i="1"/>
  <c r="CD185" i="1"/>
  <c r="CB185" i="1"/>
  <c r="CA185" i="1"/>
  <c r="BX185" i="1"/>
  <c r="BU185" i="1"/>
  <c r="BS185" i="1"/>
  <c r="AW185" i="1" s="1"/>
  <c r="BN185" i="1"/>
  <c r="BI185" i="1"/>
  <c r="BJ185" i="1" s="1"/>
  <c r="BH185" i="1"/>
  <c r="BK185" i="1" s="1"/>
  <c r="BB185" i="1"/>
  <c r="BA185" i="1"/>
  <c r="AZ185" i="1"/>
  <c r="AY185" i="1"/>
  <c r="AX185" i="1"/>
  <c r="AV185" i="1"/>
  <c r="AS185" i="1"/>
  <c r="AR185" i="1"/>
  <c r="AO185" i="1"/>
  <c r="AD185" i="1" s="1"/>
  <c r="AC185" i="1"/>
  <c r="X185" i="1"/>
  <c r="Z185" i="1" s="1"/>
  <c r="S185" i="1"/>
  <c r="V185" i="1" s="1"/>
  <c r="P185" i="1"/>
  <c r="BZ185" i="1" s="1"/>
  <c r="O185" i="1"/>
  <c r="N185" i="1"/>
  <c r="I185" i="1"/>
  <c r="A185" i="1"/>
  <c r="A185" i="5" s="1"/>
  <c r="Q40" i="16"/>
  <c r="P42" i="16"/>
  <c r="O35" i="16"/>
  <c r="I53" i="16"/>
  <c r="I52" i="16"/>
  <c r="H44" i="16"/>
  <c r="H43" i="16"/>
  <c r="BY61" i="1"/>
  <c r="BY48" i="1"/>
  <c r="E138" i="3"/>
  <c r="BV103" i="1"/>
  <c r="BV104" i="1"/>
  <c r="BV105" i="1"/>
  <c r="BV106" i="1"/>
  <c r="BV107" i="1"/>
  <c r="BV108" i="1"/>
  <c r="BV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R180" i="3"/>
  <c r="BN180" i="3"/>
  <c r="BM180" i="3" a="1"/>
  <c r="BM180" i="3" s="1"/>
  <c r="BQ180" i="3" s="1"/>
  <c r="BJ180" i="3"/>
  <c r="BF180" i="3"/>
  <c r="BC180" i="3"/>
  <c r="BA180" i="3"/>
  <c r="AZ180" i="3"/>
  <c r="AX180" i="3"/>
  <c r="AW180" i="3"/>
  <c r="AV180" i="3"/>
  <c r="AU180" i="3"/>
  <c r="AP180" i="3"/>
  <c r="BE180" i="3" s="1"/>
  <c r="AO180" i="3"/>
  <c r="BD180" i="3" s="1"/>
  <c r="AM180" i="3"/>
  <c r="AN180" i="3" s="1"/>
  <c r="AL180" i="3"/>
  <c r="T180" i="3"/>
  <c r="S180" i="3"/>
  <c r="AQ180" i="3" s="1"/>
  <c r="L180" i="3"/>
  <c r="G180" i="3"/>
  <c r="G179" i="3"/>
  <c r="BR179" i="3"/>
  <c r="BN179" i="3"/>
  <c r="BM179" i="3" a="1"/>
  <c r="BM179" i="3" s="1"/>
  <c r="BQ179" i="3" s="1"/>
  <c r="BJ179" i="3"/>
  <c r="BF179" i="3"/>
  <c r="BC179" i="3"/>
  <c r="BA179" i="3"/>
  <c r="AZ179" i="3"/>
  <c r="AX179" i="3"/>
  <c r="AW179" i="3"/>
  <c r="AV179" i="3"/>
  <c r="AP179" i="3"/>
  <c r="BE179" i="3" s="1"/>
  <c r="AO179" i="3"/>
  <c r="BD179" i="3" s="1"/>
  <c r="AM179" i="3"/>
  <c r="AN179" i="3" s="1"/>
  <c r="AL179" i="3"/>
  <c r="T179" i="3"/>
  <c r="S179" i="3"/>
  <c r="AQ179" i="3" s="1"/>
  <c r="BR178" i="3"/>
  <c r="BN178" i="3"/>
  <c r="BM178" i="3" a="1"/>
  <c r="BM178" i="3" s="1"/>
  <c r="BQ178" i="3" s="1"/>
  <c r="BJ178" i="3"/>
  <c r="BF178" i="3"/>
  <c r="BC178" i="3"/>
  <c r="BA178" i="3"/>
  <c r="AZ178" i="3"/>
  <c r="AX178" i="3"/>
  <c r="AW178" i="3"/>
  <c r="AV178" i="3"/>
  <c r="AP178" i="3"/>
  <c r="BE178" i="3" s="1"/>
  <c r="AO178" i="3"/>
  <c r="BD178" i="3" s="1"/>
  <c r="AM178" i="3"/>
  <c r="AN178" i="3" s="1"/>
  <c r="AL178" i="3"/>
  <c r="T178" i="3"/>
  <c r="S178" i="3"/>
  <c r="AQ178" i="3" s="1"/>
  <c r="L178" i="3"/>
  <c r="G177" i="3"/>
  <c r="E177" i="3"/>
  <c r="BR177" i="3"/>
  <c r="BN177" i="3"/>
  <c r="BM177" i="3" a="1"/>
  <c r="BM177" i="3" s="1"/>
  <c r="BJ177" i="3"/>
  <c r="BF177" i="3"/>
  <c r="BA177" i="3"/>
  <c r="AZ177" i="3"/>
  <c r="AX177" i="3"/>
  <c r="AW177" i="3"/>
  <c r="AV177" i="3"/>
  <c r="AQ177" i="3"/>
  <c r="BG177" i="3" s="1"/>
  <c r="AO177" i="3"/>
  <c r="BD177" i="3" s="1"/>
  <c r="AM177" i="3"/>
  <c r="AL177" i="3"/>
  <c r="T177" i="3"/>
  <c r="S177" i="3"/>
  <c r="L177" i="3"/>
  <c r="AR177" i="3"/>
  <c r="C37" i="9"/>
  <c r="D37" i="9"/>
  <c r="E37" i="9"/>
  <c r="C38" i="9"/>
  <c r="D38" i="9"/>
  <c r="E38" i="9"/>
  <c r="BR176" i="3"/>
  <c r="BN176" i="3"/>
  <c r="BM176" i="3" a="1"/>
  <c r="BM176" i="3" s="1"/>
  <c r="BQ176" i="3" s="1"/>
  <c r="BJ176" i="3"/>
  <c r="BF176" i="3"/>
  <c r="BC176" i="3"/>
  <c r="BA176" i="3"/>
  <c r="AZ176" i="3"/>
  <c r="AX176" i="3"/>
  <c r="AW176" i="3"/>
  <c r="AV176" i="3"/>
  <c r="AU176" i="3"/>
  <c r="AP176" i="3"/>
  <c r="BE176" i="3" s="1"/>
  <c r="AO176" i="3"/>
  <c r="BD176" i="3" s="1"/>
  <c r="AM176" i="3"/>
  <c r="AN176" i="3" s="1"/>
  <c r="AL176" i="3"/>
  <c r="T176" i="3"/>
  <c r="S176" i="3"/>
  <c r="AQ176" i="3" s="1"/>
  <c r="L176" i="3"/>
  <c r="G176" i="3"/>
  <c r="F176" i="3"/>
  <c r="J176" i="3"/>
  <c r="K42" i="16"/>
  <c r="K41" i="16"/>
  <c r="J44" i="16"/>
  <c r="J43" i="16"/>
  <c r="K40" i="16"/>
  <c r="J42" i="16"/>
  <c r="K39" i="16"/>
  <c r="J41" i="16"/>
  <c r="L174" i="3"/>
  <c r="BR175" i="3"/>
  <c r="BN175" i="3"/>
  <c r="BM175" i="3" a="1"/>
  <c r="BM175" i="3" s="1"/>
  <c r="BQ175" i="3" s="1"/>
  <c r="BJ175" i="3"/>
  <c r="BF175" i="3"/>
  <c r="BC175" i="3"/>
  <c r="BA175" i="3"/>
  <c r="AZ175" i="3"/>
  <c r="AX175" i="3"/>
  <c r="AW175" i="3"/>
  <c r="AV175" i="3"/>
  <c r="AP175" i="3"/>
  <c r="BE175" i="3" s="1"/>
  <c r="AO175" i="3"/>
  <c r="BD175" i="3" s="1"/>
  <c r="AM175" i="3"/>
  <c r="AN175" i="3" s="1"/>
  <c r="AL175" i="3"/>
  <c r="V175" i="3"/>
  <c r="AU175" i="3" s="1"/>
  <c r="T175" i="3"/>
  <c r="S175" i="3"/>
  <c r="AQ175" i="3" s="1"/>
  <c r="G175" i="3"/>
  <c r="BR174" i="3"/>
  <c r="BN174" i="3"/>
  <c r="BM174" i="3" a="1"/>
  <c r="BM174" i="3" s="1"/>
  <c r="BJ174" i="3"/>
  <c r="BF174" i="3"/>
  <c r="BC174" i="3"/>
  <c r="BA174" i="3"/>
  <c r="AZ174" i="3"/>
  <c r="AX174" i="3"/>
  <c r="AW174" i="3"/>
  <c r="AU174" i="3"/>
  <c r="AP174" i="3"/>
  <c r="BE174" i="3" s="1"/>
  <c r="AO174" i="3"/>
  <c r="BD174" i="3" s="1"/>
  <c r="AM174" i="3"/>
  <c r="AN174" i="3" s="1"/>
  <c r="AL174" i="3"/>
  <c r="AV174" i="3"/>
  <c r="T174" i="3"/>
  <c r="S174" i="3"/>
  <c r="AQ174" i="3" s="1"/>
  <c r="G174" i="3"/>
  <c r="E174" i="3"/>
  <c r="J174" i="3"/>
  <c r="F174" i="3"/>
  <c r="BR173" i="3"/>
  <c r="BN173" i="3"/>
  <c r="BM173" i="3" a="1"/>
  <c r="BM173" i="3" s="1"/>
  <c r="BJ173" i="3"/>
  <c r="BF173" i="3"/>
  <c r="BC173" i="3"/>
  <c r="BA173" i="3"/>
  <c r="AZ173" i="3"/>
  <c r="AX173" i="3"/>
  <c r="AW173" i="3"/>
  <c r="AV173" i="3"/>
  <c r="AP173" i="3"/>
  <c r="BE173" i="3" s="1"/>
  <c r="AO173" i="3"/>
  <c r="BD173" i="3" s="1"/>
  <c r="AM173" i="3"/>
  <c r="AN173" i="3" s="1"/>
  <c r="AL173" i="3"/>
  <c r="T173" i="3"/>
  <c r="S173" i="3"/>
  <c r="AQ173" i="3" s="1"/>
  <c r="G173" i="3"/>
  <c r="G172" i="3"/>
  <c r="E180" i="3"/>
  <c r="E179" i="3"/>
  <c r="E178" i="3"/>
  <c r="E176" i="3"/>
  <c r="E175" i="3"/>
  <c r="E173" i="3"/>
  <c r="E89" i="3"/>
  <c r="E172" i="3"/>
  <c r="BM172" i="3" a="1"/>
  <c r="BM172" i="3" s="1"/>
  <c r="BQ172" i="3" s="1"/>
  <c r="BC172" i="3"/>
  <c r="BA172" i="3"/>
  <c r="AX172" i="3"/>
  <c r="AV172" i="3"/>
  <c r="AQ172" i="3"/>
  <c r="BG172" i="3" s="1"/>
  <c r="AP172" i="3"/>
  <c r="BE172" i="3" s="1"/>
  <c r="AO172" i="3"/>
  <c r="BD172" i="3" s="1"/>
  <c r="AM172" i="3"/>
  <c r="AN172" i="3" s="1"/>
  <c r="AL172" i="3"/>
  <c r="W172" i="3"/>
  <c r="V172" i="3"/>
  <c r="AU172" i="3" s="1"/>
  <c r="T172" i="3"/>
  <c r="S172" i="3"/>
  <c r="BS172" i="1"/>
  <c r="AW172" i="1" s="1"/>
  <c r="A180" i="5"/>
  <c r="B180" i="5"/>
  <c r="C180" i="5"/>
  <c r="A172" i="5"/>
  <c r="B172" i="5"/>
  <c r="W172" i="5" s="1"/>
  <c r="C172" i="5"/>
  <c r="A173" i="5"/>
  <c r="B173" i="5"/>
  <c r="C173" i="5"/>
  <c r="A174" i="5"/>
  <c r="B174" i="5"/>
  <c r="C174" i="5"/>
  <c r="A175" i="5"/>
  <c r="B175" i="5"/>
  <c r="W175" i="5" s="1"/>
  <c r="C175" i="5"/>
  <c r="A176" i="5"/>
  <c r="B176" i="5"/>
  <c r="C176" i="5"/>
  <c r="A177" i="5"/>
  <c r="B177" i="5"/>
  <c r="Y177" i="5" s="1"/>
  <c r="C177" i="5"/>
  <c r="A178" i="5"/>
  <c r="B178" i="5"/>
  <c r="AC178" i="5" s="1"/>
  <c r="C178" i="5"/>
  <c r="A179" i="5"/>
  <c r="B179" i="5"/>
  <c r="X179" i="5" s="1"/>
  <c r="C179" i="5"/>
  <c r="I172" i="1"/>
  <c r="N172" i="1"/>
  <c r="O172" i="1"/>
  <c r="P172" i="1"/>
  <c r="BZ172" i="1" s="1"/>
  <c r="S172" i="1"/>
  <c r="T172" i="1" s="1"/>
  <c r="AC172" i="1"/>
  <c r="AI172" i="1"/>
  <c r="AJ172" i="1" s="1"/>
  <c r="AO172" i="1"/>
  <c r="BD172" i="1" s="1"/>
  <c r="AR172" i="1"/>
  <c r="AS172" i="1"/>
  <c r="AT172" i="1"/>
  <c r="AU172" i="1" s="1"/>
  <c r="AV172" i="1"/>
  <c r="AX172" i="1"/>
  <c r="AY172" i="1"/>
  <c r="BA172" i="1"/>
  <c r="BB172" i="1"/>
  <c r="BH172" i="1"/>
  <c r="BK172" i="1" s="1"/>
  <c r="BI172" i="1"/>
  <c r="AN172" i="1" s="1"/>
  <c r="BN172" i="1"/>
  <c r="BU172" i="1"/>
  <c r="BX172" i="1"/>
  <c r="CA172" i="1"/>
  <c r="CB172" i="1"/>
  <c r="CD172" i="1"/>
  <c r="CE172" i="1"/>
  <c r="CF172" i="1"/>
  <c r="CG172" i="1"/>
  <c r="CH172" i="1"/>
  <c r="CI172" i="1"/>
  <c r="I173" i="1"/>
  <c r="N173" i="1"/>
  <c r="O173" i="1"/>
  <c r="P173" i="1"/>
  <c r="BZ173" i="1" s="1"/>
  <c r="S173" i="1"/>
  <c r="W173" i="1" s="1"/>
  <c r="AC173" i="1"/>
  <c r="AO173" i="1"/>
  <c r="K173" i="1" s="1"/>
  <c r="AR173" i="1"/>
  <c r="AS173" i="1"/>
  <c r="AT173" i="1"/>
  <c r="AU173" i="1" s="1"/>
  <c r="AV173" i="1"/>
  <c r="AX173" i="1"/>
  <c r="AY173" i="1"/>
  <c r="AZ173" i="1"/>
  <c r="BA173" i="1"/>
  <c r="BB173" i="1"/>
  <c r="BH173" i="1"/>
  <c r="BK173" i="1" s="1"/>
  <c r="BI173" i="1"/>
  <c r="BJ173" i="1" s="1"/>
  <c r="BN173" i="1"/>
  <c r="BS173" i="1"/>
  <c r="AW173" i="1" s="1"/>
  <c r="BU173" i="1"/>
  <c r="BX173" i="1"/>
  <c r="CA173" i="1"/>
  <c r="CB173" i="1"/>
  <c r="CD173" i="1"/>
  <c r="CE173" i="1"/>
  <c r="CF173" i="1"/>
  <c r="CG173" i="1"/>
  <c r="CH173" i="1"/>
  <c r="CI173" i="1"/>
  <c r="I174" i="1"/>
  <c r="N174" i="1"/>
  <c r="O174" i="1"/>
  <c r="P174" i="1"/>
  <c r="BZ174" i="1" s="1"/>
  <c r="AC174" i="1"/>
  <c r="AI174" i="1"/>
  <c r="AL174" i="1" s="1"/>
  <c r="AO174" i="1"/>
  <c r="BB174" i="3" s="1"/>
  <c r="AR174" i="1"/>
  <c r="AS174" i="1"/>
  <c r="AT174" i="1"/>
  <c r="AU174" i="1" s="1"/>
  <c r="AV174" i="1"/>
  <c r="AX174" i="1"/>
  <c r="AY174" i="1"/>
  <c r="BA174" i="1"/>
  <c r="BB174" i="1"/>
  <c r="BH174" i="1"/>
  <c r="BK174" i="1" s="1"/>
  <c r="BI174" i="1"/>
  <c r="BJ174" i="1" s="1"/>
  <c r="BN174" i="1"/>
  <c r="BS174" i="1"/>
  <c r="AW174" i="1" s="1"/>
  <c r="BU174" i="1"/>
  <c r="BX174" i="1"/>
  <c r="CA174" i="1"/>
  <c r="CB174" i="1"/>
  <c r="CD174" i="1"/>
  <c r="CE174" i="1"/>
  <c r="CF174" i="1"/>
  <c r="CG174" i="1"/>
  <c r="CH174" i="1"/>
  <c r="CI174" i="1"/>
  <c r="I175" i="1"/>
  <c r="N175" i="1"/>
  <c r="O175" i="1"/>
  <c r="P175" i="1"/>
  <c r="BZ175" i="1" s="1"/>
  <c r="AC175" i="1"/>
  <c r="AI175" i="1"/>
  <c r="AL175" i="1" s="1"/>
  <c r="AO175" i="1"/>
  <c r="BB175" i="3" s="1"/>
  <c r="AR175" i="1"/>
  <c r="AS175" i="1"/>
  <c r="AT175" i="1"/>
  <c r="AU175" i="1" s="1"/>
  <c r="AV175" i="1"/>
  <c r="AX175" i="1"/>
  <c r="AY175" i="1"/>
  <c r="BA175" i="1"/>
  <c r="BB175" i="1"/>
  <c r="BH175" i="1"/>
  <c r="BK175" i="1" s="1"/>
  <c r="BI175" i="1"/>
  <c r="BJ175" i="1" s="1"/>
  <c r="BN175" i="1"/>
  <c r="BS175" i="1"/>
  <c r="AW175" i="1" s="1"/>
  <c r="BU175" i="1"/>
  <c r="BX175" i="1"/>
  <c r="CA175" i="1"/>
  <c r="CB175" i="1"/>
  <c r="CD175" i="1"/>
  <c r="CE175" i="1"/>
  <c r="CF175" i="1"/>
  <c r="CG175" i="1"/>
  <c r="CH175" i="1"/>
  <c r="CI175" i="1"/>
  <c r="I176" i="1"/>
  <c r="BL176" i="1" s="1"/>
  <c r="N176" i="1"/>
  <c r="O176" i="1"/>
  <c r="P176" i="1"/>
  <c r="BZ176" i="1" s="1"/>
  <c r="S176" i="1"/>
  <c r="T176" i="1" s="1"/>
  <c r="AC176" i="1"/>
  <c r="AI176" i="1"/>
  <c r="AJ176" i="1" s="1"/>
  <c r="AO176" i="1"/>
  <c r="BD176" i="1" s="1"/>
  <c r="AR176" i="1"/>
  <c r="AS176" i="1"/>
  <c r="AT176" i="1"/>
  <c r="AU176" i="1" s="1"/>
  <c r="AV176" i="1"/>
  <c r="AX176" i="1"/>
  <c r="AY176" i="1"/>
  <c r="BA176" i="1"/>
  <c r="BB176" i="1"/>
  <c r="BH176" i="1"/>
  <c r="BK176" i="1" s="1"/>
  <c r="BI176" i="1"/>
  <c r="BJ176" i="1" s="1"/>
  <c r="BN176" i="1"/>
  <c r="BS176" i="1"/>
  <c r="AW176" i="1" s="1"/>
  <c r="BU176" i="1"/>
  <c r="BX176" i="1"/>
  <c r="CA176" i="1"/>
  <c r="CB176" i="1"/>
  <c r="CD176" i="1"/>
  <c r="CE176" i="1"/>
  <c r="CF176" i="1"/>
  <c r="CG176" i="1"/>
  <c r="CH176" i="1"/>
  <c r="CI176" i="1"/>
  <c r="I177" i="1"/>
  <c r="N177" i="1"/>
  <c r="O177" i="1"/>
  <c r="P177" i="1"/>
  <c r="BZ177" i="1" s="1"/>
  <c r="S177" i="1"/>
  <c r="W177" i="1" s="1"/>
  <c r="AC177" i="1"/>
  <c r="AO177" i="1"/>
  <c r="K177" i="1" s="1"/>
  <c r="AR177" i="1"/>
  <c r="AS177" i="1"/>
  <c r="AT177" i="1"/>
  <c r="AU177" i="1" s="1"/>
  <c r="AV177" i="1"/>
  <c r="AX177" i="1"/>
  <c r="AY177" i="1"/>
  <c r="AZ177" i="1"/>
  <c r="BA177" i="1"/>
  <c r="BB177" i="1"/>
  <c r="BH177" i="1"/>
  <c r="BK177" i="1" s="1"/>
  <c r="BI177" i="1"/>
  <c r="BN177" i="1"/>
  <c r="BS177" i="1"/>
  <c r="AW177" i="1" s="1"/>
  <c r="BU177" i="1"/>
  <c r="BX177" i="1"/>
  <c r="CA177" i="1"/>
  <c r="CB177" i="1"/>
  <c r="CD177" i="1"/>
  <c r="CE177" i="1"/>
  <c r="CF177" i="1"/>
  <c r="CG177" i="1"/>
  <c r="CH177" i="1"/>
  <c r="CI177" i="1"/>
  <c r="I178" i="1"/>
  <c r="N178" i="1"/>
  <c r="O178" i="1"/>
  <c r="P178" i="1"/>
  <c r="BZ178" i="1" s="1"/>
  <c r="S178" i="1"/>
  <c r="W178" i="1" s="1"/>
  <c r="AC178" i="1"/>
  <c r="AI178" i="1"/>
  <c r="AL178" i="1" s="1"/>
  <c r="AO178" i="1"/>
  <c r="BB178" i="3" s="1"/>
  <c r="AR178" i="1"/>
  <c r="AS178" i="1"/>
  <c r="AT178" i="1"/>
  <c r="AU178" i="1" s="1"/>
  <c r="AV178" i="1"/>
  <c r="AX178" i="1"/>
  <c r="AY178" i="1"/>
  <c r="AZ178" i="1"/>
  <c r="BA178" i="1"/>
  <c r="BB178" i="1"/>
  <c r="BH178" i="1"/>
  <c r="BK178" i="1" s="1"/>
  <c r="BI178" i="1"/>
  <c r="BN178" i="1"/>
  <c r="BS178" i="1"/>
  <c r="AW178" i="1" s="1"/>
  <c r="BU178" i="1"/>
  <c r="BX178" i="1"/>
  <c r="CA178" i="1"/>
  <c r="CB178" i="1"/>
  <c r="CD178" i="1"/>
  <c r="CE178" i="1"/>
  <c r="CF178" i="1"/>
  <c r="CG178" i="1"/>
  <c r="CH178" i="1"/>
  <c r="CI178" i="1"/>
  <c r="I179" i="1"/>
  <c r="N179" i="1"/>
  <c r="O179" i="1"/>
  <c r="P179" i="1"/>
  <c r="BZ179" i="1" s="1"/>
  <c r="S179" i="1"/>
  <c r="T179" i="1" s="1"/>
  <c r="AC179" i="1"/>
  <c r="AI179" i="1"/>
  <c r="AL179" i="1" s="1"/>
  <c r="AO179" i="1"/>
  <c r="BB179" i="3" s="1"/>
  <c r="AR179" i="1"/>
  <c r="AS179" i="1"/>
  <c r="AT179" i="1"/>
  <c r="AU179" i="1" s="1"/>
  <c r="AV179" i="1"/>
  <c r="AX179" i="1"/>
  <c r="AY179" i="1"/>
  <c r="AZ179" i="1"/>
  <c r="BA179" i="1"/>
  <c r="BB179" i="1"/>
  <c r="BH179" i="1"/>
  <c r="BK179" i="1" s="1"/>
  <c r="BI179" i="1"/>
  <c r="BN179" i="1"/>
  <c r="BS179" i="1"/>
  <c r="AW179" i="1" s="1"/>
  <c r="BU179" i="1"/>
  <c r="BX179" i="1"/>
  <c r="CA179" i="1"/>
  <c r="CB179" i="1"/>
  <c r="CD179" i="1"/>
  <c r="CE179" i="1"/>
  <c r="CF179" i="1"/>
  <c r="CG179" i="1"/>
  <c r="CH179" i="1"/>
  <c r="CI179" i="1"/>
  <c r="I180" i="1"/>
  <c r="P180" i="1"/>
  <c r="BZ180" i="1" s="1"/>
  <c r="S180" i="1"/>
  <c r="T180" i="1" s="1"/>
  <c r="AC180" i="1"/>
  <c r="AI180" i="1"/>
  <c r="AL180" i="1" s="1"/>
  <c r="AO180" i="1"/>
  <c r="BB180" i="3" s="1"/>
  <c r="AR180" i="1"/>
  <c r="AS180" i="1"/>
  <c r="AT180" i="1"/>
  <c r="AU180" i="1" s="1"/>
  <c r="AV180" i="1"/>
  <c r="AX180" i="1"/>
  <c r="AY180" i="1"/>
  <c r="AZ180" i="1"/>
  <c r="BA180" i="1"/>
  <c r="BB180" i="1"/>
  <c r="BH180" i="1"/>
  <c r="BK180" i="1" s="1"/>
  <c r="BI180" i="1"/>
  <c r="BJ180" i="1" s="1"/>
  <c r="BN180" i="1"/>
  <c r="BS180" i="1"/>
  <c r="AW180" i="1" s="1"/>
  <c r="BU180" i="1"/>
  <c r="BX180" i="1"/>
  <c r="CA180" i="1"/>
  <c r="CB180" i="1"/>
  <c r="CD180" i="1"/>
  <c r="CE180" i="1"/>
  <c r="CF180" i="1"/>
  <c r="CG180" i="1"/>
  <c r="CH180" i="1"/>
  <c r="CI180" i="1"/>
  <c r="B171" i="5"/>
  <c r="Y171" i="5" s="1"/>
  <c r="C171" i="5"/>
  <c r="I171" i="1"/>
  <c r="N171" i="1"/>
  <c r="O171" i="1"/>
  <c r="P171" i="1"/>
  <c r="BZ171" i="1" s="1"/>
  <c r="S171" i="1"/>
  <c r="T171" i="1" s="1"/>
  <c r="X171" i="1"/>
  <c r="Y171" i="1" s="1"/>
  <c r="AC171" i="1"/>
  <c r="AO171" i="1"/>
  <c r="BD171" i="1" s="1"/>
  <c r="AR171" i="1"/>
  <c r="AS171" i="1"/>
  <c r="AV171" i="1"/>
  <c r="AX171" i="1"/>
  <c r="AY171" i="1"/>
  <c r="AZ171" i="1"/>
  <c r="BA171" i="1"/>
  <c r="BB171" i="1"/>
  <c r="BH171" i="1"/>
  <c r="BK171" i="1" s="1"/>
  <c r="BI171" i="1"/>
  <c r="BN171" i="1"/>
  <c r="BS171" i="1"/>
  <c r="AW171" i="1" s="1"/>
  <c r="BU171" i="1"/>
  <c r="BX171" i="1"/>
  <c r="CA171" i="1"/>
  <c r="CB171" i="1"/>
  <c r="CD171" i="1"/>
  <c r="CE171" i="1"/>
  <c r="CF171" i="1"/>
  <c r="CG171" i="1"/>
  <c r="CH171" i="1"/>
  <c r="CI171" i="1"/>
  <c r="A171" i="1"/>
  <c r="A171" i="5" s="1"/>
  <c r="BR171" i="3"/>
  <c r="BN171" i="3"/>
  <c r="BM171" i="3" a="1"/>
  <c r="BM171" i="3" s="1"/>
  <c r="BJ171" i="3"/>
  <c r="BF171" i="3"/>
  <c r="BC171" i="3"/>
  <c r="BA171" i="3"/>
  <c r="AZ171" i="3"/>
  <c r="AX171" i="3"/>
  <c r="AW171" i="3"/>
  <c r="AV171" i="3"/>
  <c r="AP171" i="3"/>
  <c r="BE171" i="3" s="1"/>
  <c r="AO171" i="3"/>
  <c r="BD171" i="3" s="1"/>
  <c r="AM171" i="3"/>
  <c r="AN171" i="3" s="1"/>
  <c r="AL171" i="3"/>
  <c r="T171" i="3"/>
  <c r="S171" i="3"/>
  <c r="AQ171" i="3" s="1"/>
  <c r="L171" i="3"/>
  <c r="E171" i="3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8" i="1"/>
  <c r="AY169" i="1"/>
  <c r="AY170" i="1"/>
  <c r="A167" i="1"/>
  <c r="A168" i="1"/>
  <c r="A168" i="5" s="1"/>
  <c r="A169" i="1"/>
  <c r="A169" i="5" s="1"/>
  <c r="A170" i="1"/>
  <c r="A170" i="5" s="1"/>
  <c r="E170" i="3"/>
  <c r="B168" i="5"/>
  <c r="W168" i="5" s="1"/>
  <c r="C168" i="5"/>
  <c r="B169" i="5"/>
  <c r="C169" i="5"/>
  <c r="B170" i="5"/>
  <c r="C170" i="5"/>
  <c r="AL168" i="3"/>
  <c r="AM168" i="3"/>
  <c r="AN168" i="3" s="1"/>
  <c r="AO168" i="3"/>
  <c r="AP168" i="3"/>
  <c r="AQ168" i="3"/>
  <c r="BG168" i="3" s="1"/>
  <c r="AR168" i="3"/>
  <c r="AU168" i="3"/>
  <c r="AV168" i="3"/>
  <c r="AW168" i="3"/>
  <c r="AX168" i="3"/>
  <c r="AZ168" i="3"/>
  <c r="BA168" i="3"/>
  <c r="BC168" i="3"/>
  <c r="BD168" i="3"/>
  <c r="BF168" i="3" s="1"/>
  <c r="BK168" i="3"/>
  <c r="BM168" i="3" a="1"/>
  <c r="BM168" i="3" s="1"/>
  <c r="BN168" i="3"/>
  <c r="AL169" i="3"/>
  <c r="AO169" i="3"/>
  <c r="AV169" i="3"/>
  <c r="AW169" i="3"/>
  <c r="AX169" i="3"/>
  <c r="AZ169" i="3"/>
  <c r="BA169" i="3"/>
  <c r="BF169" i="3"/>
  <c r="BJ169" i="3"/>
  <c r="BN169" i="3"/>
  <c r="BR169" i="3"/>
  <c r="AL170" i="3"/>
  <c r="AM170" i="3"/>
  <c r="AN170" i="3" s="1"/>
  <c r="AO170" i="3"/>
  <c r="AP170" i="3"/>
  <c r="BE170" i="3" s="1"/>
  <c r="AQ170" i="3"/>
  <c r="BG170" i="3" s="1"/>
  <c r="AU170" i="3"/>
  <c r="AV170" i="3"/>
  <c r="AW170" i="3"/>
  <c r="AX170" i="3"/>
  <c r="AZ170" i="3"/>
  <c r="BA170" i="3"/>
  <c r="BC170" i="3"/>
  <c r="BD170" i="3"/>
  <c r="BP170" i="3" s="1"/>
  <c r="BF170" i="3"/>
  <c r="BJ170" i="3"/>
  <c r="BK170" i="3"/>
  <c r="BM170" i="3" a="1"/>
  <c r="BM170" i="3" s="1"/>
  <c r="BN170" i="3"/>
  <c r="BR170" i="3"/>
  <c r="S168" i="3"/>
  <c r="T168" i="3"/>
  <c r="S169" i="3"/>
  <c r="T169" i="3"/>
  <c r="S170" i="3"/>
  <c r="T170" i="3"/>
  <c r="J168" i="3"/>
  <c r="J169" i="3"/>
  <c r="J170" i="3"/>
  <c r="I168" i="1"/>
  <c r="J168" i="1"/>
  <c r="BV168" i="1" s="1"/>
  <c r="P168" i="1"/>
  <c r="AC168" i="1"/>
  <c r="AI168" i="1"/>
  <c r="AK168" i="1" s="1"/>
  <c r="AO168" i="1"/>
  <c r="BC168" i="1" s="1"/>
  <c r="AR168" i="1"/>
  <c r="AS168" i="1"/>
  <c r="AV168" i="1"/>
  <c r="AX168" i="1"/>
  <c r="AZ168" i="1"/>
  <c r="BA168" i="1"/>
  <c r="BB168" i="1"/>
  <c r="BH168" i="1"/>
  <c r="BK168" i="1" s="1"/>
  <c r="BI168" i="1"/>
  <c r="AN168" i="1" s="1"/>
  <c r="BN168" i="1"/>
  <c r="BS168" i="1"/>
  <c r="AW168" i="1" s="1"/>
  <c r="BU168" i="1"/>
  <c r="BX168" i="1"/>
  <c r="CA168" i="1"/>
  <c r="CB168" i="1"/>
  <c r="CD168" i="1"/>
  <c r="CE168" i="1"/>
  <c r="CF168" i="1"/>
  <c r="CG168" i="1"/>
  <c r="CH168" i="1"/>
  <c r="CI168" i="1"/>
  <c r="I169" i="1"/>
  <c r="P169" i="1"/>
  <c r="AC169" i="1"/>
  <c r="AO169" i="1"/>
  <c r="BC169" i="1" s="1"/>
  <c r="AR169" i="1"/>
  <c r="AS169" i="1"/>
  <c r="AV169" i="1"/>
  <c r="BA169" i="1"/>
  <c r="BN169" i="1"/>
  <c r="BS169" i="1"/>
  <c r="AW169" i="1" s="1"/>
  <c r="BU169" i="1"/>
  <c r="BX169" i="1"/>
  <c r="CI169" i="1"/>
  <c r="I170" i="1"/>
  <c r="J170" i="1"/>
  <c r="BE170" i="1" s="1"/>
  <c r="P170" i="1"/>
  <c r="AC170" i="1"/>
  <c r="AI170" i="1"/>
  <c r="AJ170" i="1" s="1"/>
  <c r="AO170" i="1"/>
  <c r="Q170" i="1" s="1"/>
  <c r="AR170" i="1"/>
  <c r="AS170" i="1"/>
  <c r="AV170" i="1"/>
  <c r="AX170" i="1"/>
  <c r="AZ170" i="1"/>
  <c r="BA170" i="1"/>
  <c r="BB170" i="1"/>
  <c r="BH170" i="1"/>
  <c r="BK170" i="1" s="1"/>
  <c r="BI170" i="1"/>
  <c r="AN170" i="1" s="1"/>
  <c r="BN170" i="1"/>
  <c r="BS170" i="1"/>
  <c r="AW170" i="1" s="1"/>
  <c r="BU170" i="1"/>
  <c r="BX170" i="1"/>
  <c r="CA170" i="1"/>
  <c r="CB170" i="1"/>
  <c r="CD170" i="1"/>
  <c r="CE170" i="1"/>
  <c r="CF170" i="1"/>
  <c r="CG170" i="1"/>
  <c r="CH170" i="1"/>
  <c r="CI170" i="1"/>
  <c r="F168" i="3"/>
  <c r="F169" i="3"/>
  <c r="F170" i="3"/>
  <c r="E169" i="3"/>
  <c r="AX169" i="1" s="1"/>
  <c r="E168" i="3"/>
  <c r="CF76" i="1"/>
  <c r="CF77" i="1"/>
  <c r="CF79" i="1"/>
  <c r="CF81" i="1"/>
  <c r="CF89" i="1"/>
  <c r="CF91" i="1"/>
  <c r="CF92" i="1"/>
  <c r="CF93" i="1"/>
  <c r="CF94" i="1"/>
  <c r="CF98" i="1"/>
  <c r="CF99" i="1"/>
  <c r="CF100" i="1"/>
  <c r="CF101" i="1"/>
  <c r="CF102" i="1"/>
  <c r="CF109" i="1"/>
  <c r="CF110" i="1"/>
  <c r="CF113" i="1"/>
  <c r="CF114" i="1"/>
  <c r="CF115" i="1"/>
  <c r="CF116" i="1"/>
  <c r="CF117" i="1"/>
  <c r="CF118" i="1"/>
  <c r="CF119" i="1"/>
  <c r="CF120" i="1"/>
  <c r="CF122" i="1"/>
  <c r="CF123" i="1"/>
  <c r="CF128" i="1"/>
  <c r="CF130" i="1"/>
  <c r="CF131" i="1"/>
  <c r="CF133" i="1"/>
  <c r="CF134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3" i="1"/>
  <c r="W193" i="5" l="1"/>
  <c r="Z190" i="5"/>
  <c r="AC183" i="5"/>
  <c r="D195" i="5"/>
  <c r="D187" i="5"/>
  <c r="Z194" i="5"/>
  <c r="Y191" i="5"/>
  <c r="Y189" i="5"/>
  <c r="F191" i="5"/>
  <c r="AA195" i="5"/>
  <c r="AC193" i="5"/>
  <c r="Z195" i="5"/>
  <c r="Z193" i="5"/>
  <c r="Y195" i="5"/>
  <c r="Y193" i="5"/>
  <c r="Z187" i="5"/>
  <c r="Q192" i="5"/>
  <c r="R192" i="5"/>
  <c r="G196" i="5"/>
  <c r="H196" i="5" s="1"/>
  <c r="S194" i="5"/>
  <c r="G195" i="5"/>
  <c r="H195" i="5" s="1"/>
  <c r="A183" i="5"/>
  <c r="K194" i="5"/>
  <c r="W189" i="5"/>
  <c r="W187" i="5"/>
  <c r="G194" i="5"/>
  <c r="H194" i="5" s="1"/>
  <c r="S191" i="5"/>
  <c r="K190" i="5"/>
  <c r="S187" i="5"/>
  <c r="T187" i="5" s="1"/>
  <c r="K193" i="5"/>
  <c r="M193" i="5" s="1"/>
  <c r="S188" i="5"/>
  <c r="Z186" i="5"/>
  <c r="K185" i="5"/>
  <c r="L185" i="5" s="1"/>
  <c r="BP196" i="1"/>
  <c r="BM196" i="1" s="1"/>
  <c r="AC195" i="5"/>
  <c r="G193" i="5"/>
  <c r="H193" i="5" s="1"/>
  <c r="K191" i="5"/>
  <c r="L191" i="5" s="1"/>
  <c r="G190" i="5"/>
  <c r="K189" i="5"/>
  <c r="L189" i="5" s="1"/>
  <c r="S186" i="5"/>
  <c r="T186" i="5" s="1"/>
  <c r="G185" i="5"/>
  <c r="H185" i="5" s="1"/>
  <c r="S182" i="5"/>
  <c r="V182" i="5" s="1"/>
  <c r="E193" i="5"/>
  <c r="S192" i="5"/>
  <c r="AB191" i="5"/>
  <c r="G191" i="5"/>
  <c r="H191" i="5" s="1"/>
  <c r="G189" i="5"/>
  <c r="J189" i="5" s="1"/>
  <c r="S183" i="5"/>
  <c r="V183" i="5" s="1"/>
  <c r="K181" i="5"/>
  <c r="M181" i="5" s="1"/>
  <c r="D189" i="5"/>
  <c r="K186" i="5"/>
  <c r="K182" i="5"/>
  <c r="G181" i="5"/>
  <c r="H181" i="5" s="1"/>
  <c r="K192" i="5"/>
  <c r="M192" i="5" s="1"/>
  <c r="F187" i="5"/>
  <c r="K183" i="5"/>
  <c r="N183" i="5" s="1"/>
  <c r="S196" i="5"/>
  <c r="T196" i="5" s="1"/>
  <c r="X195" i="5"/>
  <c r="AA193" i="5"/>
  <c r="H192" i="5"/>
  <c r="AA189" i="5"/>
  <c r="AC187" i="5"/>
  <c r="E187" i="5"/>
  <c r="G186" i="5"/>
  <c r="S184" i="5"/>
  <c r="T184" i="5" s="1"/>
  <c r="G183" i="5"/>
  <c r="H183" i="5" s="1"/>
  <c r="A182" i="5"/>
  <c r="J194" i="5"/>
  <c r="M190" i="5"/>
  <c r="AC185" i="5"/>
  <c r="I191" i="5"/>
  <c r="D184" i="5"/>
  <c r="I194" i="5"/>
  <c r="J192" i="5"/>
  <c r="N186" i="5"/>
  <c r="AA185" i="5"/>
  <c r="H190" i="5"/>
  <c r="X188" i="5"/>
  <c r="W185" i="5"/>
  <c r="Z184" i="5"/>
  <c r="X184" i="5"/>
  <c r="O185" i="5"/>
  <c r="Q185" i="5" s="1"/>
  <c r="W184" i="5"/>
  <c r="V184" i="5"/>
  <c r="AA183" i="5"/>
  <c r="E183" i="5"/>
  <c r="AA196" i="5"/>
  <c r="P192" i="5"/>
  <c r="F189" i="5"/>
  <c r="U184" i="5"/>
  <c r="Z183" i="5"/>
  <c r="D183" i="5"/>
  <c r="F182" i="5"/>
  <c r="Z196" i="5"/>
  <c r="E195" i="5"/>
  <c r="N194" i="5"/>
  <c r="AC189" i="5"/>
  <c r="F185" i="5"/>
  <c r="Y183" i="5"/>
  <c r="E185" i="5"/>
  <c r="AC191" i="5"/>
  <c r="D185" i="5"/>
  <c r="L184" i="5"/>
  <c r="D190" i="5"/>
  <c r="I189" i="5"/>
  <c r="D196" i="5"/>
  <c r="X193" i="5"/>
  <c r="AA190" i="5"/>
  <c r="Y188" i="5"/>
  <c r="W186" i="5"/>
  <c r="X181" i="5"/>
  <c r="L181" i="5"/>
  <c r="N196" i="5"/>
  <c r="AC194" i="5"/>
  <c r="E194" i="5"/>
  <c r="Y190" i="5"/>
  <c r="W188" i="5"/>
  <c r="G184" i="5"/>
  <c r="X183" i="5"/>
  <c r="AC182" i="5"/>
  <c r="E182" i="5"/>
  <c r="Y196" i="5"/>
  <c r="M196" i="5"/>
  <c r="W195" i="5"/>
  <c r="D194" i="5"/>
  <c r="X190" i="5"/>
  <c r="AA187" i="5"/>
  <c r="Y185" i="5"/>
  <c r="F184" i="5"/>
  <c r="W183" i="5"/>
  <c r="D182" i="5"/>
  <c r="I181" i="5"/>
  <c r="V195" i="5"/>
  <c r="AA194" i="5"/>
  <c r="W190" i="5"/>
  <c r="AC184" i="5"/>
  <c r="E184" i="5"/>
  <c r="AA182" i="5"/>
  <c r="U195" i="5"/>
  <c r="F186" i="5"/>
  <c r="V196" i="5"/>
  <c r="J196" i="5"/>
  <c r="Y194" i="5"/>
  <c r="F193" i="5"/>
  <c r="N189" i="5"/>
  <c r="AC186" i="5"/>
  <c r="E186" i="5"/>
  <c r="AA184" i="5"/>
  <c r="O184" i="5"/>
  <c r="Y182" i="5"/>
  <c r="M182" i="5"/>
  <c r="F181" i="5"/>
  <c r="D186" i="5"/>
  <c r="N184" i="5"/>
  <c r="X182" i="5"/>
  <c r="AC181" i="5"/>
  <c r="E181" i="5"/>
  <c r="U196" i="5"/>
  <c r="I196" i="5"/>
  <c r="M189" i="5"/>
  <c r="F188" i="5"/>
  <c r="N191" i="5"/>
  <c r="AC188" i="5"/>
  <c r="E188" i="5"/>
  <c r="V187" i="5"/>
  <c r="AA186" i="5"/>
  <c r="O186" i="5"/>
  <c r="M191" i="5"/>
  <c r="F190" i="5"/>
  <c r="D188" i="5"/>
  <c r="U187" i="5"/>
  <c r="AC190" i="5"/>
  <c r="Y186" i="5"/>
  <c r="N181" i="5"/>
  <c r="BY196" i="1"/>
  <c r="AK192" i="1"/>
  <c r="BP193" i="1"/>
  <c r="BP194" i="1"/>
  <c r="BY192" i="1"/>
  <c r="AB192" i="1"/>
  <c r="BY193" i="1"/>
  <c r="AM192" i="1"/>
  <c r="AA194" i="1"/>
  <c r="W193" i="1"/>
  <c r="AN192" i="1"/>
  <c r="BJ192" i="1"/>
  <c r="BJ193" i="1"/>
  <c r="AN194" i="1"/>
  <c r="BJ196" i="1"/>
  <c r="AA192" i="1"/>
  <c r="U193" i="1"/>
  <c r="AM194" i="1"/>
  <c r="AJ192" i="1"/>
  <c r="T193" i="1"/>
  <c r="AM188" i="1"/>
  <c r="AB194" i="1"/>
  <c r="Z193" i="1"/>
  <c r="AK195" i="1"/>
  <c r="Z196" i="1"/>
  <c r="AB193" i="1"/>
  <c r="Z194" i="1"/>
  <c r="AL195" i="1"/>
  <c r="AA196" i="1"/>
  <c r="AM195" i="1"/>
  <c r="AB196" i="1"/>
  <c r="Z192" i="1"/>
  <c r="AJ196" i="1"/>
  <c r="AJ194" i="1"/>
  <c r="T195" i="1"/>
  <c r="AL196" i="1"/>
  <c r="AK194" i="1"/>
  <c r="U195" i="1"/>
  <c r="AM196" i="1"/>
  <c r="AQ189" i="1"/>
  <c r="BR189" i="1" s="1"/>
  <c r="AQ195" i="1"/>
  <c r="BR195" i="1" s="1"/>
  <c r="AQ193" i="1"/>
  <c r="BR193" i="1" s="1"/>
  <c r="AD196" i="1"/>
  <c r="O196" i="5" s="1"/>
  <c r="AP196" i="1"/>
  <c r="AB196" i="5" s="1"/>
  <c r="AQ196" i="1"/>
  <c r="BR196" i="1" s="1"/>
  <c r="BC196" i="1"/>
  <c r="T196" i="1"/>
  <c r="BD196" i="1"/>
  <c r="U196" i="1"/>
  <c r="Q196" i="1"/>
  <c r="J196" i="1"/>
  <c r="V196" i="1"/>
  <c r="AT196" i="1"/>
  <c r="AU196" i="1" s="1"/>
  <c r="K196" i="1"/>
  <c r="BG196" i="1"/>
  <c r="BP195" i="1"/>
  <c r="BM195" i="1" s="1"/>
  <c r="BM194" i="1"/>
  <c r="AP195" i="1"/>
  <c r="AB195" i="5" s="1"/>
  <c r="BY195" i="1"/>
  <c r="BC195" i="1"/>
  <c r="AP194" i="1"/>
  <c r="AB194" i="5" s="1"/>
  <c r="BY194" i="1"/>
  <c r="BD195" i="1"/>
  <c r="AQ194" i="1"/>
  <c r="BR194" i="1" s="1"/>
  <c r="BC194" i="1"/>
  <c r="T194" i="1"/>
  <c r="BD194" i="1"/>
  <c r="J195" i="1"/>
  <c r="V195" i="1"/>
  <c r="AT195" i="1"/>
  <c r="AU195" i="1" s="1"/>
  <c r="U194" i="1"/>
  <c r="K195" i="1"/>
  <c r="BG195" i="1"/>
  <c r="J194" i="1"/>
  <c r="V194" i="1"/>
  <c r="AT194" i="1"/>
  <c r="AU194" i="1" s="1"/>
  <c r="K194" i="1"/>
  <c r="BG194" i="1"/>
  <c r="BM193" i="1"/>
  <c r="BC193" i="1"/>
  <c r="Q193" i="1"/>
  <c r="AP193" i="1"/>
  <c r="AB193" i="5" s="1"/>
  <c r="BD193" i="1"/>
  <c r="AD193" i="1"/>
  <c r="O193" i="5" s="1"/>
  <c r="P193" i="5" s="1"/>
  <c r="J193" i="1"/>
  <c r="AT193" i="1"/>
  <c r="AU193" i="1" s="1"/>
  <c r="K193" i="1"/>
  <c r="AI193" i="1"/>
  <c r="S193" i="5" s="1"/>
  <c r="T193" i="5" s="1"/>
  <c r="BG193" i="1"/>
  <c r="Y193" i="1"/>
  <c r="AE192" i="1"/>
  <c r="AH192" i="1"/>
  <c r="AG192" i="1"/>
  <c r="AF192" i="1"/>
  <c r="BM192" i="1"/>
  <c r="Q192" i="1"/>
  <c r="AP192" i="1"/>
  <c r="AB192" i="5" s="1"/>
  <c r="T192" i="1"/>
  <c r="BD192" i="1"/>
  <c r="U192" i="1"/>
  <c r="J192" i="1"/>
  <c r="V192" i="1"/>
  <c r="AT192" i="1"/>
  <c r="AU192" i="1" s="1"/>
  <c r="BC192" i="1"/>
  <c r="K192" i="1"/>
  <c r="BG192" i="1"/>
  <c r="AQ192" i="1"/>
  <c r="BR192" i="1" s="1"/>
  <c r="AN186" i="1"/>
  <c r="BY188" i="1"/>
  <c r="W177" i="5"/>
  <c r="AQ190" i="1"/>
  <c r="BR190" i="1" s="1"/>
  <c r="J183" i="1"/>
  <c r="CC183" i="1" s="1"/>
  <c r="AN185" i="1"/>
  <c r="BY182" i="1"/>
  <c r="J182" i="1"/>
  <c r="AZ182" i="1" s="1"/>
  <c r="AD189" i="1"/>
  <c r="BY187" i="1"/>
  <c r="AK187" i="1"/>
  <c r="AQ188" i="1"/>
  <c r="BR188" i="1" s="1"/>
  <c r="Q181" i="1"/>
  <c r="BY184" i="1"/>
  <c r="AN190" i="1"/>
  <c r="BY191" i="1"/>
  <c r="Q184" i="1"/>
  <c r="R184" i="1" s="1"/>
  <c r="AM182" i="1"/>
  <c r="U185" i="1"/>
  <c r="AN182" i="1"/>
  <c r="K182" i="1"/>
  <c r="AQ182" i="1"/>
  <c r="BR182" i="1" s="1"/>
  <c r="AN184" i="1"/>
  <c r="AB186" i="1"/>
  <c r="AL188" i="1"/>
  <c r="AB189" i="1"/>
  <c r="BY190" i="1"/>
  <c r="AN188" i="1"/>
  <c r="BJ188" i="1"/>
  <c r="AJ191" i="1"/>
  <c r="AB185" i="1"/>
  <c r="AL186" i="1"/>
  <c r="BJ189" i="1"/>
  <c r="T181" i="1"/>
  <c r="AN183" i="1"/>
  <c r="AK191" i="1"/>
  <c r="Z184" i="1"/>
  <c r="BY178" i="1"/>
  <c r="AL191" i="1"/>
  <c r="AB184" i="1"/>
  <c r="X172" i="5"/>
  <c r="Y181" i="1"/>
  <c r="Y179" i="5"/>
  <c r="AB182" i="1"/>
  <c r="AN191" i="1"/>
  <c r="AD184" i="1"/>
  <c r="AH184" i="1" s="1"/>
  <c r="Q183" i="1"/>
  <c r="R183" i="1" s="1"/>
  <c r="AJ184" i="1"/>
  <c r="AA186" i="1"/>
  <c r="AJ188" i="1"/>
  <c r="BC188" i="1"/>
  <c r="AA189" i="1"/>
  <c r="AB190" i="1"/>
  <c r="W183" i="1"/>
  <c r="BY180" i="1"/>
  <c r="BY186" i="1"/>
  <c r="AB181" i="1"/>
  <c r="BP182" i="1"/>
  <c r="BM182" i="1" s="1"/>
  <c r="AJ183" i="1"/>
  <c r="AQ183" i="1"/>
  <c r="BR183" i="1" s="1"/>
  <c r="AK184" i="1"/>
  <c r="Z168" i="5"/>
  <c r="BY171" i="1"/>
  <c r="T183" i="1"/>
  <c r="AK183" i="1"/>
  <c r="AL184" i="1"/>
  <c r="AC172" i="5"/>
  <c r="BY174" i="1"/>
  <c r="AJ186" i="1"/>
  <c r="AD181" i="1"/>
  <c r="AQ181" i="1"/>
  <c r="BR181" i="1" s="1"/>
  <c r="AJ182" i="1"/>
  <c r="U183" i="1"/>
  <c r="AL183" i="1"/>
  <c r="BD183" i="1"/>
  <c r="BT183" i="1" s="1"/>
  <c r="BY179" i="1"/>
  <c r="Y172" i="5"/>
  <c r="AK186" i="1"/>
  <c r="AP188" i="1"/>
  <c r="AB188" i="5" s="1"/>
  <c r="AL182" i="1"/>
  <c r="AQ184" i="1"/>
  <c r="BR184" i="1" s="1"/>
  <c r="Z173" i="5"/>
  <c r="BY189" i="1"/>
  <c r="Z191" i="1"/>
  <c r="BJ177" i="1"/>
  <c r="T185" i="1"/>
  <c r="BY185" i="1"/>
  <c r="AJ187" i="1"/>
  <c r="AN181" i="1"/>
  <c r="K183" i="1"/>
  <c r="AP183" i="1"/>
  <c r="AB183" i="5" s="1"/>
  <c r="AA191" i="1"/>
  <c r="AA184" i="1"/>
  <c r="AP184" i="1"/>
  <c r="AB184" i="5" s="1"/>
  <c r="BD182" i="1"/>
  <c r="AB191" i="1"/>
  <c r="BP191" i="1"/>
  <c r="BM191" i="1" s="1"/>
  <c r="Y168" i="5"/>
  <c r="W171" i="5"/>
  <c r="W185" i="1"/>
  <c r="AQ185" i="1"/>
  <c r="BR185" i="1" s="1"/>
  <c r="AL187" i="1"/>
  <c r="BP181" i="1"/>
  <c r="BM181" i="1" s="1"/>
  <c r="AP182" i="1"/>
  <c r="AB182" i="5" s="1"/>
  <c r="BG182" i="1"/>
  <c r="AD183" i="1"/>
  <c r="O183" i="5" s="1"/>
  <c r="P183" i="5" s="1"/>
  <c r="X168" i="5"/>
  <c r="BC189" i="1"/>
  <c r="BP184" i="1"/>
  <c r="BM184" i="1" s="1"/>
  <c r="AA175" i="5"/>
  <c r="AA185" i="1"/>
  <c r="Z186" i="1"/>
  <c r="AN187" i="1"/>
  <c r="BJ187" i="1"/>
  <c r="AP189" i="1"/>
  <c r="AB189" i="5" s="1"/>
  <c r="U181" i="1"/>
  <c r="AU182" i="1"/>
  <c r="BP183" i="1"/>
  <c r="BM183" i="1" s="1"/>
  <c r="BG183" i="1"/>
  <c r="S184" i="1"/>
  <c r="BC184" i="1"/>
  <c r="Y183" i="1"/>
  <c r="AQ191" i="1"/>
  <c r="BR191" i="1" s="1"/>
  <c r="BC191" i="1"/>
  <c r="Z183" i="1"/>
  <c r="T191" i="1"/>
  <c r="BD191" i="1"/>
  <c r="J184" i="1"/>
  <c r="AT184" i="1"/>
  <c r="AU184" i="1" s="1"/>
  <c r="Y182" i="1"/>
  <c r="AA183" i="1"/>
  <c r="U191" i="1"/>
  <c r="K184" i="1"/>
  <c r="BG184" i="1"/>
  <c r="Z182" i="1"/>
  <c r="J191" i="1"/>
  <c r="V191" i="1"/>
  <c r="AT191" i="1"/>
  <c r="AU191" i="1" s="1"/>
  <c r="K191" i="1"/>
  <c r="BG191" i="1"/>
  <c r="BY183" i="1"/>
  <c r="R181" i="1"/>
  <c r="AP181" i="1"/>
  <c r="AB181" i="5" s="1"/>
  <c r="BY181" i="1"/>
  <c r="BC181" i="1"/>
  <c r="J181" i="1"/>
  <c r="V181" i="1"/>
  <c r="AT181" i="1"/>
  <c r="AU181" i="1" s="1"/>
  <c r="K181" i="1"/>
  <c r="AI181" i="1"/>
  <c r="S181" i="5" s="1"/>
  <c r="T181" i="5" s="1"/>
  <c r="BG181" i="1"/>
  <c r="Z181" i="1"/>
  <c r="BP186" i="1"/>
  <c r="BM186" i="1" s="1"/>
  <c r="BP187" i="1"/>
  <c r="BM187" i="1" s="1"/>
  <c r="BP188" i="1"/>
  <c r="BM188" i="1" s="1"/>
  <c r="BP189" i="1"/>
  <c r="BM189" i="1" s="1"/>
  <c r="BP190" i="1"/>
  <c r="BM190" i="1" s="1"/>
  <c r="BP185" i="1"/>
  <c r="BM185" i="1" s="1"/>
  <c r="AD190" i="1"/>
  <c r="O190" i="5" s="1"/>
  <c r="T190" i="1"/>
  <c r="U190" i="1"/>
  <c r="BC190" i="1"/>
  <c r="J190" i="1"/>
  <c r="V190" i="1"/>
  <c r="AT190" i="1"/>
  <c r="AU190" i="1" s="1"/>
  <c r="K190" i="1"/>
  <c r="AI190" i="1"/>
  <c r="S190" i="5" s="1"/>
  <c r="BG190" i="1"/>
  <c r="Y190" i="1"/>
  <c r="Q190" i="1"/>
  <c r="AP190" i="1"/>
  <c r="AB190" i="5" s="1"/>
  <c r="BD190" i="1"/>
  <c r="Z190" i="1"/>
  <c r="BD189" i="1"/>
  <c r="U189" i="1"/>
  <c r="J189" i="1"/>
  <c r="V189" i="1"/>
  <c r="AT189" i="1"/>
  <c r="AU189" i="1" s="1"/>
  <c r="T189" i="1"/>
  <c r="K189" i="1"/>
  <c r="AI189" i="1"/>
  <c r="S189" i="5" s="1"/>
  <c r="V189" i="5" s="1"/>
  <c r="BG189" i="1"/>
  <c r="Y189" i="1"/>
  <c r="BD188" i="1"/>
  <c r="AQ187" i="1"/>
  <c r="BR187" i="1" s="1"/>
  <c r="BC187" i="1"/>
  <c r="BD187" i="1"/>
  <c r="J188" i="1"/>
  <c r="AT188" i="1"/>
  <c r="AU188" i="1" s="1"/>
  <c r="AP187" i="1"/>
  <c r="AB187" i="5" s="1"/>
  <c r="K188" i="1"/>
  <c r="BG188" i="1"/>
  <c r="J187" i="1"/>
  <c r="AT187" i="1"/>
  <c r="AU187" i="1" s="1"/>
  <c r="K187" i="1"/>
  <c r="BG187" i="1"/>
  <c r="R186" i="1"/>
  <c r="AP186" i="1"/>
  <c r="AB186" i="5" s="1"/>
  <c r="AQ186" i="1"/>
  <c r="BR186" i="1" s="1"/>
  <c r="T186" i="1"/>
  <c r="BD186" i="1"/>
  <c r="U186" i="1"/>
  <c r="AD186" i="1"/>
  <c r="BC186" i="1"/>
  <c r="J186" i="1"/>
  <c r="V186" i="1"/>
  <c r="AT186" i="1"/>
  <c r="AU186" i="1" s="1"/>
  <c r="K186" i="1"/>
  <c r="BG186" i="1"/>
  <c r="AH185" i="1"/>
  <c r="AG185" i="1"/>
  <c r="AF185" i="1"/>
  <c r="AE185" i="1"/>
  <c r="BC185" i="1"/>
  <c r="BD185" i="1"/>
  <c r="Q185" i="1"/>
  <c r="AP185" i="1"/>
  <c r="AB185" i="5" s="1"/>
  <c r="J185" i="1"/>
  <c r="AT185" i="1"/>
  <c r="AU185" i="1" s="1"/>
  <c r="K185" i="1"/>
  <c r="AI185" i="1"/>
  <c r="S185" i="5" s="1"/>
  <c r="T185" i="5" s="1"/>
  <c r="BG185" i="1"/>
  <c r="Y185" i="1"/>
  <c r="AT180" i="3"/>
  <c r="BY173" i="1"/>
  <c r="AA178" i="5"/>
  <c r="BY172" i="1"/>
  <c r="Z174" i="5"/>
  <c r="BY177" i="1"/>
  <c r="BY170" i="1"/>
  <c r="BZ170" i="1" s="1"/>
  <c r="BY176" i="1"/>
  <c r="Z179" i="5"/>
  <c r="BY168" i="1"/>
  <c r="BZ168" i="1" s="1"/>
  <c r="BY175" i="1"/>
  <c r="AS178" i="3"/>
  <c r="BV170" i="1"/>
  <c r="BG180" i="3"/>
  <c r="AR180" i="3"/>
  <c r="AY180" i="3"/>
  <c r="BH180" i="3"/>
  <c r="BP180" i="3"/>
  <c r="BL180" i="3"/>
  <c r="BI180" i="3"/>
  <c r="Q180" i="1"/>
  <c r="R180" i="1" s="1"/>
  <c r="D180" i="5"/>
  <c r="AT179" i="3"/>
  <c r="AT178" i="3"/>
  <c r="BJ179" i="1"/>
  <c r="AS176" i="3"/>
  <c r="AS179" i="3"/>
  <c r="BG179" i="3"/>
  <c r="AR179" i="3"/>
  <c r="AY179" i="3"/>
  <c r="V179" i="3"/>
  <c r="BH179" i="3"/>
  <c r="F179" i="5" s="1"/>
  <c r="BP179" i="3"/>
  <c r="BL179" i="3"/>
  <c r="BI179" i="3"/>
  <c r="BJ178" i="1"/>
  <c r="Q179" i="1"/>
  <c r="R179" i="1" s="1"/>
  <c r="AA179" i="5"/>
  <c r="BG178" i="3"/>
  <c r="AR178" i="3"/>
  <c r="AY178" i="3"/>
  <c r="V178" i="3"/>
  <c r="BH178" i="3"/>
  <c r="BP178" i="3"/>
  <c r="BL178" i="3"/>
  <c r="BI178" i="3"/>
  <c r="Q178" i="1"/>
  <c r="R178" i="1" s="1"/>
  <c r="AS177" i="3"/>
  <c r="AY177" i="3"/>
  <c r="AN177" i="3"/>
  <c r="Z177" i="5" s="1"/>
  <c r="BJ171" i="1"/>
  <c r="BJ172" i="1"/>
  <c r="BO177" i="3"/>
  <c r="BS177" i="3" s="1"/>
  <c r="BH177" i="3"/>
  <c r="BP177" i="3"/>
  <c r="D177" i="5" s="1"/>
  <c r="E177" i="5"/>
  <c r="V177" i="3"/>
  <c r="BB176" i="3"/>
  <c r="BI176" i="3" s="1"/>
  <c r="AP177" i="3"/>
  <c r="BE177" i="3" s="1"/>
  <c r="BQ177" i="3" s="1"/>
  <c r="BB177" i="3"/>
  <c r="BC177" i="3"/>
  <c r="BJ170" i="1"/>
  <c r="AT176" i="3"/>
  <c r="BJ168" i="1"/>
  <c r="AT177" i="3"/>
  <c r="BG176" i="3"/>
  <c r="AR176" i="3"/>
  <c r="AY176" i="3"/>
  <c r="BL176" i="3"/>
  <c r="BH176" i="3"/>
  <c r="BP176" i="3"/>
  <c r="D176" i="5" s="1"/>
  <c r="F176" i="5"/>
  <c r="AS175" i="3"/>
  <c r="AT174" i="3"/>
  <c r="S175" i="1"/>
  <c r="T175" i="1" s="1"/>
  <c r="AT175" i="3"/>
  <c r="BG175" i="3"/>
  <c r="AR175" i="3"/>
  <c r="AY175" i="3"/>
  <c r="BH175" i="3"/>
  <c r="BP175" i="3"/>
  <c r="BL175" i="3"/>
  <c r="BI175" i="3"/>
  <c r="AS173" i="3"/>
  <c r="BK175" i="3"/>
  <c r="Q175" i="1"/>
  <c r="R175" i="1" s="1"/>
  <c r="AS174" i="3"/>
  <c r="BG174" i="3"/>
  <c r="AR174" i="3"/>
  <c r="AY174" i="3"/>
  <c r="BQ174" i="3"/>
  <c r="BH174" i="3"/>
  <c r="BP174" i="3"/>
  <c r="BL174" i="3"/>
  <c r="BI174" i="3"/>
  <c r="Q174" i="1"/>
  <c r="R174" i="1" s="1"/>
  <c r="AA174" i="5"/>
  <c r="AT173" i="3"/>
  <c r="BB173" i="3"/>
  <c r="BI173" i="3" s="1"/>
  <c r="BG173" i="3"/>
  <c r="AR173" i="3"/>
  <c r="AY173" i="3"/>
  <c r="V173" i="3"/>
  <c r="BQ173" i="3"/>
  <c r="BH173" i="3"/>
  <c r="BP173" i="3"/>
  <c r="BL173" i="3"/>
  <c r="AA173" i="5"/>
  <c r="BP171" i="1"/>
  <c r="BM171" i="1" s="1"/>
  <c r="AS172" i="3"/>
  <c r="AI173" i="1"/>
  <c r="AK173" i="1" s="1"/>
  <c r="AQ172" i="1"/>
  <c r="BR172" i="1" s="1"/>
  <c r="S174" i="1"/>
  <c r="T174" i="1" s="1"/>
  <c r="AT172" i="3"/>
  <c r="BB172" i="3"/>
  <c r="BI172" i="3" s="1"/>
  <c r="AA172" i="5"/>
  <c r="Z172" i="5"/>
  <c r="BH172" i="3"/>
  <c r="BP172" i="3"/>
  <c r="BL172" i="3"/>
  <c r="BO172" i="3"/>
  <c r="BS172" i="3" s="1"/>
  <c r="AW172" i="3"/>
  <c r="AY172" i="3"/>
  <c r="BK172" i="3" s="1"/>
  <c r="AZ172" i="3"/>
  <c r="BN172" i="3"/>
  <c r="AR172" i="3"/>
  <c r="BF172" i="3"/>
  <c r="AJ174" i="1"/>
  <c r="J180" i="1"/>
  <c r="BP172" i="1"/>
  <c r="BM172" i="1" s="1"/>
  <c r="J174" i="1"/>
  <c r="J178" i="1"/>
  <c r="BE178" i="1" s="1"/>
  <c r="BF178" i="1" s="1"/>
  <c r="BO178" i="1" s="1" a="1"/>
  <c r="BO178" i="1" s="1"/>
  <c r="E172" i="5"/>
  <c r="F172" i="5"/>
  <c r="D172" i="5"/>
  <c r="G178" i="5"/>
  <c r="H178" i="5" s="1"/>
  <c r="AQ180" i="1"/>
  <c r="BR180" i="1" s="1"/>
  <c r="BP175" i="1"/>
  <c r="BM175" i="1" s="1"/>
  <c r="X174" i="1"/>
  <c r="Z174" i="1" s="1"/>
  <c r="G177" i="5"/>
  <c r="H177" i="5" s="1"/>
  <c r="AD180" i="1"/>
  <c r="AH180" i="1" s="1"/>
  <c r="AK175" i="1"/>
  <c r="Z178" i="5"/>
  <c r="F178" i="5"/>
  <c r="S176" i="5"/>
  <c r="AC180" i="5"/>
  <c r="Y178" i="5"/>
  <c r="E178" i="5"/>
  <c r="X178" i="5"/>
  <c r="D178" i="5"/>
  <c r="S174" i="5"/>
  <c r="V174" i="5" s="1"/>
  <c r="AC173" i="5"/>
  <c r="AA180" i="5"/>
  <c r="X175" i="1"/>
  <c r="AA175" i="1" s="1"/>
  <c r="W178" i="5"/>
  <c r="Z180" i="5"/>
  <c r="G179" i="5"/>
  <c r="H179" i="5" s="1"/>
  <c r="S178" i="5"/>
  <c r="T178" i="5" s="1"/>
  <c r="G173" i="5"/>
  <c r="H173" i="5" s="1"/>
  <c r="Y180" i="5"/>
  <c r="G180" i="5"/>
  <c r="J180" i="5" s="1"/>
  <c r="AA171" i="5"/>
  <c r="AC176" i="5"/>
  <c r="Z175" i="5"/>
  <c r="Y173" i="5"/>
  <c r="F173" i="5"/>
  <c r="G172" i="5"/>
  <c r="X180" i="5"/>
  <c r="F180" i="5"/>
  <c r="AC177" i="5"/>
  <c r="Y175" i="5"/>
  <c r="X173" i="5"/>
  <c r="E173" i="5"/>
  <c r="W180" i="5"/>
  <c r="E180" i="5"/>
  <c r="S179" i="5"/>
  <c r="T179" i="5" s="1"/>
  <c r="AA176" i="5"/>
  <c r="W173" i="5"/>
  <c r="D173" i="5"/>
  <c r="X177" i="1"/>
  <c r="AA177" i="1" s="1"/>
  <c r="AA177" i="5"/>
  <c r="Z176" i="5"/>
  <c r="S172" i="5"/>
  <c r="S180" i="5"/>
  <c r="V180" i="5" s="1"/>
  <c r="G176" i="5"/>
  <c r="Z171" i="1"/>
  <c r="X177" i="5"/>
  <c r="E176" i="5"/>
  <c r="S175" i="5"/>
  <c r="Y174" i="5"/>
  <c r="X174" i="5"/>
  <c r="Y176" i="5"/>
  <c r="F175" i="5"/>
  <c r="W174" i="5"/>
  <c r="W179" i="5"/>
  <c r="X176" i="5"/>
  <c r="AC175" i="5"/>
  <c r="E175" i="5"/>
  <c r="F177" i="5"/>
  <c r="W176" i="5"/>
  <c r="D175" i="5"/>
  <c r="AC179" i="5"/>
  <c r="E179" i="5"/>
  <c r="F174" i="5"/>
  <c r="X175" i="5"/>
  <c r="AC174" i="5"/>
  <c r="E174" i="5"/>
  <c r="AS171" i="3"/>
  <c r="D179" i="5"/>
  <c r="D174" i="5"/>
  <c r="X179" i="1"/>
  <c r="AA179" i="1" s="1"/>
  <c r="X178" i="1"/>
  <c r="BP176" i="1"/>
  <c r="BM176" i="1" s="1"/>
  <c r="AD176" i="1"/>
  <c r="AG176" i="1" s="1"/>
  <c r="J175" i="1"/>
  <c r="BP180" i="1"/>
  <c r="BM180" i="1" s="1"/>
  <c r="AQ176" i="1"/>
  <c r="BR176" i="1" s="1"/>
  <c r="X176" i="1"/>
  <c r="Z176" i="1" s="1"/>
  <c r="AD172" i="1"/>
  <c r="AE172" i="1" s="1"/>
  <c r="J179" i="1"/>
  <c r="AQ175" i="1"/>
  <c r="BR175" i="1" s="1"/>
  <c r="AD175" i="1"/>
  <c r="AH175" i="1" s="1"/>
  <c r="J176" i="1"/>
  <c r="X180" i="1"/>
  <c r="Z180" i="1" s="1"/>
  <c r="AK180" i="1"/>
  <c r="AJ180" i="1"/>
  <c r="K180" i="1"/>
  <c r="AP180" i="1"/>
  <c r="AB180" i="5" s="1"/>
  <c r="W180" i="1"/>
  <c r="V180" i="1"/>
  <c r="BG180" i="1"/>
  <c r="AN180" i="1"/>
  <c r="U180" i="1"/>
  <c r="AM180" i="1"/>
  <c r="BC179" i="1"/>
  <c r="AM179" i="1"/>
  <c r="AK179" i="1"/>
  <c r="AJ179" i="1"/>
  <c r="K179" i="1"/>
  <c r="BG179" i="1"/>
  <c r="BD179" i="1"/>
  <c r="AP179" i="1"/>
  <c r="AB179" i="5" s="1"/>
  <c r="U179" i="1"/>
  <c r="BD178" i="1"/>
  <c r="BC178" i="1"/>
  <c r="AN178" i="1"/>
  <c r="AM178" i="1"/>
  <c r="AJ178" i="1"/>
  <c r="V178" i="1"/>
  <c r="AP178" i="1"/>
  <c r="AB178" i="5" s="1"/>
  <c r="U178" i="1"/>
  <c r="T178" i="1"/>
  <c r="AP177" i="1"/>
  <c r="AB177" i="5" s="1"/>
  <c r="U177" i="1"/>
  <c r="BC177" i="1"/>
  <c r="AP176" i="1"/>
  <c r="AB176" i="5" s="1"/>
  <c r="W176" i="1"/>
  <c r="AN176" i="1"/>
  <c r="V176" i="1"/>
  <c r="AM176" i="1"/>
  <c r="U176" i="1"/>
  <c r="AL176" i="1"/>
  <c r="AK176" i="1"/>
  <c r="AM175" i="1"/>
  <c r="AJ175" i="1"/>
  <c r="K175" i="1"/>
  <c r="BG175" i="1"/>
  <c r="BD175" i="1"/>
  <c r="BC175" i="1"/>
  <c r="AP175" i="1"/>
  <c r="AB175" i="5" s="1"/>
  <c r="BD174" i="1"/>
  <c r="AN174" i="1"/>
  <c r="BC174" i="1"/>
  <c r="AM174" i="1"/>
  <c r="BC173" i="1"/>
  <c r="U173" i="1"/>
  <c r="AM172" i="1"/>
  <c r="AL172" i="1"/>
  <c r="V172" i="1"/>
  <c r="AP172" i="1"/>
  <c r="AB172" i="5" s="1"/>
  <c r="BP177" i="1"/>
  <c r="BM177" i="1" s="1"/>
  <c r="BP174" i="1"/>
  <c r="BM174" i="1" s="1"/>
  <c r="BP173" i="1"/>
  <c r="BM173" i="1" s="1"/>
  <c r="BP178" i="1"/>
  <c r="BM178" i="1" s="1"/>
  <c r="BP179" i="1"/>
  <c r="BM179" i="1" s="1"/>
  <c r="BD180" i="1"/>
  <c r="BC180" i="1"/>
  <c r="AN179" i="1"/>
  <c r="AK178" i="1"/>
  <c r="V177" i="1"/>
  <c r="J177" i="1"/>
  <c r="BC176" i="1"/>
  <c r="AN175" i="1"/>
  <c r="AK174" i="1"/>
  <c r="V173" i="1"/>
  <c r="J173" i="1"/>
  <c r="BC172" i="1"/>
  <c r="BG178" i="1"/>
  <c r="K178" i="1"/>
  <c r="BD177" i="1"/>
  <c r="T177" i="1"/>
  <c r="Q176" i="1"/>
  <c r="BG174" i="1"/>
  <c r="K174" i="1"/>
  <c r="BD173" i="1"/>
  <c r="T173" i="1"/>
  <c r="Q172" i="1"/>
  <c r="AQ173" i="1"/>
  <c r="BR173" i="1" s="1"/>
  <c r="AP173" i="1"/>
  <c r="AB173" i="5" s="1"/>
  <c r="W179" i="1"/>
  <c r="Q177" i="1"/>
  <c r="Q173" i="1"/>
  <c r="V179" i="1"/>
  <c r="AQ178" i="1"/>
  <c r="BR178" i="1" s="1"/>
  <c r="AN177" i="1"/>
  <c r="AQ174" i="1"/>
  <c r="BR174" i="1" s="1"/>
  <c r="AN173" i="1"/>
  <c r="AK172" i="1"/>
  <c r="AP174" i="1"/>
  <c r="AB174" i="5" s="1"/>
  <c r="AD174" i="1"/>
  <c r="O174" i="5" s="1"/>
  <c r="BG176" i="1"/>
  <c r="K176" i="1"/>
  <c r="BG172" i="1"/>
  <c r="W172" i="1"/>
  <c r="K172" i="1"/>
  <c r="AQ179" i="1"/>
  <c r="BR179" i="1" s="1"/>
  <c r="J172" i="1"/>
  <c r="X173" i="1"/>
  <c r="K173" i="5" s="1"/>
  <c r="U172" i="1"/>
  <c r="AQ177" i="1"/>
  <c r="BR177" i="1" s="1"/>
  <c r="BG177" i="1"/>
  <c r="BG173" i="1"/>
  <c r="AQ171" i="1"/>
  <c r="BR171" i="1" s="1"/>
  <c r="AA171" i="1"/>
  <c r="X171" i="5"/>
  <c r="V171" i="1"/>
  <c r="K171" i="5"/>
  <c r="M171" i="5" s="1"/>
  <c r="AT171" i="1"/>
  <c r="AU171" i="1" s="1"/>
  <c r="G171" i="5"/>
  <c r="F171" i="5"/>
  <c r="AN171" i="1"/>
  <c r="Z171" i="5"/>
  <c r="AC171" i="5"/>
  <c r="E171" i="5"/>
  <c r="D171" i="5"/>
  <c r="AD171" i="1"/>
  <c r="O171" i="5" s="1"/>
  <c r="P171" i="5" s="1"/>
  <c r="BC171" i="1"/>
  <c r="Q171" i="1"/>
  <c r="AB171" i="1"/>
  <c r="AT171" i="3"/>
  <c r="BB171" i="3"/>
  <c r="BI171" i="3" s="1"/>
  <c r="AP171" i="1"/>
  <c r="AB171" i="5" s="1"/>
  <c r="BG171" i="1"/>
  <c r="AI171" i="1"/>
  <c r="S171" i="5" s="1"/>
  <c r="T171" i="5" s="1"/>
  <c r="W171" i="1"/>
  <c r="K171" i="1"/>
  <c r="J171" i="1"/>
  <c r="U171" i="1"/>
  <c r="BH171" i="3"/>
  <c r="BP171" i="3"/>
  <c r="BL171" i="3"/>
  <c r="BG171" i="3"/>
  <c r="AR171" i="3"/>
  <c r="V171" i="3"/>
  <c r="AY171" i="3"/>
  <c r="BQ171" i="3"/>
  <c r="AA168" i="5"/>
  <c r="BD170" i="1"/>
  <c r="BT170" i="1" s="1"/>
  <c r="BC170" i="1"/>
  <c r="BD169" i="1"/>
  <c r="BD168" i="1"/>
  <c r="BT168" i="1" s="1"/>
  <c r="AC168" i="5"/>
  <c r="AT170" i="1"/>
  <c r="AU170" i="1" s="1"/>
  <c r="AT168" i="1"/>
  <c r="AU168" i="1" s="1"/>
  <c r="AT169" i="1"/>
  <c r="AU169" i="1" s="1"/>
  <c r="AP170" i="1"/>
  <c r="AB170" i="5" s="1"/>
  <c r="BB170" i="3"/>
  <c r="BI170" i="3" s="1"/>
  <c r="S168" i="1"/>
  <c r="W168" i="1" s="1"/>
  <c r="AT170" i="3"/>
  <c r="AT169" i="3"/>
  <c r="BB168" i="3"/>
  <c r="AD170" i="1"/>
  <c r="AE170" i="1" s="1"/>
  <c r="AP168" i="1"/>
  <c r="AB168" i="5" s="1"/>
  <c r="AT168" i="3"/>
  <c r="AQ168" i="1"/>
  <c r="BR168" i="1" s="1"/>
  <c r="AR170" i="3"/>
  <c r="AD168" i="1"/>
  <c r="AF168" i="1" s="1"/>
  <c r="AA170" i="5"/>
  <c r="AY170" i="3"/>
  <c r="BP168" i="3"/>
  <c r="D168" i="5" s="1"/>
  <c r="AM170" i="1"/>
  <c r="AY168" i="3"/>
  <c r="BJ168" i="3"/>
  <c r="BR168" i="3"/>
  <c r="BO168" i="3"/>
  <c r="BS168" i="3"/>
  <c r="BL170" i="3"/>
  <c r="CH169" i="1"/>
  <c r="AP169" i="1"/>
  <c r="AB169" i="5" s="1"/>
  <c r="BM169" i="3" a="1"/>
  <c r="BM169" i="3" s="1"/>
  <c r="BQ169" i="3" s="1"/>
  <c r="AU169" i="3"/>
  <c r="S168" i="5"/>
  <c r="T168" i="5" s="1"/>
  <c r="CG169" i="1"/>
  <c r="BI169" i="1"/>
  <c r="K169" i="1"/>
  <c r="CF169" i="1"/>
  <c r="BH169" i="1"/>
  <c r="BK169" i="1" s="1"/>
  <c r="AQ169" i="3"/>
  <c r="AR169" i="3" s="1"/>
  <c r="BH168" i="3"/>
  <c r="F168" i="5" s="1"/>
  <c r="S170" i="5"/>
  <c r="CE169" i="1"/>
  <c r="BB169" i="1"/>
  <c r="AJ168" i="1"/>
  <c r="AP169" i="3"/>
  <c r="BE169" i="3" s="1"/>
  <c r="CD169" i="1"/>
  <c r="BD169" i="3"/>
  <c r="BH169" i="3" s="1"/>
  <c r="F169" i="5" s="1"/>
  <c r="CB169" i="1"/>
  <c r="AQ169" i="1" s="1"/>
  <c r="BR169" i="1" s="1"/>
  <c r="AZ169" i="1"/>
  <c r="S169" i="1"/>
  <c r="T169" i="1" s="1"/>
  <c r="BC169" i="3"/>
  <c r="AM169" i="3"/>
  <c r="AN169" i="3" s="1"/>
  <c r="BE168" i="3"/>
  <c r="BQ168" i="3" s="1"/>
  <c r="BQ170" i="3"/>
  <c r="CA169" i="1"/>
  <c r="BB169" i="3"/>
  <c r="AY169" i="3"/>
  <c r="J169" i="1"/>
  <c r="E168" i="5"/>
  <c r="Z170" i="5"/>
  <c r="Y170" i="5"/>
  <c r="X170" i="5"/>
  <c r="AC169" i="5"/>
  <c r="W170" i="5"/>
  <c r="Y169" i="5"/>
  <c r="X169" i="5"/>
  <c r="W169" i="5"/>
  <c r="AC170" i="5"/>
  <c r="E170" i="5"/>
  <c r="D170" i="5"/>
  <c r="BO170" i="3"/>
  <c r="BS170" i="3"/>
  <c r="BH170" i="3"/>
  <c r="F170" i="5" s="1"/>
  <c r="AM168" i="1"/>
  <c r="AL168" i="1"/>
  <c r="AL170" i="1"/>
  <c r="AK170" i="1"/>
  <c r="CC168" i="1"/>
  <c r="CC170" i="1"/>
  <c r="BF168" i="1"/>
  <c r="BO168" i="1" s="1" a="1"/>
  <c r="BO168" i="1" s="1"/>
  <c r="BE168" i="1"/>
  <c r="BF170" i="1"/>
  <c r="BP168" i="1"/>
  <c r="BM168" i="1" s="1"/>
  <c r="BP170" i="1"/>
  <c r="BM170" i="1" s="1"/>
  <c r="R170" i="1"/>
  <c r="BP169" i="1"/>
  <c r="BM169" i="1" s="1"/>
  <c r="BG170" i="1"/>
  <c r="K170" i="1"/>
  <c r="Q168" i="1"/>
  <c r="X170" i="1"/>
  <c r="K170" i="5" s="1"/>
  <c r="L170" i="5" s="1"/>
  <c r="Q169" i="1"/>
  <c r="BO170" i="1" a="1"/>
  <c r="BO170" i="1" s="1"/>
  <c r="AQ170" i="1"/>
  <c r="BR170" i="1" s="1"/>
  <c r="S170" i="1"/>
  <c r="G170" i="5" s="1"/>
  <c r="X168" i="1"/>
  <c r="K168" i="5" s="1"/>
  <c r="M168" i="5" s="1"/>
  <c r="BG168" i="1"/>
  <c r="K168" i="1"/>
  <c r="X169" i="1"/>
  <c r="K169" i="5" s="1"/>
  <c r="BG169" i="1"/>
  <c r="AL167" i="3"/>
  <c r="I193" i="5" l="1"/>
  <c r="U193" i="5"/>
  <c r="J193" i="5"/>
  <c r="U189" i="5"/>
  <c r="R185" i="5"/>
  <c r="M185" i="5"/>
  <c r="J183" i="5"/>
  <c r="H189" i="5"/>
  <c r="Q193" i="5"/>
  <c r="N185" i="5"/>
  <c r="Q196" i="5"/>
  <c r="P196" i="5"/>
  <c r="R196" i="5"/>
  <c r="U186" i="5"/>
  <c r="U181" i="5"/>
  <c r="L182" i="5"/>
  <c r="N182" i="5"/>
  <c r="U194" i="5"/>
  <c r="V194" i="5"/>
  <c r="T194" i="5"/>
  <c r="J191" i="5"/>
  <c r="L186" i="5"/>
  <c r="M186" i="5"/>
  <c r="T182" i="5"/>
  <c r="U182" i="5"/>
  <c r="N193" i="5"/>
  <c r="J185" i="5"/>
  <c r="L192" i="5"/>
  <c r="I190" i="5"/>
  <c r="J190" i="5"/>
  <c r="N190" i="5"/>
  <c r="L190" i="5"/>
  <c r="T189" i="5"/>
  <c r="V186" i="5"/>
  <c r="T191" i="5"/>
  <c r="U191" i="5"/>
  <c r="V191" i="5"/>
  <c r="T183" i="5"/>
  <c r="U183" i="5"/>
  <c r="T188" i="5"/>
  <c r="U188" i="5"/>
  <c r="V188" i="5"/>
  <c r="I195" i="5"/>
  <c r="J181" i="5"/>
  <c r="V193" i="5"/>
  <c r="I183" i="5"/>
  <c r="I185" i="5"/>
  <c r="V181" i="5"/>
  <c r="L193" i="5"/>
  <c r="L183" i="5"/>
  <c r="M183" i="5"/>
  <c r="J195" i="5"/>
  <c r="N192" i="5"/>
  <c r="AE181" i="1"/>
  <c r="O181" i="5"/>
  <c r="R193" i="5"/>
  <c r="U192" i="5"/>
  <c r="T192" i="5"/>
  <c r="V192" i="5"/>
  <c r="AF189" i="1"/>
  <c r="O189" i="5"/>
  <c r="R183" i="5"/>
  <c r="Q183" i="5"/>
  <c r="H186" i="5"/>
  <c r="I186" i="5"/>
  <c r="J186" i="5"/>
  <c r="M194" i="5"/>
  <c r="L194" i="5"/>
  <c r="P185" i="5"/>
  <c r="V185" i="5"/>
  <c r="U185" i="5"/>
  <c r="Q190" i="5"/>
  <c r="R190" i="5"/>
  <c r="P190" i="5"/>
  <c r="T190" i="5"/>
  <c r="U190" i="5"/>
  <c r="V190" i="5"/>
  <c r="P184" i="5"/>
  <c r="Q184" i="5"/>
  <c r="R184" i="5"/>
  <c r="H184" i="5"/>
  <c r="I184" i="5"/>
  <c r="P186" i="5"/>
  <c r="Q186" i="5"/>
  <c r="R186" i="5"/>
  <c r="AZ183" i="1"/>
  <c r="BF183" i="1"/>
  <c r="BO183" i="1" s="1" a="1"/>
  <c r="BO183" i="1" s="1"/>
  <c r="BF182" i="1"/>
  <c r="BO182" i="1" s="1" a="1"/>
  <c r="BO182" i="1" s="1"/>
  <c r="AH189" i="1"/>
  <c r="AG189" i="1"/>
  <c r="BE182" i="1"/>
  <c r="BT182" i="1"/>
  <c r="CC182" i="1"/>
  <c r="AG184" i="1"/>
  <c r="AE189" i="1"/>
  <c r="BE183" i="1"/>
  <c r="R196" i="1"/>
  <c r="AH196" i="1"/>
  <c r="AG196" i="1"/>
  <c r="AF196" i="1"/>
  <c r="AE196" i="1"/>
  <c r="BT196" i="1"/>
  <c r="CC196" i="1"/>
  <c r="BF196" i="1"/>
  <c r="BO196" i="1" s="1" a="1"/>
  <c r="BO196" i="1" s="1"/>
  <c r="BE196" i="1"/>
  <c r="BT194" i="1"/>
  <c r="CC194" i="1"/>
  <c r="BE194" i="1"/>
  <c r="BF194" i="1" s="1"/>
  <c r="BO194" i="1" s="1" a="1"/>
  <c r="BO194" i="1" s="1"/>
  <c r="BT195" i="1"/>
  <c r="CC195" i="1"/>
  <c r="BF195" i="1"/>
  <c r="BO195" i="1" s="1" a="1"/>
  <c r="BO195" i="1" s="1"/>
  <c r="BE195" i="1"/>
  <c r="BT193" i="1"/>
  <c r="CC193" i="1"/>
  <c r="BF193" i="1"/>
  <c r="BO193" i="1" s="1" a="1"/>
  <c r="BO193" i="1" s="1"/>
  <c r="BE193" i="1"/>
  <c r="AH193" i="1"/>
  <c r="AG193" i="1"/>
  <c r="AF193" i="1"/>
  <c r="AE193" i="1"/>
  <c r="AM193" i="1"/>
  <c r="AL193" i="1"/>
  <c r="AK193" i="1"/>
  <c r="AJ193" i="1"/>
  <c r="R193" i="1"/>
  <c r="R192" i="1"/>
  <c r="BT192" i="1"/>
  <c r="AZ192" i="1"/>
  <c r="CC192" i="1"/>
  <c r="BF192" i="1"/>
  <c r="BO192" i="1" s="1" a="1"/>
  <c r="BO192" i="1" s="1"/>
  <c r="BE192" i="1"/>
  <c r="AE184" i="1"/>
  <c r="AF184" i="1"/>
  <c r="AE183" i="1"/>
  <c r="AG183" i="1"/>
  <c r="AF183" i="1"/>
  <c r="AH183" i="1"/>
  <c r="AH181" i="1"/>
  <c r="AG181" i="1"/>
  <c r="AF181" i="1"/>
  <c r="AZ184" i="1"/>
  <c r="BT184" i="1"/>
  <c r="CC184" i="1"/>
  <c r="BF184" i="1"/>
  <c r="BO184" i="1" s="1" a="1"/>
  <c r="BO184" i="1" s="1"/>
  <c r="BE184" i="1"/>
  <c r="T184" i="1"/>
  <c r="W184" i="1"/>
  <c r="V184" i="1"/>
  <c r="U184" i="1"/>
  <c r="BT191" i="1"/>
  <c r="CC191" i="1"/>
  <c r="BF191" i="1"/>
  <c r="BO191" i="1" s="1" a="1"/>
  <c r="BO191" i="1" s="1"/>
  <c r="BE191" i="1"/>
  <c r="AZ191" i="1"/>
  <c r="BT181" i="1"/>
  <c r="CC181" i="1"/>
  <c r="BF181" i="1"/>
  <c r="BO181" i="1" s="1" a="1"/>
  <c r="BO181" i="1" s="1"/>
  <c r="BE181" i="1"/>
  <c r="AM181" i="1"/>
  <c r="AL181" i="1"/>
  <c r="AK181" i="1"/>
  <c r="AJ181" i="1"/>
  <c r="AM190" i="1"/>
  <c r="AL190" i="1"/>
  <c r="AK190" i="1"/>
  <c r="AJ190" i="1"/>
  <c r="BT190" i="1"/>
  <c r="CC190" i="1"/>
  <c r="BF190" i="1"/>
  <c r="BO190" i="1" s="1" a="1"/>
  <c r="BO190" i="1" s="1"/>
  <c r="BE190" i="1"/>
  <c r="R190" i="1"/>
  <c r="AE190" i="1"/>
  <c r="AH190" i="1"/>
  <c r="AG190" i="1"/>
  <c r="AF190" i="1"/>
  <c r="BT189" i="1"/>
  <c r="CC189" i="1"/>
  <c r="BF189" i="1"/>
  <c r="BO189" i="1" s="1" a="1"/>
  <c r="BO189" i="1" s="1"/>
  <c r="BE189" i="1"/>
  <c r="AM189" i="1"/>
  <c r="AL189" i="1"/>
  <c r="AK189" i="1"/>
  <c r="AJ189" i="1"/>
  <c r="AZ188" i="1"/>
  <c r="BT188" i="1"/>
  <c r="CC188" i="1"/>
  <c r="BF188" i="1"/>
  <c r="BO188" i="1" s="1" a="1"/>
  <c r="BO188" i="1" s="1"/>
  <c r="BE188" i="1"/>
  <c r="BT187" i="1"/>
  <c r="AZ187" i="1"/>
  <c r="CC187" i="1"/>
  <c r="BF187" i="1"/>
  <c r="BO187" i="1" s="1" a="1"/>
  <c r="BO187" i="1" s="1"/>
  <c r="BE187" i="1"/>
  <c r="AH186" i="1"/>
  <c r="AG186" i="1"/>
  <c r="AF186" i="1"/>
  <c r="AE186" i="1"/>
  <c r="BT186" i="1"/>
  <c r="CC186" i="1"/>
  <c r="BF186" i="1"/>
  <c r="BO186" i="1" s="1" a="1"/>
  <c r="BO186" i="1" s="1"/>
  <c r="BE186" i="1"/>
  <c r="R185" i="1"/>
  <c r="AL185" i="1"/>
  <c r="AK185" i="1"/>
  <c r="AJ185" i="1"/>
  <c r="AM185" i="1"/>
  <c r="BT185" i="1"/>
  <c r="CC185" i="1"/>
  <c r="BF185" i="1"/>
  <c r="BO185" i="1" s="1" a="1"/>
  <c r="BO185" i="1" s="1"/>
  <c r="BE185" i="1"/>
  <c r="BY169" i="1"/>
  <c r="BZ169" i="1" s="1"/>
  <c r="BE180" i="1"/>
  <c r="BF180" i="1" s="1"/>
  <c r="BO180" i="1" s="1" a="1"/>
  <c r="BO180" i="1" s="1"/>
  <c r="AZ172" i="1"/>
  <c r="AZ175" i="1"/>
  <c r="CC178" i="1"/>
  <c r="AZ174" i="1"/>
  <c r="BF169" i="1"/>
  <c r="BV169" i="1"/>
  <c r="BO180" i="3"/>
  <c r="BS180" i="3" s="1"/>
  <c r="BK180" i="3"/>
  <c r="AU179" i="3"/>
  <c r="AD179" i="1" s="1"/>
  <c r="AF179" i="1" s="1"/>
  <c r="BK179" i="3"/>
  <c r="BO179" i="3"/>
  <c r="BS179" i="3" s="1"/>
  <c r="AU178" i="3"/>
  <c r="AD178" i="1" s="1"/>
  <c r="AG178" i="1" s="1"/>
  <c r="BK178" i="3"/>
  <c r="BO178" i="3"/>
  <c r="BS178" i="3" s="1"/>
  <c r="U175" i="1"/>
  <c r="W175" i="1"/>
  <c r="G175" i="5"/>
  <c r="H175" i="5" s="1"/>
  <c r="V175" i="1"/>
  <c r="AI177" i="1"/>
  <c r="AK177" i="1" s="1"/>
  <c r="BL177" i="3"/>
  <c r="BI177" i="3"/>
  <c r="Z177" i="1"/>
  <c r="BT178" i="1"/>
  <c r="AN169" i="1"/>
  <c r="BJ169" i="1"/>
  <c r="AU177" i="3"/>
  <c r="AD177" i="1" s="1"/>
  <c r="AE177" i="1" s="1"/>
  <c r="BK177" i="3"/>
  <c r="BS176" i="3"/>
  <c r="BO176" i="3"/>
  <c r="BK176" i="3"/>
  <c r="BO175" i="3"/>
  <c r="BS175" i="3" s="1"/>
  <c r="AJ173" i="1"/>
  <c r="AM173" i="1"/>
  <c r="AL173" i="1"/>
  <c r="S173" i="5"/>
  <c r="T173" i="5" s="1"/>
  <c r="AH176" i="1"/>
  <c r="AE176" i="1"/>
  <c r="BO174" i="3"/>
  <c r="BS174" i="3" s="1"/>
  <c r="Q174" i="5" s="1"/>
  <c r="BK174" i="3"/>
  <c r="R174" i="5" s="1"/>
  <c r="I179" i="5"/>
  <c r="BT180" i="1"/>
  <c r="CC180" i="1"/>
  <c r="G174" i="5"/>
  <c r="H174" i="5" s="1"/>
  <c r="U174" i="1"/>
  <c r="V174" i="1"/>
  <c r="BE174" i="1"/>
  <c r="BF174" i="1" s="1"/>
  <c r="BO174" i="1" s="1" a="1"/>
  <c r="BO174" i="1" s="1"/>
  <c r="W174" i="1"/>
  <c r="Y174" i="1"/>
  <c r="AU173" i="3"/>
  <c r="AD173" i="1" s="1"/>
  <c r="O173" i="5" s="1"/>
  <c r="R173" i="5" s="1"/>
  <c r="BK173" i="3"/>
  <c r="BO173" i="3"/>
  <c r="BS173" i="3" s="1"/>
  <c r="AB177" i="1"/>
  <c r="CC174" i="1"/>
  <c r="BT174" i="1"/>
  <c r="BT176" i="1"/>
  <c r="AZ176" i="1"/>
  <c r="Y175" i="1"/>
  <c r="J173" i="5"/>
  <c r="I173" i="5"/>
  <c r="J179" i="5"/>
  <c r="V179" i="5"/>
  <c r="I178" i="5"/>
  <c r="J178" i="5"/>
  <c r="K174" i="5"/>
  <c r="L174" i="5" s="1"/>
  <c r="AB174" i="1"/>
  <c r="AB176" i="1"/>
  <c r="AB175" i="1"/>
  <c r="AA174" i="1"/>
  <c r="AB179" i="1"/>
  <c r="BT175" i="1"/>
  <c r="J177" i="5"/>
  <c r="BJ172" i="3"/>
  <c r="BR172" i="3"/>
  <c r="AG172" i="1"/>
  <c r="AE180" i="1"/>
  <c r="U178" i="5"/>
  <c r="Y180" i="1"/>
  <c r="AG180" i="1"/>
  <c r="V178" i="5"/>
  <c r="I177" i="5"/>
  <c r="AA176" i="1"/>
  <c r="AH172" i="1"/>
  <c r="BT179" i="1"/>
  <c r="X172" i="1"/>
  <c r="K172" i="5" s="1"/>
  <c r="N172" i="5" s="1"/>
  <c r="T172" i="5"/>
  <c r="U172" i="5"/>
  <c r="V172" i="5"/>
  <c r="Z178" i="1"/>
  <c r="K178" i="5"/>
  <c r="T175" i="5"/>
  <c r="U175" i="5"/>
  <c r="V175" i="5"/>
  <c r="Z179" i="1"/>
  <c r="K179" i="5"/>
  <c r="AB178" i="1"/>
  <c r="AF172" i="1"/>
  <c r="O172" i="5"/>
  <c r="H172" i="5"/>
  <c r="I172" i="5"/>
  <c r="J172" i="5"/>
  <c r="AA178" i="1"/>
  <c r="AA180" i="1"/>
  <c r="K180" i="5"/>
  <c r="Y176" i="1"/>
  <c r="K176" i="5"/>
  <c r="U176" i="5"/>
  <c r="V176" i="5"/>
  <c r="T176" i="5"/>
  <c r="N173" i="5"/>
  <c r="L173" i="5"/>
  <c r="M173" i="5"/>
  <c r="P174" i="5"/>
  <c r="Y177" i="1"/>
  <c r="K177" i="5"/>
  <c r="H180" i="5"/>
  <c r="I180" i="5"/>
  <c r="Z175" i="1"/>
  <c r="K175" i="5"/>
  <c r="AE175" i="1"/>
  <c r="O175" i="5"/>
  <c r="Y179" i="1"/>
  <c r="AG175" i="1"/>
  <c r="Y178" i="1"/>
  <c r="H176" i="5"/>
  <c r="I176" i="5"/>
  <c r="J176" i="5"/>
  <c r="U174" i="5"/>
  <c r="T174" i="5"/>
  <c r="AF176" i="1"/>
  <c r="O176" i="5"/>
  <c r="AF175" i="1"/>
  <c r="U179" i="5"/>
  <c r="T180" i="5"/>
  <c r="U180" i="5"/>
  <c r="AF180" i="1"/>
  <c r="O180" i="5"/>
  <c r="BE179" i="1"/>
  <c r="BF179" i="1" s="1"/>
  <c r="BO179" i="1" s="1" a="1"/>
  <c r="BO179" i="1" s="1"/>
  <c r="CC179" i="1"/>
  <c r="N171" i="5"/>
  <c r="BE176" i="1"/>
  <c r="BF176" i="1" s="1"/>
  <c r="BO176" i="1" s="1" a="1"/>
  <c r="BO176" i="1" s="1"/>
  <c r="CC176" i="1"/>
  <c r="BE175" i="1"/>
  <c r="BF175" i="1" s="1"/>
  <c r="BO175" i="1" s="1" a="1"/>
  <c r="BO175" i="1" s="1"/>
  <c r="CC175" i="1"/>
  <c r="AB180" i="1"/>
  <c r="AH174" i="1"/>
  <c r="AE174" i="1"/>
  <c r="AF174" i="1"/>
  <c r="AG174" i="1"/>
  <c r="BE172" i="1"/>
  <c r="BF172" i="1" s="1"/>
  <c r="BO172" i="1" s="1" a="1"/>
  <c r="BO172" i="1" s="1"/>
  <c r="CC172" i="1"/>
  <c r="BT172" i="1"/>
  <c r="R172" i="1"/>
  <c r="BT177" i="1"/>
  <c r="BE177" i="1"/>
  <c r="BF177" i="1" s="1"/>
  <c r="BO177" i="1" s="1" a="1"/>
  <c r="BO177" i="1" s="1"/>
  <c r="CC177" i="1"/>
  <c r="R173" i="1"/>
  <c r="BT173" i="1"/>
  <c r="BE173" i="1"/>
  <c r="BF173" i="1" s="1"/>
  <c r="BO173" i="1" s="1" a="1"/>
  <c r="BO173" i="1" s="1"/>
  <c r="CC173" i="1"/>
  <c r="R176" i="1"/>
  <c r="Y173" i="1"/>
  <c r="Z173" i="1"/>
  <c r="AA173" i="1"/>
  <c r="AB173" i="1"/>
  <c r="R177" i="1"/>
  <c r="I171" i="5"/>
  <c r="H171" i="5"/>
  <c r="J171" i="5"/>
  <c r="Q171" i="5"/>
  <c r="R171" i="5"/>
  <c r="V171" i="5"/>
  <c r="U171" i="5"/>
  <c r="L171" i="5"/>
  <c r="AJ171" i="1"/>
  <c r="AK171" i="1"/>
  <c r="AL171" i="1"/>
  <c r="AM171" i="1"/>
  <c r="BE171" i="1"/>
  <c r="BF171" i="1" s="1"/>
  <c r="BO171" i="1" s="1" a="1"/>
  <c r="BO171" i="1" s="1"/>
  <c r="CC171" i="1"/>
  <c r="BT171" i="1"/>
  <c r="R171" i="1"/>
  <c r="AF171" i="1"/>
  <c r="AG171" i="1"/>
  <c r="AH171" i="1"/>
  <c r="AE171" i="1"/>
  <c r="AU171" i="3"/>
  <c r="BK171" i="3"/>
  <c r="BO171" i="3"/>
  <c r="BS171" i="3" s="1"/>
  <c r="AH170" i="1"/>
  <c r="AF170" i="1"/>
  <c r="AG170" i="1"/>
  <c r="BT169" i="1"/>
  <c r="T168" i="1"/>
  <c r="U168" i="1"/>
  <c r="V168" i="1"/>
  <c r="G168" i="5"/>
  <c r="H168" i="5" s="1"/>
  <c r="O170" i="5"/>
  <c r="Q170" i="5" s="1"/>
  <c r="O168" i="5"/>
  <c r="P168" i="5" s="1"/>
  <c r="AG168" i="1"/>
  <c r="AH168" i="1"/>
  <c r="U168" i="5"/>
  <c r="V168" i="5"/>
  <c r="E169" i="5"/>
  <c r="AE168" i="1"/>
  <c r="BI169" i="3"/>
  <c r="BO169" i="1" a="1"/>
  <c r="BO169" i="1" s="1"/>
  <c r="AI169" i="1"/>
  <c r="S169" i="5" s="1"/>
  <c r="T169" i="5" s="1"/>
  <c r="BP169" i="3"/>
  <c r="D169" i="5" s="1"/>
  <c r="AD169" i="1"/>
  <c r="AH169" i="1" s="1"/>
  <c r="BL169" i="3"/>
  <c r="CC169" i="1"/>
  <c r="N170" i="5"/>
  <c r="Z169" i="5"/>
  <c r="AA169" i="5"/>
  <c r="W169" i="1"/>
  <c r="U169" i="1"/>
  <c r="V169" i="1"/>
  <c r="G169" i="5"/>
  <c r="V170" i="5"/>
  <c r="T170" i="5"/>
  <c r="U170" i="5"/>
  <c r="L169" i="5"/>
  <c r="N169" i="5"/>
  <c r="BL168" i="3"/>
  <c r="BI168" i="3"/>
  <c r="N168" i="5"/>
  <c r="BE169" i="1"/>
  <c r="L168" i="5"/>
  <c r="M170" i="5"/>
  <c r="M169" i="5"/>
  <c r="BG169" i="3"/>
  <c r="BK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B101" i="3"/>
  <c r="BB102" i="3"/>
  <c r="AZ167" i="3"/>
  <c r="BA167" i="3"/>
  <c r="BF167" i="3"/>
  <c r="BJ167" i="3"/>
  <c r="BN167" i="3"/>
  <c r="BR167" i="3"/>
  <c r="AV167" i="3"/>
  <c r="AW167" i="3"/>
  <c r="AX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AS167" i="1"/>
  <c r="AT167" i="1"/>
  <c r="AU167" i="1" s="1"/>
  <c r="AV167" i="1"/>
  <c r="BA167" i="1"/>
  <c r="BS167" i="1"/>
  <c r="AW167" i="1" s="1"/>
  <c r="BU167" i="1"/>
  <c r="BX167" i="1"/>
  <c r="CE167" i="1"/>
  <c r="AO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E167" i="3"/>
  <c r="BN167" i="1" s="1"/>
  <c r="BP167" i="1" s="1"/>
  <c r="P181" i="5" l="1"/>
  <c r="R181" i="5"/>
  <c r="Q181" i="5"/>
  <c r="P189" i="5"/>
  <c r="Q189" i="5"/>
  <c r="R189" i="5"/>
  <c r="AE178" i="1"/>
  <c r="X163" i="5"/>
  <c r="O177" i="5"/>
  <c r="J175" i="5"/>
  <c r="AE179" i="1"/>
  <c r="BQ179" i="1" s="1"/>
  <c r="BV179" i="1" s="1"/>
  <c r="O179" i="5"/>
  <c r="R179" i="5" s="1"/>
  <c r="O178" i="5"/>
  <c r="P178" i="5" s="1"/>
  <c r="AH179" i="1"/>
  <c r="AG179" i="1"/>
  <c r="AH178" i="1"/>
  <c r="AE173" i="1"/>
  <c r="BQ173" i="1" s="1"/>
  <c r="AF178" i="1"/>
  <c r="AG173" i="1"/>
  <c r="BQ175" i="1"/>
  <c r="AH177" i="1"/>
  <c r="I175" i="5"/>
  <c r="AL177" i="1"/>
  <c r="S177" i="5"/>
  <c r="AJ177" i="1"/>
  <c r="AM177" i="1"/>
  <c r="AG177" i="1"/>
  <c r="AF177" i="1"/>
  <c r="V173" i="5"/>
  <c r="U173" i="5"/>
  <c r="J174" i="5"/>
  <c r="I174" i="5"/>
  <c r="AH173" i="1"/>
  <c r="BQ174" i="1"/>
  <c r="Q173" i="5"/>
  <c r="P173" i="5"/>
  <c r="AF173" i="1"/>
  <c r="BQ176" i="1"/>
  <c r="N174" i="5"/>
  <c r="M174" i="5"/>
  <c r="BQ178" i="1"/>
  <c r="AB172" i="1"/>
  <c r="L172" i="5"/>
  <c r="AA172" i="1"/>
  <c r="M172" i="5"/>
  <c r="Y172" i="1"/>
  <c r="BQ172" i="1" s="1"/>
  <c r="Z172" i="1"/>
  <c r="Q176" i="5"/>
  <c r="P176" i="5"/>
  <c r="R176" i="5"/>
  <c r="P175" i="5"/>
  <c r="Q175" i="5"/>
  <c r="R175" i="5"/>
  <c r="M180" i="5"/>
  <c r="L180" i="5"/>
  <c r="N180" i="5"/>
  <c r="M178" i="5"/>
  <c r="L178" i="5"/>
  <c r="N178" i="5"/>
  <c r="Q180" i="5"/>
  <c r="R180" i="5"/>
  <c r="P180" i="5"/>
  <c r="L176" i="5"/>
  <c r="M176" i="5"/>
  <c r="N176" i="5"/>
  <c r="R177" i="5"/>
  <c r="P177" i="5"/>
  <c r="Q177" i="5"/>
  <c r="L175" i="5"/>
  <c r="M175" i="5"/>
  <c r="N175" i="5"/>
  <c r="L179" i="5"/>
  <c r="M179" i="5"/>
  <c r="N179" i="5"/>
  <c r="L177" i="5"/>
  <c r="N177" i="5"/>
  <c r="M177" i="5"/>
  <c r="Q172" i="5"/>
  <c r="R172" i="5"/>
  <c r="P172" i="5"/>
  <c r="Q168" i="5"/>
  <c r="BQ171" i="1"/>
  <c r="BM167" i="1"/>
  <c r="R168" i="5"/>
  <c r="P170" i="5"/>
  <c r="R170" i="5"/>
  <c r="I168" i="5"/>
  <c r="J168" i="5"/>
  <c r="BD167" i="1"/>
  <c r="BC167" i="1"/>
  <c r="CF167" i="1"/>
  <c r="J167" i="1"/>
  <c r="BV167" i="1" s="1"/>
  <c r="AY167" i="1"/>
  <c r="AJ169" i="1"/>
  <c r="V169" i="5"/>
  <c r="U169" i="5"/>
  <c r="AM169" i="1"/>
  <c r="AL169" i="1"/>
  <c r="AK169" i="1"/>
  <c r="BO169" i="3"/>
  <c r="BS169" i="3" s="1"/>
  <c r="AE169" i="1"/>
  <c r="AF169" i="1"/>
  <c r="AG169" i="1"/>
  <c r="O169" i="5"/>
  <c r="P169" i="5" s="1"/>
  <c r="H169" i="5"/>
  <c r="J169" i="5"/>
  <c r="I169" i="5"/>
  <c r="AC163" i="5"/>
  <c r="CD167" i="1"/>
  <c r="BH167" i="1"/>
  <c r="BK167" i="1" s="1"/>
  <c r="BB167" i="1"/>
  <c r="CI167" i="1"/>
  <c r="CG167" i="1"/>
  <c r="BC167" i="3"/>
  <c r="BD167" i="3"/>
  <c r="BH167" i="3" s="1"/>
  <c r="F167" i="5" s="1"/>
  <c r="CH167" i="1"/>
  <c r="BI167" i="1"/>
  <c r="BB167" i="3"/>
  <c r="AT167" i="3"/>
  <c r="CB167" i="1"/>
  <c r="W167" i="5"/>
  <c r="AY167" i="3"/>
  <c r="AM167" i="3"/>
  <c r="AN167" i="3" s="1"/>
  <c r="Z167" i="5" s="1"/>
  <c r="CA167" i="1"/>
  <c r="BM167" i="3" a="1"/>
  <c r="BM167" i="3" s="1"/>
  <c r="S167" i="1"/>
  <c r="T167" i="1" s="1"/>
  <c r="AP167" i="3"/>
  <c r="BE167" i="3" s="1"/>
  <c r="AZ167" i="1"/>
  <c r="AQ167" i="3"/>
  <c r="BG167" i="3" s="1"/>
  <c r="BO167" i="3" s="1"/>
  <c r="BS167" i="3" s="1"/>
  <c r="AX167" i="1"/>
  <c r="K167" i="5"/>
  <c r="L167" i="5" s="1"/>
  <c r="AB167" i="1"/>
  <c r="AA167" i="1"/>
  <c r="Z167" i="1"/>
  <c r="Y167" i="5"/>
  <c r="X167" i="5"/>
  <c r="AC167" i="5"/>
  <c r="Q167" i="1"/>
  <c r="BG167" i="1"/>
  <c r="K167" i="1"/>
  <c r="AP167" i="1"/>
  <c r="AB167" i="5" s="1"/>
  <c r="AU167" i="3"/>
  <c r="C123" i="3"/>
  <c r="C132" i="3"/>
  <c r="E164" i="3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L87" i="1" s="1"/>
  <c r="I88" i="1"/>
  <c r="BL88" i="1" s="1"/>
  <c r="I89" i="1"/>
  <c r="I90" i="1"/>
  <c r="I91" i="1"/>
  <c r="BL91" i="1" s="1"/>
  <c r="I96" i="1"/>
  <c r="I98" i="1"/>
  <c r="I101" i="1"/>
  <c r="I102" i="1"/>
  <c r="I103" i="1"/>
  <c r="I104" i="1"/>
  <c r="I105" i="1"/>
  <c r="I106" i="1"/>
  <c r="J106" i="1"/>
  <c r="I107" i="1"/>
  <c r="I108" i="1"/>
  <c r="I109" i="1"/>
  <c r="I110" i="1"/>
  <c r="I111" i="1"/>
  <c r="I112" i="1"/>
  <c r="I113" i="1"/>
  <c r="BL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L136" i="1" s="1"/>
  <c r="I137" i="1"/>
  <c r="J160" i="1"/>
  <c r="BV160" i="1" s="1"/>
  <c r="I163" i="1"/>
  <c r="I164" i="1"/>
  <c r="J164" i="1"/>
  <c r="BV164" i="1" s="1"/>
  <c r="I166" i="1"/>
  <c r="V164" i="3"/>
  <c r="U164" i="3"/>
  <c r="E62" i="3"/>
  <c r="CF62" i="1" s="1"/>
  <c r="E60" i="3"/>
  <c r="CF60" i="1" s="1"/>
  <c r="E59" i="3"/>
  <c r="CF59" i="1" s="1"/>
  <c r="E58" i="3"/>
  <c r="CF58" i="1" s="1"/>
  <c r="E57" i="3"/>
  <c r="CF57" i="1" s="1"/>
  <c r="E56" i="3"/>
  <c r="CF56" i="1" s="1"/>
  <c r="E55" i="3"/>
  <c r="CF55" i="1" s="1"/>
  <c r="Q179" i="5" l="1"/>
  <c r="P179" i="5"/>
  <c r="R178" i="5"/>
  <c r="BV173" i="1"/>
  <c r="BV178" i="1"/>
  <c r="BV172" i="1"/>
  <c r="BV176" i="1"/>
  <c r="BV171" i="1"/>
  <c r="BV175" i="1"/>
  <c r="BV174" i="1"/>
  <c r="BJ167" i="1"/>
  <c r="BY167" i="1"/>
  <c r="BZ167" i="1" s="1"/>
  <c r="BQ177" i="1"/>
  <c r="Q178" i="5"/>
  <c r="T177" i="5"/>
  <c r="U177" i="5"/>
  <c r="V177" i="5"/>
  <c r="R169" i="5"/>
  <c r="Q169" i="5"/>
  <c r="BL167" i="3"/>
  <c r="E167" i="5"/>
  <c r="BQ167" i="3"/>
  <c r="AN167" i="1"/>
  <c r="AD167" i="1"/>
  <c r="O167" i="5" s="1"/>
  <c r="Q167" i="5" s="1"/>
  <c r="U167" i="1"/>
  <c r="BP167" i="3"/>
  <c r="D167" i="5" s="1"/>
  <c r="AQ167" i="1"/>
  <c r="BR167" i="1" s="1"/>
  <c r="Y164" i="5"/>
  <c r="CF164" i="1"/>
  <c r="AC164" i="5"/>
  <c r="W167" i="1"/>
  <c r="W164" i="5"/>
  <c r="X164" i="5"/>
  <c r="AA167" i="5"/>
  <c r="N167" i="5"/>
  <c r="V167" i="1"/>
  <c r="G167" i="5"/>
  <c r="I167" i="5" s="1"/>
  <c r="BI167" i="3"/>
  <c r="AI167" i="1"/>
  <c r="BK167" i="3"/>
  <c r="M167" i="5"/>
  <c r="AR167" i="3"/>
  <c r="R167" i="1"/>
  <c r="BE167" i="1"/>
  <c r="BF167" i="1"/>
  <c r="BO167" i="1" s="1" a="1"/>
  <c r="BO167" i="1" s="1"/>
  <c r="CC167" i="1"/>
  <c r="BT167" i="1"/>
  <c r="V165" i="3"/>
  <c r="G166" i="3"/>
  <c r="E24" i="3"/>
  <c r="CF24" i="1" s="1"/>
  <c r="E23" i="3"/>
  <c r="CF23" i="1" s="1"/>
  <c r="E166" i="3"/>
  <c r="BR166" i="3"/>
  <c r="BN166" i="3"/>
  <c r="BJ166" i="3"/>
  <c r="BF166" i="3"/>
  <c r="BA166" i="3"/>
  <c r="AZ166" i="3"/>
  <c r="AW166" i="3"/>
  <c r="AV166" i="3"/>
  <c r="AO166" i="3"/>
  <c r="C166" i="3"/>
  <c r="AX166" i="3" s="1"/>
  <c r="C36" i="9"/>
  <c r="D36" i="9"/>
  <c r="E36" i="9"/>
  <c r="G165" i="3"/>
  <c r="E165" i="3"/>
  <c r="CF165" i="1" s="1"/>
  <c r="BR165" i="3"/>
  <c r="BN165" i="3"/>
  <c r="BJ165" i="3"/>
  <c r="BF165" i="3"/>
  <c r="BA165" i="3"/>
  <c r="AZ165" i="3"/>
  <c r="AX165" i="3"/>
  <c r="AW165" i="3"/>
  <c r="AV165" i="3"/>
  <c r="AO165" i="3"/>
  <c r="AL165" i="3"/>
  <c r="L165" i="3"/>
  <c r="I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E164" i="5" s="1"/>
  <c r="AU164" i="3"/>
  <c r="AV164" i="3"/>
  <c r="J164" i="3"/>
  <c r="AM164" i="3"/>
  <c r="L25" i="3"/>
  <c r="I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E163" i="5" s="1"/>
  <c r="AM163" i="3"/>
  <c r="AN163" i="3" s="1"/>
  <c r="AL163" i="3"/>
  <c r="BX166" i="1"/>
  <c r="BU166" i="1"/>
  <c r="BS166" i="1"/>
  <c r="AW166" i="1" s="1"/>
  <c r="BA166" i="1"/>
  <c r="AV166" i="1"/>
  <c r="AS166" i="1"/>
  <c r="AR166" i="1"/>
  <c r="AO166" i="1"/>
  <c r="AC166" i="1"/>
  <c r="P166" i="1"/>
  <c r="BZ166" i="1" s="1"/>
  <c r="A166" i="1"/>
  <c r="CI165" i="1"/>
  <c r="CH165" i="1"/>
  <c r="BX165" i="1"/>
  <c r="BU165" i="1"/>
  <c r="BS165" i="1"/>
  <c r="AW165" i="1" s="1"/>
  <c r="BN165" i="1"/>
  <c r="BH165" i="1"/>
  <c r="BK165" i="1" s="1"/>
  <c r="BB165" i="1"/>
  <c r="BA165" i="1"/>
  <c r="AV165" i="1"/>
  <c r="AS165" i="1"/>
  <c r="AR165" i="1"/>
  <c r="AO165" i="1"/>
  <c r="AC165" i="1"/>
  <c r="X165" i="1"/>
  <c r="P165" i="1"/>
  <c r="BZ165" i="1" s="1"/>
  <c r="O165" i="1"/>
  <c r="A165" i="1"/>
  <c r="CI164" i="1"/>
  <c r="CH164" i="1"/>
  <c r="CG164" i="1"/>
  <c r="CE164" i="1"/>
  <c r="CD164" i="1"/>
  <c r="CB164" i="1"/>
  <c r="CA164" i="1"/>
  <c r="BX164" i="1"/>
  <c r="BU164" i="1"/>
  <c r="BS164" i="1"/>
  <c r="AW164" i="1" s="1"/>
  <c r="BN164" i="1"/>
  <c r="BI164" i="1"/>
  <c r="BH164" i="1"/>
  <c r="BK164" i="1" s="1"/>
  <c r="BB164" i="1"/>
  <c r="BA164" i="1"/>
  <c r="AX164" i="1"/>
  <c r="AV164" i="1"/>
  <c r="AS164" i="1"/>
  <c r="AR164" i="1"/>
  <c r="AO164" i="1"/>
  <c r="AC164" i="1"/>
  <c r="X164" i="1"/>
  <c r="P164" i="1"/>
  <c r="BZ164" i="1" s="1"/>
  <c r="O164" i="1"/>
  <c r="N164" i="1"/>
  <c r="A164" i="1"/>
  <c r="A164" i="5" s="1"/>
  <c r="CI163" i="1"/>
  <c r="CH163" i="1"/>
  <c r="CG163" i="1"/>
  <c r="CE163" i="1"/>
  <c r="CD163" i="1"/>
  <c r="CB163" i="1"/>
  <c r="CA163" i="1"/>
  <c r="BX163" i="1"/>
  <c r="BU163" i="1"/>
  <c r="BS163" i="1"/>
  <c r="AW163" i="1" s="1"/>
  <c r="BN163" i="1"/>
  <c r="BI163" i="1"/>
  <c r="BH163" i="1"/>
  <c r="BK163" i="1" s="1"/>
  <c r="BB163" i="1"/>
  <c r="BA163" i="1"/>
  <c r="AZ163" i="1"/>
  <c r="AX163" i="1"/>
  <c r="AV163" i="1"/>
  <c r="AS163" i="1"/>
  <c r="AR163" i="1"/>
  <c r="AO163" i="1"/>
  <c r="AC163" i="1"/>
  <c r="X163" i="1"/>
  <c r="S163" i="1"/>
  <c r="P163" i="1"/>
  <c r="BZ163" i="1" s="1"/>
  <c r="O163" i="1"/>
  <c r="N163" i="1"/>
  <c r="A163" i="1"/>
  <c r="C34" i="9"/>
  <c r="D34" i="9"/>
  <c r="E34" i="9"/>
  <c r="BX162" i="1"/>
  <c r="BU162" i="1"/>
  <c r="BS162" i="1"/>
  <c r="AW162" i="1" s="1"/>
  <c r="BA162" i="1"/>
  <c r="AR162" i="1"/>
  <c r="AO162" i="1"/>
  <c r="AC162" i="1"/>
  <c r="X162" i="1"/>
  <c r="P162" i="1"/>
  <c r="BZ162" i="1" s="1"/>
  <c r="A162" i="1"/>
  <c r="A162" i="5" s="1"/>
  <c r="G162" i="3"/>
  <c r="E162" i="3"/>
  <c r="CF162" i="1" s="1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I162" i="1" s="1"/>
  <c r="J162" i="3"/>
  <c r="AV162" i="1" s="1"/>
  <c r="F162" i="3"/>
  <c r="AS162" i="1" s="1"/>
  <c r="B161" i="5"/>
  <c r="C161" i="5"/>
  <c r="BX161" i="1"/>
  <c r="BU161" i="1"/>
  <c r="BS161" i="1"/>
  <c r="AW161" i="1" s="1"/>
  <c r="BA161" i="1"/>
  <c r="AV161" i="1"/>
  <c r="AS161" i="1"/>
  <c r="AR161" i="1"/>
  <c r="AC161" i="1"/>
  <c r="X161" i="1"/>
  <c r="AA161" i="1" s="1"/>
  <c r="P161" i="1"/>
  <c r="BZ161" i="1" s="1"/>
  <c r="A161" i="1"/>
  <c r="BV177" i="1" l="1"/>
  <c r="BJ163" i="1"/>
  <c r="BY163" i="1"/>
  <c r="BJ164" i="1"/>
  <c r="BY164" i="1"/>
  <c r="AP164" i="1"/>
  <c r="AB164" i="5" s="1"/>
  <c r="BC164" i="1"/>
  <c r="BD164" i="1"/>
  <c r="J165" i="1"/>
  <c r="AZ165" i="1" s="1"/>
  <c r="BC165" i="1"/>
  <c r="BD165" i="1"/>
  <c r="BC162" i="1"/>
  <c r="BD162" i="1"/>
  <c r="BC163" i="1"/>
  <c r="BD163" i="1"/>
  <c r="BC166" i="1"/>
  <c r="BD166" i="1"/>
  <c r="AT165" i="1"/>
  <c r="AU165" i="1" s="1"/>
  <c r="A165" i="5"/>
  <c r="AT163" i="1"/>
  <c r="AU163" i="1" s="1"/>
  <c r="A163" i="5"/>
  <c r="AT166" i="1"/>
  <c r="AU166" i="1" s="1"/>
  <c r="A166" i="5"/>
  <c r="J167" i="5"/>
  <c r="S167" i="5"/>
  <c r="T167" i="5" s="1"/>
  <c r="AJ167" i="1"/>
  <c r="AG167" i="1"/>
  <c r="AF167" i="1"/>
  <c r="CA165" i="1"/>
  <c r="CB165" i="1"/>
  <c r="AQ165" i="1" s="1"/>
  <c r="BR165" i="1" s="1"/>
  <c r="AX165" i="1"/>
  <c r="CD165" i="1"/>
  <c r="CE165" i="1"/>
  <c r="N165" i="1"/>
  <c r="CG165" i="1"/>
  <c r="S165" i="1"/>
  <c r="U165" i="1" s="1"/>
  <c r="BI165" i="1"/>
  <c r="P167" i="5"/>
  <c r="R167" i="5"/>
  <c r="AE167" i="1"/>
  <c r="BD165" i="3"/>
  <c r="E165" i="5" s="1"/>
  <c r="AH167" i="1"/>
  <c r="CB166" i="1"/>
  <c r="CF166" i="1"/>
  <c r="BN166" i="1"/>
  <c r="BP166" i="1" s="1"/>
  <c r="BM166" i="1" s="1"/>
  <c r="BI162" i="1"/>
  <c r="S166" i="1"/>
  <c r="U166" i="1" s="1"/>
  <c r="CA166" i="1"/>
  <c r="BM166" i="3" a="1"/>
  <c r="BM166" i="3" s="1"/>
  <c r="BQ166" i="3" s="1"/>
  <c r="BB166" i="3"/>
  <c r="W166" i="5"/>
  <c r="AC166" i="5"/>
  <c r="Y166" i="5"/>
  <c r="X166" i="5"/>
  <c r="AX166" i="1"/>
  <c r="CD166" i="1"/>
  <c r="AI162" i="1"/>
  <c r="AL162" i="1" s="1"/>
  <c r="BB162" i="3"/>
  <c r="W162" i="5"/>
  <c r="AC162" i="5"/>
  <c r="Y162" i="5"/>
  <c r="X162" i="5"/>
  <c r="CE166" i="1"/>
  <c r="BD166" i="3"/>
  <c r="E166" i="5" s="1"/>
  <c r="AL167" i="1"/>
  <c r="J163" i="1"/>
  <c r="BB163" i="3"/>
  <c r="N166" i="1"/>
  <c r="BB166" i="1"/>
  <c r="CG166" i="1"/>
  <c r="BB164" i="3"/>
  <c r="O166" i="1"/>
  <c r="BH166" i="1"/>
  <c r="BK166" i="1" s="1"/>
  <c r="CH166" i="1"/>
  <c r="BI166" i="1"/>
  <c r="CI166" i="1"/>
  <c r="H167" i="5"/>
  <c r="AM165" i="3"/>
  <c r="AN165" i="3" s="1"/>
  <c r="BB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N162" i="1"/>
  <c r="BP162" i="1" s="1"/>
  <c r="BM162" i="1" s="1"/>
  <c r="BC166" i="3"/>
  <c r="AT162" i="1"/>
  <c r="AU162" i="1" s="1"/>
  <c r="AM166" i="3"/>
  <c r="AN166" i="3" s="1"/>
  <c r="CG162" i="1"/>
  <c r="AL166" i="3"/>
  <c r="AP166" i="3"/>
  <c r="BE166" i="3" s="1"/>
  <c r="CH162" i="1"/>
  <c r="AU162" i="3"/>
  <c r="AU165" i="3"/>
  <c r="J162" i="1"/>
  <c r="J166" i="1"/>
  <c r="AU164" i="1"/>
  <c r="AT164" i="1"/>
  <c r="A161" i="5"/>
  <c r="AT161" i="1"/>
  <c r="AU161" i="1" s="1"/>
  <c r="AT166" i="3"/>
  <c r="BP165" i="1"/>
  <c r="BM165" i="1" s="1"/>
  <c r="AM162" i="3"/>
  <c r="AN162" i="3" s="1"/>
  <c r="Z162" i="5" s="1"/>
  <c r="CB162" i="1"/>
  <c r="CA162" i="1"/>
  <c r="CD162" i="1"/>
  <c r="BD162" i="3"/>
  <c r="E162" i="5" s="1"/>
  <c r="O162" i="1"/>
  <c r="BB162" i="1"/>
  <c r="CE162" i="1"/>
  <c r="AX162" i="1"/>
  <c r="N162" i="1"/>
  <c r="BH162" i="1"/>
  <c r="BK162" i="1" s="1"/>
  <c r="CI162" i="1"/>
  <c r="Q163" i="1"/>
  <c r="R163" i="1" s="1"/>
  <c r="AR163" i="3"/>
  <c r="AQ166" i="3"/>
  <c r="AR166" i="3" s="1"/>
  <c r="BH166" i="3"/>
  <c r="F166" i="5" s="1"/>
  <c r="BP166" i="3"/>
  <c r="D166" i="5" s="1"/>
  <c r="AU166" i="3"/>
  <c r="Q166" i="1"/>
  <c r="X166" i="1"/>
  <c r="AP165" i="3"/>
  <c r="BE165" i="3" s="1"/>
  <c r="AQ165" i="3"/>
  <c r="BG165" i="3" s="1"/>
  <c r="BM165" i="3" a="1"/>
  <c r="BM165" i="3" s="1"/>
  <c r="BQ165" i="3" s="1"/>
  <c r="BC165" i="3"/>
  <c r="BP164" i="1"/>
  <c r="BM164" i="1" s="1"/>
  <c r="BH164" i="3"/>
  <c r="F164" i="5" s="1"/>
  <c r="AP164" i="3"/>
  <c r="AQ164" i="3"/>
  <c r="BG164" i="3" s="1"/>
  <c r="BM164" i="3" a="1"/>
  <c r="BM164" i="3" s="1"/>
  <c r="BC164" i="3"/>
  <c r="AL164" i="3"/>
  <c r="BP164" i="3" s="1"/>
  <c r="D164" i="5" s="1"/>
  <c r="AX164" i="3"/>
  <c r="Q164" i="1" s="1"/>
  <c r="BP163" i="1"/>
  <c r="BM163" i="1" s="1"/>
  <c r="BH163" i="3"/>
  <c r="F163" i="5" s="1"/>
  <c r="BP163" i="3"/>
  <c r="D163" i="5" s="1"/>
  <c r="BQ163" i="3"/>
  <c r="BL163" i="3"/>
  <c r="BO163" i="3"/>
  <c r="BS163" i="3" s="1"/>
  <c r="AY163" i="3"/>
  <c r="Z162" i="1"/>
  <c r="V163" i="3"/>
  <c r="AB162" i="1"/>
  <c r="AN163" i="1"/>
  <c r="AB165" i="1"/>
  <c r="AB164" i="1"/>
  <c r="Z164" i="1"/>
  <c r="AN164" i="1"/>
  <c r="AB163" i="1"/>
  <c r="AQ163" i="1"/>
  <c r="BR163" i="1" s="1"/>
  <c r="AP166" i="1"/>
  <c r="AB166" i="5" s="1"/>
  <c r="AZ166" i="1"/>
  <c r="K166" i="1"/>
  <c r="AI166" i="1"/>
  <c r="BG166" i="1"/>
  <c r="AP165" i="1"/>
  <c r="AB165" i="5" s="1"/>
  <c r="K165" i="1"/>
  <c r="AI165" i="1"/>
  <c r="BG165" i="1"/>
  <c r="Y165" i="1"/>
  <c r="Q165" i="1"/>
  <c r="Z165" i="1"/>
  <c r="AQ164" i="1"/>
  <c r="BR164" i="1" s="1"/>
  <c r="AZ164" i="1"/>
  <c r="K164" i="1"/>
  <c r="AI164" i="1"/>
  <c r="BG164" i="1"/>
  <c r="Y164" i="1"/>
  <c r="AP163" i="1"/>
  <c r="AB163" i="5" s="1"/>
  <c r="T163" i="1"/>
  <c r="U163" i="1"/>
  <c r="V163" i="1"/>
  <c r="K163" i="1"/>
  <c r="AI163" i="1"/>
  <c r="AJ163" i="1" s="1"/>
  <c r="BG163" i="1"/>
  <c r="Y163" i="1"/>
  <c r="Z163" i="1"/>
  <c r="Q162" i="1"/>
  <c r="R162" i="1" s="1"/>
  <c r="K162" i="1"/>
  <c r="BG162" i="1"/>
  <c r="AP162" i="1"/>
  <c r="AB162" i="5" s="1"/>
  <c r="Y162" i="1"/>
  <c r="AP162" i="3"/>
  <c r="BE162" i="3" s="1"/>
  <c r="AQ162" i="3"/>
  <c r="BG162" i="3" s="1"/>
  <c r="BM162" i="3" a="1"/>
  <c r="BM162" i="3" s="1"/>
  <c r="BC162" i="3"/>
  <c r="K161" i="5"/>
  <c r="N161" i="5" s="1"/>
  <c r="AB161" i="1"/>
  <c r="Z161" i="1"/>
  <c r="Y161" i="1"/>
  <c r="C161" i="3"/>
  <c r="AO161" i="1" s="1"/>
  <c r="E161" i="3"/>
  <c r="CF161" i="1" s="1"/>
  <c r="BR161" i="3"/>
  <c r="BN161" i="3"/>
  <c r="BJ161" i="3"/>
  <c r="BF161" i="3"/>
  <c r="AZ161" i="3"/>
  <c r="AW161" i="3"/>
  <c r="AO161" i="3"/>
  <c r="AV161" i="3"/>
  <c r="AX161" i="3"/>
  <c r="E63" i="3"/>
  <c r="CF63" i="1" s="1"/>
  <c r="E64" i="3"/>
  <c r="CF64" i="1" s="1"/>
  <c r="V37" i="3"/>
  <c r="BJ165" i="1" l="1"/>
  <c r="BY165" i="1"/>
  <c r="BJ162" i="1"/>
  <c r="BY162" i="1"/>
  <c r="BJ166" i="1"/>
  <c r="BY166" i="1"/>
  <c r="AN165" i="1"/>
  <c r="AN166" i="1"/>
  <c r="J161" i="1"/>
  <c r="BC161" i="1"/>
  <c r="BD161" i="1"/>
  <c r="AS166" i="3"/>
  <c r="BP165" i="3"/>
  <c r="D165" i="5" s="1"/>
  <c r="BH165" i="3"/>
  <c r="F165" i="5" s="1"/>
  <c r="T166" i="1"/>
  <c r="AQ166" i="1"/>
  <c r="BR166" i="1" s="1"/>
  <c r="U167" i="5"/>
  <c r="V167" i="5"/>
  <c r="W165" i="1"/>
  <c r="BH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L166" i="3"/>
  <c r="BP162" i="3"/>
  <c r="D162" i="5" s="1"/>
  <c r="Z165" i="5"/>
  <c r="AA165" i="5"/>
  <c r="S163" i="5"/>
  <c r="T163" i="5" s="1"/>
  <c r="AU161" i="3"/>
  <c r="AA162" i="5"/>
  <c r="BB161" i="3"/>
  <c r="BI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Q162" i="3"/>
  <c r="Q161" i="1"/>
  <c r="R161" i="1" s="1"/>
  <c r="AT161" i="3"/>
  <c r="BG161" i="1"/>
  <c r="BA161" i="3"/>
  <c r="AQ162" i="1"/>
  <c r="BR162" i="1" s="1"/>
  <c r="AD164" i="1"/>
  <c r="AD166" i="1"/>
  <c r="AD162" i="1"/>
  <c r="BM161" i="3" a="1"/>
  <c r="BM161" i="3" s="1"/>
  <c r="K161" i="1"/>
  <c r="BD161" i="3"/>
  <c r="E161" i="5" s="1"/>
  <c r="AC161" i="5"/>
  <c r="CI161" i="1"/>
  <c r="BN161" i="1"/>
  <c r="BP161" i="1" s="1"/>
  <c r="BM161" i="1" s="1"/>
  <c r="BH161" i="1"/>
  <c r="BK161" i="1" s="1"/>
  <c r="S161" i="1"/>
  <c r="BB161" i="1"/>
  <c r="W161" i="5"/>
  <c r="N161" i="1"/>
  <c r="CE161" i="1"/>
  <c r="CD161" i="1"/>
  <c r="O161" i="1"/>
  <c r="CB161" i="1"/>
  <c r="AQ161" i="1" s="1"/>
  <c r="BR161" i="1" s="1"/>
  <c r="X161" i="5"/>
  <c r="CH161" i="1"/>
  <c r="AZ161" i="1"/>
  <c r="CA161" i="1"/>
  <c r="CG161" i="1"/>
  <c r="Y161" i="5"/>
  <c r="AX161" i="1"/>
  <c r="BI161" i="1"/>
  <c r="AQ161" i="3"/>
  <c r="AY161" i="3" s="1"/>
  <c r="AP161" i="1"/>
  <c r="AB161" i="5" s="1"/>
  <c r="AP161" i="3"/>
  <c r="S162" i="1"/>
  <c r="BG166" i="3"/>
  <c r="AY166" i="3"/>
  <c r="R166" i="1"/>
  <c r="Z166" i="1"/>
  <c r="Y166" i="1"/>
  <c r="AB166" i="1"/>
  <c r="AR165" i="3"/>
  <c r="AY165" i="3"/>
  <c r="BK165" i="3" s="1"/>
  <c r="AD165" i="1"/>
  <c r="BO165" i="3"/>
  <c r="BS165" i="3" s="1"/>
  <c r="BL165" i="3"/>
  <c r="BI165" i="3"/>
  <c r="R165" i="1"/>
  <c r="BE164" i="3"/>
  <c r="BQ164" i="3" s="1"/>
  <c r="S164" i="1"/>
  <c r="G164" i="5" s="1"/>
  <c r="AR164" i="3"/>
  <c r="AY164" i="3"/>
  <c r="BK164" i="3" s="1"/>
  <c r="BO164" i="3"/>
  <c r="BS164" i="3" s="1"/>
  <c r="R164" i="1"/>
  <c r="AN164" i="3"/>
  <c r="AU163" i="3"/>
  <c r="AD163" i="1" s="1"/>
  <c r="O163" i="5" s="1"/>
  <c r="BK163" i="3"/>
  <c r="BT166" i="1"/>
  <c r="CC166" i="1"/>
  <c r="BE166" i="1"/>
  <c r="BF166" i="1" s="1"/>
  <c r="BO166" i="1" s="1" a="1"/>
  <c r="BO166" i="1" s="1"/>
  <c r="AM166" i="1"/>
  <c r="AL166" i="1"/>
  <c r="AK166" i="1"/>
  <c r="AM165" i="1"/>
  <c r="AL165" i="1"/>
  <c r="AK165" i="1"/>
  <c r="BT165" i="1"/>
  <c r="BE165" i="1"/>
  <c r="BF165" i="1" s="1"/>
  <c r="BO165" i="1" s="1" a="1"/>
  <c r="BO165" i="1" s="1"/>
  <c r="CC165" i="1"/>
  <c r="AM164" i="1"/>
  <c r="AL164" i="1"/>
  <c r="AK164" i="1"/>
  <c r="BT164" i="1"/>
  <c r="CC164" i="1"/>
  <c r="BE164" i="1"/>
  <c r="BF164" i="1" s="1"/>
  <c r="BO164" i="1" s="1" a="1"/>
  <c r="BO164" i="1" s="1"/>
  <c r="BT163" i="1"/>
  <c r="CC163" i="1"/>
  <c r="BF163" i="1"/>
  <c r="BO163" i="1" s="1" a="1"/>
  <c r="BO163" i="1" s="1"/>
  <c r="BE163" i="1"/>
  <c r="AM163" i="1"/>
  <c r="AL163" i="1"/>
  <c r="AK163" i="1"/>
  <c r="AZ162" i="1"/>
  <c r="BT162" i="1"/>
  <c r="CC162" i="1"/>
  <c r="BF162" i="1"/>
  <c r="BO162" i="1" s="1" a="1"/>
  <c r="BO162" i="1" s="1"/>
  <c r="BE162" i="1"/>
  <c r="AR162" i="3"/>
  <c r="AY162" i="3"/>
  <c r="BK162" i="3" s="1"/>
  <c r="M161" i="5"/>
  <c r="L161" i="5"/>
  <c r="BO162" i="3"/>
  <c r="BS162" i="3" s="1"/>
  <c r="BI162" i="3"/>
  <c r="BL162" i="3"/>
  <c r="CC161" i="1"/>
  <c r="BE161" i="1"/>
  <c r="BF161" i="1" s="1"/>
  <c r="BC161" i="3"/>
  <c r="L161" i="3"/>
  <c r="I161" i="1" s="1"/>
  <c r="AL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M93" i="3" a="1"/>
  <c r="BM93" i="3" s="1"/>
  <c r="BQ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BJ161" i="1" l="1"/>
  <c r="BY161" i="1"/>
  <c r="BT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H164" i="5"/>
  <c r="I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R161" i="3"/>
  <c r="BH161" i="3"/>
  <c r="F161" i="5" s="1"/>
  <c r="AS161" i="3"/>
  <c r="BI164" i="3"/>
  <c r="J164" i="5" s="1"/>
  <c r="BL164" i="3"/>
  <c r="BO161" i="1" a="1"/>
  <c r="BO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E161" i="3"/>
  <c r="BL161" i="3" s="1"/>
  <c r="AI161" i="1"/>
  <c r="AJ161" i="1" s="1"/>
  <c r="BG161" i="3"/>
  <c r="BO161" i="3" s="1"/>
  <c r="BS161" i="3" s="1"/>
  <c r="AD161" i="1"/>
  <c r="AN161" i="1"/>
  <c r="BO166" i="3"/>
  <c r="BS166" i="3" s="1"/>
  <c r="BK166" i="3"/>
  <c r="AG165" i="1"/>
  <c r="AH165" i="1"/>
  <c r="AE165" i="1"/>
  <c r="W164" i="1"/>
  <c r="U164" i="1"/>
  <c r="T164" i="1"/>
  <c r="V164" i="1"/>
  <c r="AE163" i="1"/>
  <c r="AG163" i="1"/>
  <c r="AF163" i="1"/>
  <c r="AH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AP62" i="3"/>
  <c r="BE62" i="3" s="1"/>
  <c r="AQ62" i="3"/>
  <c r="AY62" i="3" s="1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BH89" i="3" s="1"/>
  <c r="AP89" i="3"/>
  <c r="BE89" i="3" s="1"/>
  <c r="AQ89" i="3"/>
  <c r="AY89" i="3" s="1"/>
  <c r="AO93" i="3"/>
  <c r="BD93" i="3" s="1"/>
  <c r="AP93" i="3"/>
  <c r="BE93" i="3" s="1"/>
  <c r="AQ93" i="3"/>
  <c r="BG93" i="3" s="1"/>
  <c r="BO93" i="3" s="1"/>
  <c r="BS93" i="3" s="1"/>
  <c r="AO94" i="3"/>
  <c r="BD94" i="3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P3" i="1"/>
  <c r="BZ3" i="1" s="1"/>
  <c r="X3" i="1"/>
  <c r="Y3" i="1" s="1"/>
  <c r="AC3" i="1"/>
  <c r="BA3" i="1"/>
  <c r="BS3" i="1"/>
  <c r="AW3" i="1" s="1"/>
  <c r="BU3" i="1"/>
  <c r="BX3" i="1"/>
  <c r="P4" i="1"/>
  <c r="X4" i="1"/>
  <c r="K4" i="5" s="1"/>
  <c r="L4" i="5" s="1"/>
  <c r="AC4" i="1"/>
  <c r="AO4" i="1"/>
  <c r="BA4" i="1"/>
  <c r="BS4" i="1"/>
  <c r="AW4" i="1" s="1"/>
  <c r="BU4" i="1"/>
  <c r="BX4" i="1"/>
  <c r="P5" i="1"/>
  <c r="BZ5" i="1" s="1"/>
  <c r="X5" i="1"/>
  <c r="Z5" i="1" s="1"/>
  <c r="AC5" i="1"/>
  <c r="AO5" i="1"/>
  <c r="BA5" i="1"/>
  <c r="BS5" i="1"/>
  <c r="AW5" i="1" s="1"/>
  <c r="BU5" i="1"/>
  <c r="BX5" i="1"/>
  <c r="P6" i="1"/>
  <c r="BZ6" i="1" s="1"/>
  <c r="X6" i="1"/>
  <c r="Z6" i="1" s="1"/>
  <c r="AC6" i="1"/>
  <c r="BA6" i="1"/>
  <c r="BS6" i="1"/>
  <c r="AW6" i="1" s="1"/>
  <c r="BU6" i="1"/>
  <c r="BX6" i="1"/>
  <c r="P7" i="1"/>
  <c r="BZ7" i="1" s="1"/>
  <c r="X7" i="1"/>
  <c r="Z7" i="1" s="1"/>
  <c r="AC7" i="1"/>
  <c r="BA7" i="1"/>
  <c r="BS7" i="1"/>
  <c r="AW7" i="1" s="1"/>
  <c r="BU7" i="1"/>
  <c r="BX7" i="1"/>
  <c r="P8" i="1"/>
  <c r="BZ8" i="1" s="1"/>
  <c r="X8" i="1"/>
  <c r="AC8" i="1"/>
  <c r="AO8" i="1"/>
  <c r="BA8" i="1"/>
  <c r="BS8" i="1"/>
  <c r="AW8" i="1" s="1"/>
  <c r="BU8" i="1"/>
  <c r="BX8" i="1"/>
  <c r="P9" i="1"/>
  <c r="BZ9" i="1" s="1"/>
  <c r="X9" i="1"/>
  <c r="Z9" i="1" s="1"/>
  <c r="AC9" i="1"/>
  <c r="BA9" i="1"/>
  <c r="BS9" i="1"/>
  <c r="AW9" i="1" s="1"/>
  <c r="BU9" i="1"/>
  <c r="BX9" i="1"/>
  <c r="P10" i="1"/>
  <c r="BZ10" i="1" s="1"/>
  <c r="X10" i="1"/>
  <c r="Z10" i="1" s="1"/>
  <c r="AC10" i="1"/>
  <c r="AO10" i="1"/>
  <c r="BA10" i="1"/>
  <c r="BS10" i="1"/>
  <c r="AW10" i="1" s="1"/>
  <c r="BU10" i="1"/>
  <c r="BX10" i="1"/>
  <c r="P11" i="1"/>
  <c r="BZ11" i="1" s="1"/>
  <c r="X11" i="1"/>
  <c r="Z11" i="1" s="1"/>
  <c r="AC11" i="1"/>
  <c r="BA11" i="1"/>
  <c r="BS11" i="1"/>
  <c r="AW11" i="1" s="1"/>
  <c r="BU11" i="1"/>
  <c r="BX11" i="1"/>
  <c r="P12" i="1"/>
  <c r="BZ12" i="1" s="1"/>
  <c r="X12" i="1"/>
  <c r="AA12" i="1" s="1"/>
  <c r="AC12" i="1"/>
  <c r="AO12" i="1"/>
  <c r="BA12" i="1"/>
  <c r="BS12" i="1"/>
  <c r="AW12" i="1" s="1"/>
  <c r="BU12" i="1"/>
  <c r="BX12" i="1"/>
  <c r="P13" i="1"/>
  <c r="BZ13" i="1" s="1"/>
  <c r="X13" i="1"/>
  <c r="AB13" i="1" s="1"/>
  <c r="AC13" i="1"/>
  <c r="BA13" i="1"/>
  <c r="BS13" i="1"/>
  <c r="AW13" i="1" s="1"/>
  <c r="BU13" i="1"/>
  <c r="BX13" i="1"/>
  <c r="P14" i="1"/>
  <c r="BZ14" i="1" s="1"/>
  <c r="X14" i="1"/>
  <c r="AB14" i="1" s="1"/>
  <c r="AC14" i="1"/>
  <c r="BA14" i="1"/>
  <c r="BS14" i="1"/>
  <c r="AW14" i="1" s="1"/>
  <c r="BU14" i="1"/>
  <c r="BX14" i="1"/>
  <c r="P15" i="1"/>
  <c r="BZ15" i="1" s="1"/>
  <c r="X15" i="1"/>
  <c r="AC15" i="1"/>
  <c r="BA15" i="1"/>
  <c r="BS15" i="1"/>
  <c r="AW15" i="1" s="1"/>
  <c r="BU15" i="1"/>
  <c r="BX15" i="1"/>
  <c r="P16" i="1"/>
  <c r="BZ16" i="1" s="1"/>
  <c r="X16" i="1"/>
  <c r="AA16" i="1" s="1"/>
  <c r="AC16" i="1"/>
  <c r="BA16" i="1"/>
  <c r="BS16" i="1"/>
  <c r="AW16" i="1" s="1"/>
  <c r="BU16" i="1"/>
  <c r="BX16" i="1"/>
  <c r="P17" i="1"/>
  <c r="BZ17" i="1" s="1"/>
  <c r="X17" i="1"/>
  <c r="Z17" i="1" s="1"/>
  <c r="AC17" i="1"/>
  <c r="AO17" i="1"/>
  <c r="BA17" i="1"/>
  <c r="BS17" i="1"/>
  <c r="AW17" i="1" s="1"/>
  <c r="BU17" i="1"/>
  <c r="BX17" i="1"/>
  <c r="P18" i="1"/>
  <c r="BZ18" i="1" s="1"/>
  <c r="X18" i="1"/>
  <c r="AB18" i="1" s="1"/>
  <c r="AC18" i="1"/>
  <c r="AO18" i="1"/>
  <c r="BA18" i="1"/>
  <c r="BS18" i="1"/>
  <c r="AW18" i="1" s="1"/>
  <c r="BU18" i="1"/>
  <c r="BX18" i="1"/>
  <c r="P19" i="1"/>
  <c r="BZ19" i="1" s="1"/>
  <c r="X19" i="1"/>
  <c r="K19" i="5" s="1"/>
  <c r="L19" i="5" s="1"/>
  <c r="AC19" i="1"/>
  <c r="BA19" i="1"/>
  <c r="BS19" i="1"/>
  <c r="AW19" i="1" s="1"/>
  <c r="BU19" i="1"/>
  <c r="BX19" i="1"/>
  <c r="P20" i="1"/>
  <c r="BZ20" i="1" s="1"/>
  <c r="X20" i="1"/>
  <c r="Z20" i="1" s="1"/>
  <c r="AC20" i="1"/>
  <c r="AO20" i="1"/>
  <c r="BA20" i="1"/>
  <c r="BS20" i="1"/>
  <c r="AW20" i="1" s="1"/>
  <c r="BU20" i="1"/>
  <c r="BX20" i="1"/>
  <c r="P21" i="1"/>
  <c r="BZ21" i="1" s="1"/>
  <c r="X21" i="1"/>
  <c r="AC21" i="1"/>
  <c r="AO21" i="1"/>
  <c r="BA21" i="1"/>
  <c r="BS21" i="1"/>
  <c r="AW21" i="1" s="1"/>
  <c r="BU21" i="1"/>
  <c r="BX21" i="1"/>
  <c r="P22" i="1"/>
  <c r="BZ22" i="1" s="1"/>
  <c r="X22" i="1"/>
  <c r="Z22" i="1" s="1"/>
  <c r="AC22" i="1"/>
  <c r="AO22" i="1"/>
  <c r="BA22" i="1"/>
  <c r="BS22" i="1"/>
  <c r="AW22" i="1" s="1"/>
  <c r="BU22" i="1"/>
  <c r="BX22" i="1"/>
  <c r="P23" i="1"/>
  <c r="BZ23" i="1" s="1"/>
  <c r="X23" i="1"/>
  <c r="AA23" i="1" s="1"/>
  <c r="AC23" i="1"/>
  <c r="AO23" i="1"/>
  <c r="BA23" i="1"/>
  <c r="BS23" i="1"/>
  <c r="AW23" i="1" s="1"/>
  <c r="BU23" i="1"/>
  <c r="BX23" i="1"/>
  <c r="P24" i="1"/>
  <c r="BZ24" i="1" s="1"/>
  <c r="X24" i="1"/>
  <c r="Z24" i="1" s="1"/>
  <c r="AC24" i="1"/>
  <c r="AO24" i="1"/>
  <c r="BA24" i="1"/>
  <c r="BS24" i="1"/>
  <c r="AW24" i="1" s="1"/>
  <c r="BU24" i="1"/>
  <c r="BX24" i="1"/>
  <c r="P25" i="1"/>
  <c r="BZ25" i="1" s="1"/>
  <c r="AC25" i="1"/>
  <c r="BA25" i="1"/>
  <c r="BS25" i="1"/>
  <c r="AW25" i="1" s="1"/>
  <c r="BU25" i="1"/>
  <c r="BX25" i="1"/>
  <c r="P26" i="1"/>
  <c r="BZ26" i="1" s="1"/>
  <c r="AC26" i="1"/>
  <c r="BA26" i="1"/>
  <c r="BS26" i="1"/>
  <c r="AW26" i="1" s="1"/>
  <c r="BU26" i="1"/>
  <c r="BX26" i="1"/>
  <c r="P27" i="1"/>
  <c r="AC27" i="1"/>
  <c r="AO27" i="1"/>
  <c r="BA27" i="1"/>
  <c r="BS27" i="1"/>
  <c r="AW27" i="1" s="1"/>
  <c r="BU27" i="1"/>
  <c r="BX27" i="1"/>
  <c r="P28" i="1"/>
  <c r="BZ28" i="1" s="1"/>
  <c r="X28" i="1"/>
  <c r="K28" i="5" s="1"/>
  <c r="AC28" i="1"/>
  <c r="BA28" i="1"/>
  <c r="BS28" i="1"/>
  <c r="AW28" i="1" s="1"/>
  <c r="BU28" i="1"/>
  <c r="BX28" i="1"/>
  <c r="P29" i="1"/>
  <c r="AC29" i="1"/>
  <c r="AO29" i="1"/>
  <c r="BA29" i="1"/>
  <c r="BS29" i="1"/>
  <c r="AW29" i="1" s="1"/>
  <c r="BU29" i="1"/>
  <c r="BX29" i="1"/>
  <c r="P30" i="1"/>
  <c r="BZ30" i="1" s="1"/>
  <c r="X30" i="1"/>
  <c r="AC30" i="1"/>
  <c r="BA30" i="1"/>
  <c r="BS30" i="1"/>
  <c r="AW30" i="1" s="1"/>
  <c r="BU30" i="1"/>
  <c r="BX30" i="1"/>
  <c r="P31" i="1"/>
  <c r="BZ31" i="1" s="1"/>
  <c r="X31" i="1"/>
  <c r="K31" i="5" s="1"/>
  <c r="L31" i="5" s="1"/>
  <c r="AC31" i="1"/>
  <c r="BA31" i="1"/>
  <c r="BS31" i="1"/>
  <c r="AW31" i="1" s="1"/>
  <c r="BU31" i="1"/>
  <c r="BX31" i="1"/>
  <c r="P32" i="1"/>
  <c r="X32" i="1"/>
  <c r="AC32" i="1"/>
  <c r="AO32" i="1"/>
  <c r="BA32" i="1"/>
  <c r="BS32" i="1"/>
  <c r="AW32" i="1" s="1"/>
  <c r="BU32" i="1"/>
  <c r="BX32" i="1"/>
  <c r="P33" i="1"/>
  <c r="BZ33" i="1" s="1"/>
  <c r="X33" i="1"/>
  <c r="AC33" i="1"/>
  <c r="AO33" i="1"/>
  <c r="BA33" i="1"/>
  <c r="BS33" i="1"/>
  <c r="AW33" i="1" s="1"/>
  <c r="BU33" i="1"/>
  <c r="BX33" i="1"/>
  <c r="P34" i="1"/>
  <c r="BZ34" i="1" s="1"/>
  <c r="X34" i="1"/>
  <c r="K34" i="5" s="1"/>
  <c r="AC34" i="1"/>
  <c r="AO34" i="1"/>
  <c r="BA34" i="1"/>
  <c r="BS34" i="1"/>
  <c r="AW34" i="1" s="1"/>
  <c r="BU34" i="1"/>
  <c r="BX34" i="1"/>
  <c r="P35" i="1"/>
  <c r="X35" i="1"/>
  <c r="Z35" i="1" s="1"/>
  <c r="AC35" i="1"/>
  <c r="AO35" i="1"/>
  <c r="BA35" i="1"/>
  <c r="BS35" i="1"/>
  <c r="AW35" i="1" s="1"/>
  <c r="BU35" i="1"/>
  <c r="BX35" i="1"/>
  <c r="P36" i="1"/>
  <c r="BZ36" i="1" s="1"/>
  <c r="X36" i="1"/>
  <c r="Y36" i="1" s="1"/>
  <c r="AC36" i="1"/>
  <c r="AO36" i="1"/>
  <c r="BA36" i="1"/>
  <c r="BS36" i="1"/>
  <c r="AW36" i="1" s="1"/>
  <c r="BU36" i="1"/>
  <c r="BX36" i="1"/>
  <c r="P37" i="1"/>
  <c r="BZ37" i="1" s="1"/>
  <c r="X37" i="1"/>
  <c r="AA37" i="1" s="1"/>
  <c r="AC37" i="1"/>
  <c r="AO37" i="1"/>
  <c r="BA37" i="1"/>
  <c r="BS37" i="1"/>
  <c r="AW37" i="1" s="1"/>
  <c r="BU37" i="1"/>
  <c r="BX37" i="1"/>
  <c r="P38" i="1"/>
  <c r="BZ38" i="1" s="1"/>
  <c r="X38" i="1"/>
  <c r="AC38" i="1"/>
  <c r="AO38" i="1"/>
  <c r="BA38" i="1"/>
  <c r="BS38" i="1"/>
  <c r="AW38" i="1" s="1"/>
  <c r="BU38" i="1"/>
  <c r="BX38" i="1"/>
  <c r="P39" i="1"/>
  <c r="BZ39" i="1" s="1"/>
  <c r="X39" i="1"/>
  <c r="AA39" i="1" s="1"/>
  <c r="AC39" i="1"/>
  <c r="BA39" i="1"/>
  <c r="BS39" i="1"/>
  <c r="AW39" i="1" s="1"/>
  <c r="BU39" i="1"/>
  <c r="BX39" i="1"/>
  <c r="P40" i="1"/>
  <c r="BZ40" i="1" s="1"/>
  <c r="X40" i="1"/>
  <c r="Y40" i="1" s="1"/>
  <c r="AC40" i="1"/>
  <c r="AO40" i="1"/>
  <c r="BA40" i="1"/>
  <c r="BS40" i="1"/>
  <c r="AW40" i="1" s="1"/>
  <c r="BU40" i="1"/>
  <c r="BX40" i="1"/>
  <c r="P41" i="1"/>
  <c r="X41" i="1"/>
  <c r="K41" i="5" s="1"/>
  <c r="L41" i="5" s="1"/>
  <c r="AC41" i="1"/>
  <c r="AO41" i="1"/>
  <c r="BA41" i="1"/>
  <c r="BS41" i="1"/>
  <c r="AW41" i="1" s="1"/>
  <c r="BU41" i="1"/>
  <c r="BX41" i="1"/>
  <c r="P42" i="1"/>
  <c r="BZ42" i="1" s="1"/>
  <c r="AC42" i="1"/>
  <c r="AO42" i="1"/>
  <c r="BA42" i="1"/>
  <c r="BS42" i="1"/>
  <c r="AW42" i="1" s="1"/>
  <c r="BU42" i="1"/>
  <c r="BX42" i="1"/>
  <c r="P43" i="1"/>
  <c r="BZ43" i="1" s="1"/>
  <c r="AC43" i="1"/>
  <c r="BA43" i="1"/>
  <c r="BS43" i="1"/>
  <c r="AW43" i="1" s="1"/>
  <c r="BU43" i="1"/>
  <c r="BX43" i="1"/>
  <c r="P44" i="1"/>
  <c r="BZ44" i="1" s="1"/>
  <c r="AC44" i="1"/>
  <c r="AO44" i="1"/>
  <c r="BA44" i="1"/>
  <c r="BS44" i="1"/>
  <c r="AW44" i="1" s="1"/>
  <c r="BU44" i="1"/>
  <c r="BX44" i="1"/>
  <c r="P45" i="1"/>
  <c r="BZ45" i="1" s="1"/>
  <c r="AC45" i="1"/>
  <c r="AO45" i="1"/>
  <c r="BA45" i="1"/>
  <c r="BS45" i="1"/>
  <c r="AW45" i="1" s="1"/>
  <c r="BU45" i="1"/>
  <c r="BX45" i="1"/>
  <c r="P46" i="1"/>
  <c r="BZ46" i="1" s="1"/>
  <c r="AC46" i="1"/>
  <c r="BA46" i="1"/>
  <c r="BS46" i="1"/>
  <c r="AW46" i="1" s="1"/>
  <c r="BU46" i="1"/>
  <c r="BX46" i="1"/>
  <c r="P47" i="1"/>
  <c r="X47" i="1"/>
  <c r="K47" i="5" s="1"/>
  <c r="L47" i="5" s="1"/>
  <c r="AC47" i="1"/>
  <c r="AO47" i="1"/>
  <c r="BA47" i="1"/>
  <c r="BS47" i="1"/>
  <c r="AW47" i="1" s="1"/>
  <c r="BU47" i="1"/>
  <c r="BX47" i="1"/>
  <c r="P48" i="1"/>
  <c r="X48" i="1"/>
  <c r="AB48" i="1" s="1"/>
  <c r="AC48" i="1"/>
  <c r="AO48" i="1"/>
  <c r="BA48" i="1"/>
  <c r="BS48" i="1"/>
  <c r="AW48" i="1" s="1"/>
  <c r="BU48" i="1"/>
  <c r="BX48" i="1"/>
  <c r="P49" i="1"/>
  <c r="BZ49" i="1" s="1"/>
  <c r="AC49" i="1"/>
  <c r="AO49" i="1"/>
  <c r="BA49" i="1"/>
  <c r="BS49" i="1"/>
  <c r="AW49" i="1" s="1"/>
  <c r="BU49" i="1"/>
  <c r="BX49" i="1"/>
  <c r="P50" i="1"/>
  <c r="BZ50" i="1" s="1"/>
  <c r="AC50" i="1"/>
  <c r="AO50" i="1"/>
  <c r="BA50" i="1"/>
  <c r="BS50" i="1"/>
  <c r="AW50" i="1" s="1"/>
  <c r="BU50" i="1"/>
  <c r="BX50" i="1"/>
  <c r="P51" i="1"/>
  <c r="BZ51" i="1" s="1"/>
  <c r="AC51" i="1"/>
  <c r="BA51" i="1"/>
  <c r="BS51" i="1"/>
  <c r="AW51" i="1" s="1"/>
  <c r="BU51" i="1"/>
  <c r="BX51" i="1"/>
  <c r="P52" i="1"/>
  <c r="BZ52" i="1" s="1"/>
  <c r="AC52" i="1"/>
  <c r="BA52" i="1"/>
  <c r="BS52" i="1"/>
  <c r="AW52" i="1" s="1"/>
  <c r="BU52" i="1"/>
  <c r="BX52" i="1"/>
  <c r="P53" i="1"/>
  <c r="BZ53" i="1" s="1"/>
  <c r="AC53" i="1"/>
  <c r="AO53" i="1"/>
  <c r="BA53" i="1"/>
  <c r="BS53" i="1"/>
  <c r="AW53" i="1" s="1"/>
  <c r="BU53" i="1"/>
  <c r="BX53" i="1"/>
  <c r="P54" i="1"/>
  <c r="BZ54" i="1" s="1"/>
  <c r="AC54" i="1"/>
  <c r="AO54" i="1"/>
  <c r="BA54" i="1"/>
  <c r="BS54" i="1"/>
  <c r="AW54" i="1" s="1"/>
  <c r="BU54" i="1"/>
  <c r="BX54" i="1"/>
  <c r="N55" i="1"/>
  <c r="O55" i="1"/>
  <c r="P55" i="1"/>
  <c r="S55" i="1"/>
  <c r="W55" i="1" s="1"/>
  <c r="X55" i="1"/>
  <c r="K55" i="5" s="1"/>
  <c r="AC55" i="1"/>
  <c r="AI55" i="1"/>
  <c r="AJ55" i="1" s="1"/>
  <c r="AO55" i="1"/>
  <c r="AX55" i="1"/>
  <c r="AZ55" i="1"/>
  <c r="BA55" i="1"/>
  <c r="BB55" i="1"/>
  <c r="BH55" i="1"/>
  <c r="BI55" i="1"/>
  <c r="BN55" i="1"/>
  <c r="BS55" i="1"/>
  <c r="AW55" i="1" s="1"/>
  <c r="BU55" i="1"/>
  <c r="BX55" i="1"/>
  <c r="CA55" i="1"/>
  <c r="CB55" i="1"/>
  <c r="CD55" i="1"/>
  <c r="CE55" i="1"/>
  <c r="CG55" i="1"/>
  <c r="CH55" i="1"/>
  <c r="CI55" i="1"/>
  <c r="N56" i="1"/>
  <c r="O56" i="1"/>
  <c r="P56" i="1"/>
  <c r="BZ56" i="1" s="1"/>
  <c r="S56" i="1"/>
  <c r="V56" i="1" s="1"/>
  <c r="X56" i="1"/>
  <c r="Z56" i="1" s="1"/>
  <c r="AC56" i="1"/>
  <c r="AI56" i="1"/>
  <c r="AJ56" i="1" s="1"/>
  <c r="AO56" i="1"/>
  <c r="AX56" i="1"/>
  <c r="AZ56" i="1"/>
  <c r="BA56" i="1"/>
  <c r="BB56" i="1"/>
  <c r="BH56" i="1"/>
  <c r="BI56" i="1"/>
  <c r="BN56" i="1"/>
  <c r="BS56" i="1"/>
  <c r="AW56" i="1" s="1"/>
  <c r="BU56" i="1"/>
  <c r="BX56" i="1"/>
  <c r="CA56" i="1"/>
  <c r="CB56" i="1"/>
  <c r="CD56" i="1"/>
  <c r="CE56" i="1"/>
  <c r="CG56" i="1"/>
  <c r="CH56" i="1"/>
  <c r="CI56" i="1"/>
  <c r="N57" i="1"/>
  <c r="O57" i="1"/>
  <c r="P57" i="1"/>
  <c r="BZ57" i="1" s="1"/>
  <c r="S57" i="1"/>
  <c r="G57" i="5" s="1"/>
  <c r="X57" i="1"/>
  <c r="AC57" i="1"/>
  <c r="AI57" i="1"/>
  <c r="AJ57" i="1" s="1"/>
  <c r="AO57" i="1"/>
  <c r="AX57" i="1"/>
  <c r="AZ57" i="1"/>
  <c r="BA57" i="1"/>
  <c r="BB57" i="1"/>
  <c r="BH57" i="1"/>
  <c r="BK57" i="1" s="1"/>
  <c r="BI57" i="1"/>
  <c r="BN57" i="1"/>
  <c r="BS57" i="1"/>
  <c r="AW57" i="1" s="1"/>
  <c r="BU57" i="1"/>
  <c r="BX57" i="1"/>
  <c r="CA57" i="1"/>
  <c r="CB57" i="1"/>
  <c r="CD57" i="1"/>
  <c r="CE57" i="1"/>
  <c r="CG57" i="1"/>
  <c r="CH57" i="1"/>
  <c r="CI57" i="1"/>
  <c r="N58" i="1"/>
  <c r="O58" i="1"/>
  <c r="P58" i="1"/>
  <c r="BZ58" i="1" s="1"/>
  <c r="S58" i="1"/>
  <c r="T58" i="1" s="1"/>
  <c r="X58" i="1"/>
  <c r="AC58" i="1"/>
  <c r="AI58" i="1"/>
  <c r="AJ58" i="1" s="1"/>
  <c r="AO58" i="1"/>
  <c r="AX58" i="1"/>
  <c r="AZ58" i="1"/>
  <c r="BA58" i="1"/>
  <c r="BB58" i="1"/>
  <c r="BH58" i="1"/>
  <c r="BK58" i="1" s="1"/>
  <c r="BI58" i="1"/>
  <c r="BN58" i="1"/>
  <c r="BS58" i="1"/>
  <c r="AW58" i="1" s="1"/>
  <c r="BU58" i="1"/>
  <c r="BX58" i="1"/>
  <c r="CA58" i="1"/>
  <c r="CB58" i="1"/>
  <c r="CD58" i="1"/>
  <c r="CE58" i="1"/>
  <c r="CG58" i="1"/>
  <c r="CH58" i="1"/>
  <c r="CI58" i="1"/>
  <c r="N59" i="1"/>
  <c r="O59" i="1"/>
  <c r="P59" i="1"/>
  <c r="BZ59" i="1" s="1"/>
  <c r="S59" i="1"/>
  <c r="X59" i="1"/>
  <c r="K59" i="5" s="1"/>
  <c r="L59" i="5" s="1"/>
  <c r="AC59" i="1"/>
  <c r="AI59" i="1"/>
  <c r="AJ59" i="1" s="1"/>
  <c r="AO59" i="1"/>
  <c r="AX59" i="1"/>
  <c r="AZ59" i="1"/>
  <c r="BA59" i="1"/>
  <c r="BB59" i="1"/>
  <c r="BH59" i="1"/>
  <c r="BI59" i="1"/>
  <c r="BN59" i="1"/>
  <c r="BS59" i="1"/>
  <c r="AW59" i="1" s="1"/>
  <c r="BU59" i="1"/>
  <c r="BX59" i="1"/>
  <c r="CA59" i="1"/>
  <c r="CB59" i="1"/>
  <c r="CD59" i="1"/>
  <c r="CE59" i="1"/>
  <c r="CG59" i="1"/>
  <c r="CH59" i="1"/>
  <c r="CI59" i="1"/>
  <c r="N60" i="1"/>
  <c r="O60" i="1"/>
  <c r="P60" i="1"/>
  <c r="BZ60" i="1" s="1"/>
  <c r="S60" i="1"/>
  <c r="U60" i="1" s="1"/>
  <c r="X60" i="1"/>
  <c r="AA60" i="1" s="1"/>
  <c r="AC60" i="1"/>
  <c r="AI60" i="1"/>
  <c r="AO60" i="1"/>
  <c r="AX60" i="1"/>
  <c r="AZ60" i="1"/>
  <c r="BA60" i="1"/>
  <c r="BB60" i="1"/>
  <c r="BH60" i="1"/>
  <c r="BI60" i="1"/>
  <c r="BN60" i="1"/>
  <c r="BS60" i="1"/>
  <c r="AW60" i="1" s="1"/>
  <c r="BU60" i="1"/>
  <c r="BX60" i="1"/>
  <c r="CA60" i="1"/>
  <c r="CB60" i="1"/>
  <c r="CD60" i="1"/>
  <c r="CE60" i="1"/>
  <c r="CG60" i="1"/>
  <c r="CH60" i="1"/>
  <c r="CI60" i="1"/>
  <c r="P61" i="1"/>
  <c r="X61" i="1"/>
  <c r="AC61" i="1"/>
  <c r="AO61" i="1"/>
  <c r="BA61" i="1"/>
  <c r="BS61" i="1"/>
  <c r="AW61" i="1" s="1"/>
  <c r="BU61" i="1"/>
  <c r="BX61" i="1"/>
  <c r="N62" i="1"/>
  <c r="O62" i="1"/>
  <c r="P62" i="1"/>
  <c r="BZ62" i="1" s="1"/>
  <c r="S62" i="1"/>
  <c r="T62" i="1" s="1"/>
  <c r="X62" i="1"/>
  <c r="Y62" i="1" s="1"/>
  <c r="AC62" i="1"/>
  <c r="AO62" i="1"/>
  <c r="AX62" i="1"/>
  <c r="AZ62" i="1"/>
  <c r="BA62" i="1"/>
  <c r="BB62" i="1"/>
  <c r="BH62" i="1"/>
  <c r="BK62" i="1" s="1"/>
  <c r="BI62" i="1"/>
  <c r="BN62" i="1"/>
  <c r="BS62" i="1"/>
  <c r="AW62" i="1" s="1"/>
  <c r="BU62" i="1"/>
  <c r="BX62" i="1"/>
  <c r="CA62" i="1"/>
  <c r="CB62" i="1"/>
  <c r="CD62" i="1"/>
  <c r="CE62" i="1"/>
  <c r="CG62" i="1"/>
  <c r="CH62" i="1"/>
  <c r="CI62" i="1"/>
  <c r="P63" i="1"/>
  <c r="X63" i="1"/>
  <c r="Y63" i="1" s="1"/>
  <c r="AC63" i="1"/>
  <c r="BA63" i="1"/>
  <c r="BS63" i="1"/>
  <c r="AW63" i="1" s="1"/>
  <c r="BU63" i="1"/>
  <c r="BX63" i="1"/>
  <c r="P64" i="1"/>
  <c r="BZ64" i="1" s="1"/>
  <c r="X64" i="1"/>
  <c r="AA64" i="1" s="1"/>
  <c r="AC64" i="1"/>
  <c r="AO64" i="1"/>
  <c r="BA64" i="1"/>
  <c r="BS64" i="1"/>
  <c r="AW64" i="1" s="1"/>
  <c r="BU64" i="1"/>
  <c r="BX64" i="1"/>
  <c r="P65" i="1"/>
  <c r="X65" i="1"/>
  <c r="AA65" i="1" s="1"/>
  <c r="AC65" i="1"/>
  <c r="AO65" i="1"/>
  <c r="BA65" i="1"/>
  <c r="BS65" i="1"/>
  <c r="AW65" i="1" s="1"/>
  <c r="BU65" i="1"/>
  <c r="BX65" i="1"/>
  <c r="P66" i="1"/>
  <c r="BZ66" i="1" s="1"/>
  <c r="X66" i="1"/>
  <c r="AB66" i="1" s="1"/>
  <c r="AC66" i="1"/>
  <c r="AO66" i="1"/>
  <c r="BA66" i="1"/>
  <c r="BS66" i="1"/>
  <c r="AW66" i="1" s="1"/>
  <c r="BU66" i="1"/>
  <c r="BX66" i="1"/>
  <c r="P67" i="1"/>
  <c r="BZ67" i="1" s="1"/>
  <c r="X67" i="1"/>
  <c r="AA67" i="1" s="1"/>
  <c r="AC67" i="1"/>
  <c r="AO67" i="1"/>
  <c r="BA67" i="1"/>
  <c r="BS67" i="1"/>
  <c r="AW67" i="1" s="1"/>
  <c r="BU67" i="1"/>
  <c r="BX67" i="1"/>
  <c r="P68" i="1"/>
  <c r="BZ68" i="1" s="1"/>
  <c r="X68" i="1"/>
  <c r="AB68" i="1" s="1"/>
  <c r="AC68" i="1"/>
  <c r="AO68" i="1"/>
  <c r="BA68" i="1"/>
  <c r="BS68" i="1"/>
  <c r="AW68" i="1" s="1"/>
  <c r="BU68" i="1"/>
  <c r="BX68" i="1"/>
  <c r="P69" i="1"/>
  <c r="BZ69" i="1" s="1"/>
  <c r="X69" i="1"/>
  <c r="Z69" i="1" s="1"/>
  <c r="AC69" i="1"/>
  <c r="AO69" i="1"/>
  <c r="BA69" i="1"/>
  <c r="BS69" i="1"/>
  <c r="AW69" i="1" s="1"/>
  <c r="BU69" i="1"/>
  <c r="BX69" i="1"/>
  <c r="P70" i="1"/>
  <c r="BZ70" i="1" s="1"/>
  <c r="X70" i="1"/>
  <c r="AA70" i="1" s="1"/>
  <c r="AC70" i="1"/>
  <c r="BA70" i="1"/>
  <c r="BS70" i="1"/>
  <c r="AW70" i="1" s="1"/>
  <c r="BU70" i="1"/>
  <c r="BX70" i="1"/>
  <c r="P71" i="1"/>
  <c r="BZ71" i="1" s="1"/>
  <c r="X71" i="1"/>
  <c r="K71" i="5" s="1"/>
  <c r="L71" i="5" s="1"/>
  <c r="AC71" i="1"/>
  <c r="BA71" i="1"/>
  <c r="BS71" i="1"/>
  <c r="AW71" i="1" s="1"/>
  <c r="BU71" i="1"/>
  <c r="BX71" i="1"/>
  <c r="P72" i="1"/>
  <c r="BZ72" i="1" s="1"/>
  <c r="X72" i="1"/>
  <c r="K72" i="5" s="1"/>
  <c r="L72" i="5" s="1"/>
  <c r="AC72" i="1"/>
  <c r="AO72" i="1"/>
  <c r="BA72" i="1"/>
  <c r="BS72" i="1"/>
  <c r="AW72" i="1" s="1"/>
  <c r="BU72" i="1"/>
  <c r="BX72" i="1"/>
  <c r="P73" i="1"/>
  <c r="BZ73" i="1" s="1"/>
  <c r="X73" i="1"/>
  <c r="AC73" i="1"/>
  <c r="AO73" i="1"/>
  <c r="BA73" i="1"/>
  <c r="BS73" i="1"/>
  <c r="AW73" i="1" s="1"/>
  <c r="BU73" i="1"/>
  <c r="BX73" i="1"/>
  <c r="P74" i="1"/>
  <c r="BZ74" i="1" s="1"/>
  <c r="X74" i="1"/>
  <c r="K74" i="5" s="1"/>
  <c r="L74" i="5" s="1"/>
  <c r="AC74" i="1"/>
  <c r="BA74" i="1"/>
  <c r="BS74" i="1"/>
  <c r="AW74" i="1" s="1"/>
  <c r="BU74" i="1"/>
  <c r="BX74" i="1"/>
  <c r="P75" i="1"/>
  <c r="BZ75" i="1" s="1"/>
  <c r="X75" i="1"/>
  <c r="Y75" i="1" s="1"/>
  <c r="AC75" i="1"/>
  <c r="BA75" i="1"/>
  <c r="BS75" i="1"/>
  <c r="AW75" i="1" s="1"/>
  <c r="BU75" i="1"/>
  <c r="BX75" i="1"/>
  <c r="N76" i="1"/>
  <c r="O76" i="1"/>
  <c r="P76" i="1"/>
  <c r="BZ76" i="1" s="1"/>
  <c r="S76" i="1"/>
  <c r="T76" i="1" s="1"/>
  <c r="X76" i="1"/>
  <c r="AB76" i="1" s="1"/>
  <c r="AC76" i="1"/>
  <c r="AI76" i="1"/>
  <c r="AJ76" i="1" s="1"/>
  <c r="AO76" i="1"/>
  <c r="AX76" i="1"/>
  <c r="BA76" i="1"/>
  <c r="BB76" i="1"/>
  <c r="BH76" i="1"/>
  <c r="BK76" i="1" s="1"/>
  <c r="BI76" i="1"/>
  <c r="BN76" i="1"/>
  <c r="BS76" i="1"/>
  <c r="AW76" i="1" s="1"/>
  <c r="BU76" i="1"/>
  <c r="BX76" i="1"/>
  <c r="CA76" i="1"/>
  <c r="CB76" i="1"/>
  <c r="CD76" i="1"/>
  <c r="CE76" i="1"/>
  <c r="CG76" i="1"/>
  <c r="CH76" i="1"/>
  <c r="CI76" i="1"/>
  <c r="N77" i="1"/>
  <c r="O77" i="1"/>
  <c r="P77" i="1"/>
  <c r="BZ77" i="1" s="1"/>
  <c r="S77" i="1"/>
  <c r="V77" i="1" s="1"/>
  <c r="X77" i="1"/>
  <c r="Z77" i="1" s="1"/>
  <c r="AC77" i="1"/>
  <c r="AI77" i="1"/>
  <c r="AJ77" i="1" s="1"/>
  <c r="AO77" i="1"/>
  <c r="AX77" i="1"/>
  <c r="BA77" i="1"/>
  <c r="BB77" i="1"/>
  <c r="BH77" i="1"/>
  <c r="BK77" i="1" s="1"/>
  <c r="BI77" i="1"/>
  <c r="BN77" i="1"/>
  <c r="BS77" i="1"/>
  <c r="AW77" i="1" s="1"/>
  <c r="BU77" i="1"/>
  <c r="BX77" i="1"/>
  <c r="CA77" i="1"/>
  <c r="CB77" i="1"/>
  <c r="CD77" i="1"/>
  <c r="CE77" i="1"/>
  <c r="CG77" i="1"/>
  <c r="CH77" i="1"/>
  <c r="CI77" i="1"/>
  <c r="P78" i="1"/>
  <c r="BZ78" i="1" s="1"/>
  <c r="X78" i="1"/>
  <c r="K78" i="5" s="1"/>
  <c r="L78" i="5" s="1"/>
  <c r="AC78" i="1"/>
  <c r="BA78" i="1"/>
  <c r="BS78" i="1"/>
  <c r="AW78" i="1" s="1"/>
  <c r="BU78" i="1"/>
  <c r="BX78" i="1"/>
  <c r="N79" i="1"/>
  <c r="O79" i="1"/>
  <c r="P79" i="1"/>
  <c r="BZ79" i="1" s="1"/>
  <c r="AC79" i="1"/>
  <c r="AI79" i="1"/>
  <c r="AJ79" i="1" s="1"/>
  <c r="AX79" i="1"/>
  <c r="AZ79" i="1"/>
  <c r="BA79" i="1"/>
  <c r="BB79" i="1"/>
  <c r="BH79" i="1"/>
  <c r="BK79" i="1" s="1"/>
  <c r="BI79" i="1"/>
  <c r="BN79" i="1"/>
  <c r="BS79" i="1"/>
  <c r="AW79" i="1" s="1"/>
  <c r="BU79" i="1"/>
  <c r="BX79" i="1"/>
  <c r="CA79" i="1"/>
  <c r="CB79" i="1"/>
  <c r="CD79" i="1"/>
  <c r="CE79" i="1"/>
  <c r="CG79" i="1"/>
  <c r="CH79" i="1"/>
  <c r="CI79" i="1"/>
  <c r="P80" i="1"/>
  <c r="AC80" i="1"/>
  <c r="AO80" i="1"/>
  <c r="BA80" i="1"/>
  <c r="BS80" i="1"/>
  <c r="AW80" i="1" s="1"/>
  <c r="BU80" i="1"/>
  <c r="BX80" i="1"/>
  <c r="P81" i="1"/>
  <c r="BZ81" i="1" s="1"/>
  <c r="S81" i="1"/>
  <c r="W81" i="1" s="1"/>
  <c r="X81" i="1"/>
  <c r="AA81" i="1" s="1"/>
  <c r="AC81" i="1"/>
  <c r="AI81" i="1"/>
  <c r="AJ81" i="1" s="1"/>
  <c r="AO81" i="1"/>
  <c r="AX81" i="1"/>
  <c r="AZ81" i="1"/>
  <c r="BA81" i="1"/>
  <c r="BB81" i="1"/>
  <c r="BH81" i="1"/>
  <c r="BK81" i="1" s="1"/>
  <c r="BI81" i="1"/>
  <c r="BN81" i="1"/>
  <c r="BS81" i="1"/>
  <c r="AW81" i="1" s="1"/>
  <c r="BU81" i="1"/>
  <c r="BX81" i="1"/>
  <c r="CA81" i="1"/>
  <c r="CB81" i="1"/>
  <c r="CD81" i="1"/>
  <c r="CE81" i="1"/>
  <c r="CG81" i="1"/>
  <c r="CH81" i="1"/>
  <c r="CI81" i="1"/>
  <c r="P82" i="1"/>
  <c r="BZ82" i="1" s="1"/>
  <c r="X82" i="1"/>
  <c r="Z82" i="1" s="1"/>
  <c r="AC82" i="1"/>
  <c r="AO82" i="1"/>
  <c r="BA82" i="1"/>
  <c r="BS82" i="1"/>
  <c r="AW82" i="1" s="1"/>
  <c r="BU82" i="1"/>
  <c r="BX82" i="1"/>
  <c r="P83" i="1"/>
  <c r="BZ83" i="1" s="1"/>
  <c r="X83" i="1"/>
  <c r="Z83" i="1" s="1"/>
  <c r="AC83" i="1"/>
  <c r="AO83" i="1"/>
  <c r="BA83" i="1"/>
  <c r="BS83" i="1"/>
  <c r="AW83" i="1" s="1"/>
  <c r="BU83" i="1"/>
  <c r="BX83" i="1"/>
  <c r="P84" i="1"/>
  <c r="BZ84" i="1" s="1"/>
  <c r="X84" i="1"/>
  <c r="Z84" i="1" s="1"/>
  <c r="AC84" i="1"/>
  <c r="AO84" i="1"/>
  <c r="BA84" i="1"/>
  <c r="BS84" i="1"/>
  <c r="AW84" i="1" s="1"/>
  <c r="BU84" i="1"/>
  <c r="BX84" i="1"/>
  <c r="P85" i="1"/>
  <c r="BZ85" i="1" s="1"/>
  <c r="X85" i="1"/>
  <c r="K85" i="5" s="1"/>
  <c r="L85" i="5" s="1"/>
  <c r="AC85" i="1"/>
  <c r="AO85" i="1"/>
  <c r="BA85" i="1"/>
  <c r="BS85" i="1"/>
  <c r="AW85" i="1" s="1"/>
  <c r="BU85" i="1"/>
  <c r="BX85" i="1"/>
  <c r="P86" i="1"/>
  <c r="BZ86" i="1" s="1"/>
  <c r="X86" i="1"/>
  <c r="Z86" i="1" s="1"/>
  <c r="AC86" i="1"/>
  <c r="BA86" i="1"/>
  <c r="BS86" i="1"/>
  <c r="AW86" i="1" s="1"/>
  <c r="BU86" i="1"/>
  <c r="BX86" i="1"/>
  <c r="P87" i="1"/>
  <c r="BZ87" i="1" s="1"/>
  <c r="X87" i="1"/>
  <c r="K87" i="5" s="1"/>
  <c r="L87" i="5" s="1"/>
  <c r="AC87" i="1"/>
  <c r="AO87" i="1"/>
  <c r="BA87" i="1"/>
  <c r="BS87" i="1"/>
  <c r="AW87" i="1" s="1"/>
  <c r="BU87" i="1"/>
  <c r="BX87" i="1"/>
  <c r="P88" i="1"/>
  <c r="BZ88" i="1" s="1"/>
  <c r="AC88" i="1"/>
  <c r="AO88" i="1"/>
  <c r="BA88" i="1"/>
  <c r="BS88" i="1"/>
  <c r="AW88" i="1" s="1"/>
  <c r="BU88" i="1"/>
  <c r="BX88" i="1"/>
  <c r="N89" i="1"/>
  <c r="O89" i="1"/>
  <c r="P89" i="1"/>
  <c r="BZ89" i="1" s="1"/>
  <c r="S89" i="1"/>
  <c r="T89" i="1" s="1"/>
  <c r="X89" i="1"/>
  <c r="K89" i="5" s="1"/>
  <c r="AC89" i="1"/>
  <c r="AO89" i="1"/>
  <c r="AX89" i="1"/>
  <c r="AZ89" i="1"/>
  <c r="BA89" i="1"/>
  <c r="BB89" i="1"/>
  <c r="BH89" i="1"/>
  <c r="BK89" i="1" s="1"/>
  <c r="BI89" i="1"/>
  <c r="BN89" i="1"/>
  <c r="BS89" i="1"/>
  <c r="AW89" i="1" s="1"/>
  <c r="BU89" i="1"/>
  <c r="BX89" i="1"/>
  <c r="CA89" i="1"/>
  <c r="CB89" i="1"/>
  <c r="CD89" i="1"/>
  <c r="CE89" i="1"/>
  <c r="CG89" i="1"/>
  <c r="CH89" i="1"/>
  <c r="CI89" i="1"/>
  <c r="P90" i="1"/>
  <c r="BZ90" i="1" s="1"/>
  <c r="X90" i="1"/>
  <c r="AC90" i="1"/>
  <c r="BA90" i="1"/>
  <c r="BS90" i="1"/>
  <c r="AW90" i="1" s="1"/>
  <c r="BU90" i="1"/>
  <c r="BX90" i="1"/>
  <c r="P91" i="1"/>
  <c r="BZ91" i="1" s="1"/>
  <c r="S91" i="1"/>
  <c r="T91" i="1" s="1"/>
  <c r="X91" i="1"/>
  <c r="Y91" i="1" s="1"/>
  <c r="AC91" i="1"/>
  <c r="AI91" i="1"/>
  <c r="AX91" i="1"/>
  <c r="AZ91" i="1"/>
  <c r="BA91" i="1"/>
  <c r="BB91" i="1"/>
  <c r="BH91" i="1"/>
  <c r="BK91" i="1" s="1"/>
  <c r="BI91" i="1"/>
  <c r="BN91" i="1"/>
  <c r="BS91" i="1"/>
  <c r="AW91" i="1" s="1"/>
  <c r="BU91" i="1"/>
  <c r="BX91" i="1"/>
  <c r="CA91" i="1"/>
  <c r="CB91" i="1"/>
  <c r="CD91" i="1"/>
  <c r="CE91" i="1"/>
  <c r="CG91" i="1"/>
  <c r="CH91" i="1"/>
  <c r="CI91" i="1"/>
  <c r="P92" i="1"/>
  <c r="BZ92" i="1" s="1"/>
  <c r="S92" i="1"/>
  <c r="G92" i="5" s="1"/>
  <c r="H92" i="5" s="1"/>
  <c r="X92" i="1"/>
  <c r="Y92" i="1" s="1"/>
  <c r="AC92" i="1"/>
  <c r="AI92" i="1"/>
  <c r="AX92" i="1"/>
  <c r="BA92" i="1"/>
  <c r="BB92" i="1"/>
  <c r="BH92" i="1"/>
  <c r="BK92" i="1" s="1"/>
  <c r="BI92" i="1"/>
  <c r="BN92" i="1"/>
  <c r="BS92" i="1"/>
  <c r="AW92" i="1" s="1"/>
  <c r="BU92" i="1"/>
  <c r="BX92" i="1"/>
  <c r="CA92" i="1"/>
  <c r="CB92" i="1"/>
  <c r="CD92" i="1"/>
  <c r="CE92" i="1"/>
  <c r="CG92" i="1"/>
  <c r="CH92" i="1"/>
  <c r="CI92" i="1"/>
  <c r="N93" i="1"/>
  <c r="O93" i="1"/>
  <c r="P93" i="1"/>
  <c r="BZ93" i="1" s="1"/>
  <c r="S93" i="1"/>
  <c r="T93" i="1" s="1"/>
  <c r="X93" i="1"/>
  <c r="K93" i="5" s="1"/>
  <c r="L93" i="5" s="1"/>
  <c r="AC93" i="1"/>
  <c r="AI93" i="1"/>
  <c r="AJ93" i="1" s="1"/>
  <c r="AO93" i="1"/>
  <c r="AX93" i="1"/>
  <c r="AZ93" i="1"/>
  <c r="BA93" i="1"/>
  <c r="BB93" i="1"/>
  <c r="BH93" i="1"/>
  <c r="BK93" i="1" s="1"/>
  <c r="BI93" i="1"/>
  <c r="BN93" i="1"/>
  <c r="BS93" i="1"/>
  <c r="AW93" i="1" s="1"/>
  <c r="BU93" i="1"/>
  <c r="BX93" i="1"/>
  <c r="CA93" i="1"/>
  <c r="CB93" i="1"/>
  <c r="CD93" i="1"/>
  <c r="CE93" i="1"/>
  <c r="CG93" i="1"/>
  <c r="CH93" i="1"/>
  <c r="CI93" i="1"/>
  <c r="N94" i="1"/>
  <c r="O94" i="1"/>
  <c r="P94" i="1"/>
  <c r="BZ94" i="1" s="1"/>
  <c r="S94" i="1"/>
  <c r="T94" i="1" s="1"/>
  <c r="X94" i="1"/>
  <c r="AB94" i="1" s="1"/>
  <c r="AC94" i="1"/>
  <c r="AI94" i="1"/>
  <c r="AO94" i="1"/>
  <c r="AX94" i="1"/>
  <c r="AZ94" i="1"/>
  <c r="BA94" i="1"/>
  <c r="BB94" i="1"/>
  <c r="BH94" i="1"/>
  <c r="BK94" i="1" s="1"/>
  <c r="BI94" i="1"/>
  <c r="BN94" i="1"/>
  <c r="BS94" i="1"/>
  <c r="AW94" i="1" s="1"/>
  <c r="BU94" i="1"/>
  <c r="BX94" i="1"/>
  <c r="CA94" i="1"/>
  <c r="CB94" i="1"/>
  <c r="CD94" i="1"/>
  <c r="CE94" i="1"/>
  <c r="CG94" i="1"/>
  <c r="CH94" i="1"/>
  <c r="CI94" i="1"/>
  <c r="P95" i="1"/>
  <c r="BZ95" i="1" s="1"/>
  <c r="X95" i="1"/>
  <c r="K95" i="5" s="1"/>
  <c r="L95" i="5" s="1"/>
  <c r="AC95" i="1"/>
  <c r="AO95" i="1"/>
  <c r="BA95" i="1"/>
  <c r="BS95" i="1"/>
  <c r="AW95" i="1" s="1"/>
  <c r="BU95" i="1"/>
  <c r="BX95" i="1"/>
  <c r="P96" i="1"/>
  <c r="BZ96" i="1" s="1"/>
  <c r="AC96" i="1"/>
  <c r="AO96" i="1"/>
  <c r="BA96" i="1"/>
  <c r="BS96" i="1"/>
  <c r="AW96" i="1" s="1"/>
  <c r="BU96" i="1"/>
  <c r="BX96" i="1"/>
  <c r="P97" i="1"/>
  <c r="BZ97" i="1" s="1"/>
  <c r="AC97" i="1"/>
  <c r="AO97" i="1"/>
  <c r="BA97" i="1"/>
  <c r="BS97" i="1"/>
  <c r="AW97" i="1" s="1"/>
  <c r="BU97" i="1"/>
  <c r="BX97" i="1"/>
  <c r="P98" i="1"/>
  <c r="BZ98" i="1" s="1"/>
  <c r="S98" i="1"/>
  <c r="V98" i="1" s="1"/>
  <c r="X98" i="1"/>
  <c r="AA98" i="1" s="1"/>
  <c r="AC98" i="1"/>
  <c r="AI98" i="1"/>
  <c r="AO98" i="1"/>
  <c r="AX98" i="1"/>
  <c r="AZ98" i="1"/>
  <c r="BA98" i="1"/>
  <c r="BB98" i="1"/>
  <c r="BH98" i="1"/>
  <c r="BI98" i="1"/>
  <c r="BN98" i="1"/>
  <c r="BS98" i="1"/>
  <c r="AW98" i="1" s="1"/>
  <c r="BU98" i="1"/>
  <c r="BX98" i="1"/>
  <c r="CA98" i="1"/>
  <c r="CB98" i="1"/>
  <c r="CD98" i="1"/>
  <c r="CE98" i="1"/>
  <c r="CG98" i="1"/>
  <c r="CH98" i="1"/>
  <c r="CI98" i="1"/>
  <c r="N99" i="1"/>
  <c r="O99" i="1"/>
  <c r="P99" i="1"/>
  <c r="S99" i="1"/>
  <c r="U99" i="1" s="1"/>
  <c r="X99" i="1"/>
  <c r="Y99" i="1" s="1"/>
  <c r="AC99" i="1"/>
  <c r="AI99" i="1"/>
  <c r="AO99" i="1"/>
  <c r="AX99" i="1"/>
  <c r="AZ99" i="1"/>
  <c r="BA99" i="1"/>
  <c r="BB99" i="1"/>
  <c r="BH99" i="1"/>
  <c r="BK99" i="1" s="1"/>
  <c r="BI99" i="1"/>
  <c r="BN99" i="1"/>
  <c r="BS99" i="1"/>
  <c r="AW99" i="1" s="1"/>
  <c r="BU99" i="1"/>
  <c r="BX99" i="1"/>
  <c r="CA99" i="1"/>
  <c r="CB99" i="1"/>
  <c r="CD99" i="1"/>
  <c r="CE99" i="1"/>
  <c r="CG99" i="1"/>
  <c r="CH99" i="1"/>
  <c r="CI99" i="1"/>
  <c r="N100" i="1"/>
  <c r="O100" i="1"/>
  <c r="P100" i="1"/>
  <c r="BZ100" i="1" s="1"/>
  <c r="S100" i="1"/>
  <c r="G100" i="5" s="1"/>
  <c r="X100" i="1"/>
  <c r="K100" i="5" s="1"/>
  <c r="L100" i="5" s="1"/>
  <c r="AC100" i="1"/>
  <c r="AI100" i="1"/>
  <c r="AJ100" i="1" s="1"/>
  <c r="AO100" i="1"/>
  <c r="AX100" i="1"/>
  <c r="AZ100" i="1"/>
  <c r="BA100" i="1"/>
  <c r="BB100" i="1"/>
  <c r="BH100" i="1"/>
  <c r="BK100" i="1" s="1"/>
  <c r="BI100" i="1"/>
  <c r="BN100" i="1"/>
  <c r="BS100" i="1"/>
  <c r="AW100" i="1" s="1"/>
  <c r="BU100" i="1"/>
  <c r="BX100" i="1"/>
  <c r="CA100" i="1"/>
  <c r="CB100" i="1"/>
  <c r="CD100" i="1"/>
  <c r="CE100" i="1"/>
  <c r="CG100" i="1"/>
  <c r="CH100" i="1"/>
  <c r="CI100" i="1"/>
  <c r="P101" i="1"/>
  <c r="BZ101" i="1" s="1"/>
  <c r="S101" i="1"/>
  <c r="T101" i="1" s="1"/>
  <c r="X101" i="1"/>
  <c r="AC101" i="1"/>
  <c r="AO101" i="1"/>
  <c r="AX101" i="1"/>
  <c r="BA101" i="1"/>
  <c r="BB101" i="1"/>
  <c r="BH101" i="1"/>
  <c r="BK101" i="1" s="1"/>
  <c r="BI101" i="1"/>
  <c r="BN101" i="1"/>
  <c r="BS101" i="1"/>
  <c r="AW101" i="1" s="1"/>
  <c r="BU101" i="1"/>
  <c r="BX101" i="1"/>
  <c r="CA101" i="1"/>
  <c r="CB101" i="1"/>
  <c r="CD101" i="1"/>
  <c r="CE101" i="1"/>
  <c r="CG101" i="1"/>
  <c r="CH101" i="1"/>
  <c r="CI101" i="1"/>
  <c r="P102" i="1"/>
  <c r="BZ102" i="1" s="1"/>
  <c r="S102" i="1"/>
  <c r="T102" i="1" s="1"/>
  <c r="X102" i="1"/>
  <c r="AA102" i="1" s="1"/>
  <c r="AC102" i="1"/>
  <c r="AO102" i="1"/>
  <c r="AX102" i="1"/>
  <c r="BA102" i="1"/>
  <c r="BB102" i="1"/>
  <c r="BH102" i="1"/>
  <c r="BI102" i="1"/>
  <c r="BN102" i="1"/>
  <c r="BS102" i="1"/>
  <c r="AW102" i="1" s="1"/>
  <c r="BU102" i="1"/>
  <c r="BX102" i="1"/>
  <c r="CA102" i="1"/>
  <c r="CB102" i="1"/>
  <c r="CD102" i="1"/>
  <c r="CE102" i="1"/>
  <c r="CG102" i="1"/>
  <c r="CH102" i="1"/>
  <c r="CI102" i="1"/>
  <c r="P103" i="1"/>
  <c r="X103" i="1"/>
  <c r="K103" i="5" s="1"/>
  <c r="AC103" i="1"/>
  <c r="AO103" i="1"/>
  <c r="BA103" i="1"/>
  <c r="BS103" i="1"/>
  <c r="AW103" i="1" s="1"/>
  <c r="BU103" i="1"/>
  <c r="BX103" i="1"/>
  <c r="P104" i="1"/>
  <c r="X104" i="1"/>
  <c r="K104" i="5" s="1"/>
  <c r="L104" i="5" s="1"/>
  <c r="AC104" i="1"/>
  <c r="AO104" i="1"/>
  <c r="BA104" i="1"/>
  <c r="BS104" i="1"/>
  <c r="AW104" i="1" s="1"/>
  <c r="BU104" i="1"/>
  <c r="BX104" i="1"/>
  <c r="P105" i="1"/>
  <c r="X105" i="1"/>
  <c r="Z105" i="1" s="1"/>
  <c r="AC105" i="1"/>
  <c r="AO105" i="1"/>
  <c r="BA105" i="1"/>
  <c r="BS105" i="1"/>
  <c r="AW105" i="1" s="1"/>
  <c r="BU105" i="1"/>
  <c r="BX105" i="1"/>
  <c r="P106" i="1"/>
  <c r="X106" i="1"/>
  <c r="AB106" i="1" s="1"/>
  <c r="AC106" i="1"/>
  <c r="AO106" i="1"/>
  <c r="BA106" i="1"/>
  <c r="BS106" i="1"/>
  <c r="AW106" i="1" s="1"/>
  <c r="BU106" i="1"/>
  <c r="BX106" i="1"/>
  <c r="P107" i="1"/>
  <c r="X107" i="1"/>
  <c r="Y107" i="1" s="1"/>
  <c r="AC107" i="1"/>
  <c r="AO107" i="1"/>
  <c r="BA107" i="1"/>
  <c r="BS107" i="1"/>
  <c r="AW107" i="1" s="1"/>
  <c r="BU107" i="1"/>
  <c r="BX107" i="1"/>
  <c r="P108" i="1"/>
  <c r="X108" i="1"/>
  <c r="K108" i="5" s="1"/>
  <c r="AC108" i="1"/>
  <c r="AO108" i="1"/>
  <c r="BA108" i="1"/>
  <c r="BS108" i="1"/>
  <c r="AW108" i="1" s="1"/>
  <c r="BU108" i="1"/>
  <c r="BX108" i="1"/>
  <c r="N109" i="1"/>
  <c r="O109" i="1"/>
  <c r="P109" i="1"/>
  <c r="BZ109" i="1" s="1"/>
  <c r="S109" i="1"/>
  <c r="V109" i="1" s="1"/>
  <c r="X109" i="1"/>
  <c r="Z109" i="1" s="1"/>
  <c r="AC109" i="1"/>
  <c r="AI109" i="1"/>
  <c r="AJ109" i="1" s="1"/>
  <c r="AO109" i="1"/>
  <c r="AX109" i="1"/>
  <c r="AZ109" i="1"/>
  <c r="BA109" i="1"/>
  <c r="BB109" i="1"/>
  <c r="BH109" i="1"/>
  <c r="BK109" i="1" s="1"/>
  <c r="BI109" i="1"/>
  <c r="BN109" i="1"/>
  <c r="BS109" i="1"/>
  <c r="AW109" i="1" s="1"/>
  <c r="BU109" i="1"/>
  <c r="BX109" i="1"/>
  <c r="CA109" i="1"/>
  <c r="CB109" i="1"/>
  <c r="CD109" i="1"/>
  <c r="CE109" i="1"/>
  <c r="CG109" i="1"/>
  <c r="CH109" i="1"/>
  <c r="CI109" i="1"/>
  <c r="N110" i="1"/>
  <c r="O110" i="1"/>
  <c r="P110" i="1"/>
  <c r="BZ110" i="1" s="1"/>
  <c r="X110" i="1"/>
  <c r="AC110" i="1"/>
  <c r="AI110" i="1"/>
  <c r="AJ110" i="1" s="1"/>
  <c r="AX110" i="1"/>
  <c r="BA110" i="1"/>
  <c r="BB110" i="1"/>
  <c r="BH110" i="1"/>
  <c r="BK110" i="1" s="1"/>
  <c r="BI110" i="1"/>
  <c r="BN110" i="1"/>
  <c r="BS110" i="1"/>
  <c r="AW110" i="1" s="1"/>
  <c r="BU110" i="1"/>
  <c r="BX110" i="1"/>
  <c r="CA110" i="1"/>
  <c r="CB110" i="1"/>
  <c r="CD110" i="1"/>
  <c r="CE110" i="1"/>
  <c r="CG110" i="1"/>
  <c r="CH110" i="1"/>
  <c r="CI110" i="1"/>
  <c r="P111" i="1"/>
  <c r="BZ111" i="1" s="1"/>
  <c r="X111" i="1"/>
  <c r="Z111" i="1" s="1"/>
  <c r="AC111" i="1"/>
  <c r="BA111" i="1"/>
  <c r="BS111" i="1"/>
  <c r="AW111" i="1" s="1"/>
  <c r="BU111" i="1"/>
  <c r="BX111" i="1"/>
  <c r="P112" i="1"/>
  <c r="BZ112" i="1" s="1"/>
  <c r="AC112" i="1"/>
  <c r="BA112" i="1"/>
  <c r="BS112" i="1"/>
  <c r="AW112" i="1" s="1"/>
  <c r="BU112" i="1"/>
  <c r="BX112" i="1"/>
  <c r="P113" i="1"/>
  <c r="BZ113" i="1" s="1"/>
  <c r="S113" i="1"/>
  <c r="T113" i="1" s="1"/>
  <c r="X113" i="1"/>
  <c r="AA113" i="1" s="1"/>
  <c r="AC113" i="1"/>
  <c r="AI113" i="1"/>
  <c r="AX113" i="1"/>
  <c r="AZ113" i="1"/>
  <c r="BA113" i="1"/>
  <c r="BB113" i="1"/>
  <c r="BH113" i="1"/>
  <c r="BK113" i="1" s="1"/>
  <c r="BI113" i="1"/>
  <c r="BN113" i="1"/>
  <c r="BS113" i="1"/>
  <c r="AW113" i="1" s="1"/>
  <c r="BU113" i="1"/>
  <c r="BX113" i="1"/>
  <c r="CA113" i="1"/>
  <c r="CB113" i="1"/>
  <c r="CD113" i="1"/>
  <c r="CE113" i="1"/>
  <c r="CG113" i="1"/>
  <c r="CH113" i="1"/>
  <c r="CI113" i="1"/>
  <c r="N114" i="1"/>
  <c r="O114" i="1"/>
  <c r="P114" i="1"/>
  <c r="BZ114" i="1" s="1"/>
  <c r="S114" i="1"/>
  <c r="X114" i="1"/>
  <c r="K114" i="5" s="1"/>
  <c r="AC114" i="1"/>
  <c r="AO114" i="1"/>
  <c r="AX114" i="1"/>
  <c r="AZ114" i="1"/>
  <c r="BA114" i="1"/>
  <c r="BB114" i="1"/>
  <c r="BH114" i="1"/>
  <c r="BK114" i="1" s="1"/>
  <c r="BI114" i="1"/>
  <c r="BN114" i="1"/>
  <c r="BS114" i="1"/>
  <c r="AW114" i="1" s="1"/>
  <c r="BU114" i="1"/>
  <c r="BX114" i="1"/>
  <c r="CA114" i="1"/>
  <c r="CB114" i="1"/>
  <c r="CD114" i="1"/>
  <c r="CE114" i="1"/>
  <c r="CG114" i="1"/>
  <c r="CH114" i="1"/>
  <c r="CI114" i="1"/>
  <c r="N115" i="1"/>
  <c r="O115" i="1"/>
  <c r="P115" i="1"/>
  <c r="S115" i="1"/>
  <c r="X115" i="1"/>
  <c r="AA115" i="1" s="1"/>
  <c r="AC115" i="1"/>
  <c r="AX115" i="1"/>
  <c r="AZ115" i="1"/>
  <c r="BA115" i="1"/>
  <c r="BB115" i="1"/>
  <c r="BH115" i="1"/>
  <c r="BK115" i="1" s="1"/>
  <c r="BI115" i="1"/>
  <c r="BN115" i="1"/>
  <c r="BS115" i="1"/>
  <c r="AW115" i="1" s="1"/>
  <c r="BU115" i="1"/>
  <c r="BX115" i="1"/>
  <c r="CA115" i="1"/>
  <c r="CB115" i="1"/>
  <c r="CD115" i="1"/>
  <c r="CE115" i="1"/>
  <c r="CG115" i="1"/>
  <c r="CH115" i="1"/>
  <c r="CI115" i="1"/>
  <c r="N116" i="1"/>
  <c r="O116" i="1"/>
  <c r="P116" i="1"/>
  <c r="BZ116" i="1" s="1"/>
  <c r="X116" i="1"/>
  <c r="Y116" i="1" s="1"/>
  <c r="AC116" i="1"/>
  <c r="AO116" i="1"/>
  <c r="AX116" i="1"/>
  <c r="BA116" i="1"/>
  <c r="BB116" i="1"/>
  <c r="BH116" i="1"/>
  <c r="BK116" i="1" s="1"/>
  <c r="BI116" i="1"/>
  <c r="BN116" i="1"/>
  <c r="BS116" i="1"/>
  <c r="AW116" i="1" s="1"/>
  <c r="BU116" i="1"/>
  <c r="BX116" i="1"/>
  <c r="CA116" i="1"/>
  <c r="CB116" i="1"/>
  <c r="CD116" i="1"/>
  <c r="CE116" i="1"/>
  <c r="CG116" i="1"/>
  <c r="CH116" i="1"/>
  <c r="CI116" i="1"/>
  <c r="N117" i="1"/>
  <c r="O117" i="1"/>
  <c r="P117" i="1"/>
  <c r="BZ117" i="1" s="1"/>
  <c r="S117" i="1"/>
  <c r="U117" i="1" s="1"/>
  <c r="X117" i="1"/>
  <c r="AB117" i="1" s="1"/>
  <c r="AC117" i="1"/>
  <c r="AO117" i="1"/>
  <c r="AX117" i="1"/>
  <c r="AZ117" i="1"/>
  <c r="BA117" i="1"/>
  <c r="BB117" i="1"/>
  <c r="BH117" i="1"/>
  <c r="BK117" i="1" s="1"/>
  <c r="BI117" i="1"/>
  <c r="BN117" i="1"/>
  <c r="BS117" i="1"/>
  <c r="AW117" i="1" s="1"/>
  <c r="BU117" i="1"/>
  <c r="BX117" i="1"/>
  <c r="CA117" i="1"/>
  <c r="CB117" i="1"/>
  <c r="CD117" i="1"/>
  <c r="CE117" i="1"/>
  <c r="CG117" i="1"/>
  <c r="CH117" i="1"/>
  <c r="CI117" i="1"/>
  <c r="N118" i="1"/>
  <c r="O118" i="1"/>
  <c r="P118" i="1"/>
  <c r="BZ118" i="1" s="1"/>
  <c r="X118" i="1"/>
  <c r="K118" i="5" s="1"/>
  <c r="L118" i="5" s="1"/>
  <c r="AC118" i="1"/>
  <c r="AI118" i="1"/>
  <c r="AJ118" i="1" s="1"/>
  <c r="AO118" i="1"/>
  <c r="AX118" i="1"/>
  <c r="AZ118" i="1"/>
  <c r="BA118" i="1"/>
  <c r="BB118" i="1"/>
  <c r="BH118" i="1"/>
  <c r="BK118" i="1" s="1"/>
  <c r="BI118" i="1"/>
  <c r="BN118" i="1"/>
  <c r="BS118" i="1"/>
  <c r="AW118" i="1" s="1"/>
  <c r="BU118" i="1"/>
  <c r="BX118" i="1"/>
  <c r="CA118" i="1"/>
  <c r="CB118" i="1"/>
  <c r="CD118" i="1"/>
  <c r="CE118" i="1"/>
  <c r="CG118" i="1"/>
  <c r="CH118" i="1"/>
  <c r="CI118" i="1"/>
  <c r="N119" i="1"/>
  <c r="O119" i="1"/>
  <c r="P119" i="1"/>
  <c r="BZ119" i="1" s="1"/>
  <c r="S119" i="1"/>
  <c r="W119" i="1" s="1"/>
  <c r="X119" i="1"/>
  <c r="AA119" i="1" s="1"/>
  <c r="AC119" i="1"/>
  <c r="AI119" i="1"/>
  <c r="AJ119" i="1" s="1"/>
  <c r="AO119" i="1"/>
  <c r="AX119" i="1"/>
  <c r="AZ119" i="1"/>
  <c r="BA119" i="1"/>
  <c r="BB119" i="1"/>
  <c r="BH119" i="1"/>
  <c r="BK119" i="1" s="1"/>
  <c r="BI119" i="1"/>
  <c r="BN119" i="1"/>
  <c r="BS119" i="1"/>
  <c r="AW119" i="1" s="1"/>
  <c r="BU119" i="1"/>
  <c r="BX119" i="1"/>
  <c r="CA119" i="1"/>
  <c r="CB119" i="1"/>
  <c r="CD119" i="1"/>
  <c r="CE119" i="1"/>
  <c r="CG119" i="1"/>
  <c r="CH119" i="1"/>
  <c r="CI119" i="1"/>
  <c r="N120" i="1"/>
  <c r="O120" i="1"/>
  <c r="P120" i="1"/>
  <c r="BZ120" i="1" s="1"/>
  <c r="S120" i="1"/>
  <c r="X120" i="1"/>
  <c r="AA120" i="1" s="1"/>
  <c r="AC120" i="1"/>
  <c r="AX120" i="1"/>
  <c r="AZ120" i="1"/>
  <c r="BA120" i="1"/>
  <c r="BB120" i="1"/>
  <c r="BH120" i="1"/>
  <c r="BK120" i="1" s="1"/>
  <c r="BI120" i="1"/>
  <c r="BN120" i="1"/>
  <c r="BP120" i="1" s="1"/>
  <c r="BS120" i="1"/>
  <c r="AW120" i="1" s="1"/>
  <c r="BU120" i="1"/>
  <c r="BX120" i="1"/>
  <c r="CA120" i="1"/>
  <c r="CB120" i="1"/>
  <c r="CD120" i="1"/>
  <c r="CE120" i="1"/>
  <c r="CG120" i="1"/>
  <c r="CH120" i="1"/>
  <c r="CI120" i="1"/>
  <c r="P121" i="1"/>
  <c r="BZ121" i="1" s="1"/>
  <c r="X121" i="1"/>
  <c r="AB121" i="1" s="1"/>
  <c r="AC121" i="1"/>
  <c r="AO121" i="1"/>
  <c r="BA121" i="1"/>
  <c r="BS121" i="1"/>
  <c r="AW121" i="1" s="1"/>
  <c r="BU121" i="1"/>
  <c r="BX121" i="1"/>
  <c r="P122" i="1"/>
  <c r="BZ122" i="1" s="1"/>
  <c r="S122" i="1"/>
  <c r="U122" i="1" s="1"/>
  <c r="X122" i="1"/>
  <c r="AC122" i="1"/>
  <c r="AI122" i="1"/>
  <c r="AJ122" i="1" s="1"/>
  <c r="AO122" i="1"/>
  <c r="AX122" i="1"/>
  <c r="BA122" i="1"/>
  <c r="BB122" i="1"/>
  <c r="BH122" i="1"/>
  <c r="BK122" i="1" s="1"/>
  <c r="BI122" i="1"/>
  <c r="BN122" i="1"/>
  <c r="BS122" i="1"/>
  <c r="AW122" i="1" s="1"/>
  <c r="BU122" i="1"/>
  <c r="BX122" i="1"/>
  <c r="CA122" i="1"/>
  <c r="CB122" i="1"/>
  <c r="CD122" i="1"/>
  <c r="CE122" i="1"/>
  <c r="CG122" i="1"/>
  <c r="CH122" i="1"/>
  <c r="CI122" i="1"/>
  <c r="N123" i="1"/>
  <c r="O123" i="1"/>
  <c r="P123" i="1"/>
  <c r="BZ123" i="1" s="1"/>
  <c r="S123" i="1"/>
  <c r="W123" i="1" s="1"/>
  <c r="X123" i="1"/>
  <c r="AB123" i="1" s="1"/>
  <c r="AC123" i="1"/>
  <c r="AO123" i="1"/>
  <c r="AX123" i="1"/>
  <c r="AZ123" i="1"/>
  <c r="BA123" i="1"/>
  <c r="BB123" i="1"/>
  <c r="BH123" i="1"/>
  <c r="BI123" i="1"/>
  <c r="BN123" i="1"/>
  <c r="BS123" i="1"/>
  <c r="AW123" i="1" s="1"/>
  <c r="BU123" i="1"/>
  <c r="BX123" i="1"/>
  <c r="CA123" i="1"/>
  <c r="CB123" i="1"/>
  <c r="CD123" i="1"/>
  <c r="CE123" i="1"/>
  <c r="CG123" i="1"/>
  <c r="CH123" i="1"/>
  <c r="CI123" i="1"/>
  <c r="P124" i="1"/>
  <c r="BZ124" i="1" s="1"/>
  <c r="X124" i="1"/>
  <c r="Y124" i="1" s="1"/>
  <c r="AC124" i="1"/>
  <c r="BA124" i="1"/>
  <c r="BS124" i="1"/>
  <c r="AW124" i="1" s="1"/>
  <c r="BU124" i="1"/>
  <c r="BX124" i="1"/>
  <c r="P125" i="1"/>
  <c r="BZ125" i="1" s="1"/>
  <c r="X125" i="1"/>
  <c r="K125" i="5" s="1"/>
  <c r="AC125" i="1"/>
  <c r="AO125" i="1"/>
  <c r="BA125" i="1"/>
  <c r="BS125" i="1"/>
  <c r="AW125" i="1" s="1"/>
  <c r="BU125" i="1"/>
  <c r="BX125" i="1"/>
  <c r="P126" i="1"/>
  <c r="BZ126" i="1" s="1"/>
  <c r="X126" i="1"/>
  <c r="K126" i="5" s="1"/>
  <c r="AC126" i="1"/>
  <c r="AO126" i="1"/>
  <c r="BA126" i="1"/>
  <c r="BS126" i="1"/>
  <c r="AW126" i="1" s="1"/>
  <c r="BU126" i="1"/>
  <c r="BX126" i="1"/>
  <c r="P127" i="1"/>
  <c r="X127" i="1"/>
  <c r="Y127" i="1" s="1"/>
  <c r="AC127" i="1"/>
  <c r="AO127" i="1"/>
  <c r="BA127" i="1"/>
  <c r="BS127" i="1"/>
  <c r="AW127" i="1" s="1"/>
  <c r="BU127" i="1"/>
  <c r="BX127" i="1"/>
  <c r="N128" i="1"/>
  <c r="O128" i="1"/>
  <c r="P128" i="1"/>
  <c r="BZ128" i="1" s="1"/>
  <c r="S128" i="1"/>
  <c r="X128" i="1"/>
  <c r="AC128" i="1"/>
  <c r="AO128" i="1"/>
  <c r="AX128" i="1"/>
  <c r="AZ128" i="1"/>
  <c r="BA128" i="1"/>
  <c r="BB128" i="1"/>
  <c r="BH128" i="1"/>
  <c r="BK128" i="1" s="1"/>
  <c r="BI128" i="1"/>
  <c r="BN128" i="1"/>
  <c r="BS128" i="1"/>
  <c r="AW128" i="1" s="1"/>
  <c r="BU128" i="1"/>
  <c r="BX128" i="1"/>
  <c r="CA128" i="1"/>
  <c r="CB128" i="1"/>
  <c r="CD128" i="1"/>
  <c r="CE128" i="1"/>
  <c r="CG128" i="1"/>
  <c r="CH128" i="1"/>
  <c r="CI128" i="1"/>
  <c r="P129" i="1"/>
  <c r="BZ129" i="1" s="1"/>
  <c r="X129" i="1"/>
  <c r="Z129" i="1" s="1"/>
  <c r="AC129" i="1"/>
  <c r="AO129" i="1"/>
  <c r="BA129" i="1"/>
  <c r="BS129" i="1"/>
  <c r="AW129" i="1" s="1"/>
  <c r="BU129" i="1"/>
  <c r="BX129" i="1"/>
  <c r="N130" i="1"/>
  <c r="O130" i="1"/>
  <c r="P130" i="1"/>
  <c r="BZ130" i="1" s="1"/>
  <c r="S130" i="1"/>
  <c r="V130" i="1" s="1"/>
  <c r="X130" i="1"/>
  <c r="K130" i="5" s="1"/>
  <c r="L130" i="5" s="1"/>
  <c r="AC130" i="1"/>
  <c r="AI130" i="1"/>
  <c r="AJ130" i="1" s="1"/>
  <c r="AO130" i="1"/>
  <c r="AX130" i="1"/>
  <c r="AZ130" i="1"/>
  <c r="BA130" i="1"/>
  <c r="BB130" i="1"/>
  <c r="BH130" i="1"/>
  <c r="BI130" i="1"/>
  <c r="BN130" i="1"/>
  <c r="BS130" i="1"/>
  <c r="AW130" i="1" s="1"/>
  <c r="BU130" i="1"/>
  <c r="BX130" i="1"/>
  <c r="CA130" i="1"/>
  <c r="CB130" i="1"/>
  <c r="CD130" i="1"/>
  <c r="CE130" i="1"/>
  <c r="CG130" i="1"/>
  <c r="CH130" i="1"/>
  <c r="CI130" i="1"/>
  <c r="N131" i="1"/>
  <c r="O131" i="1"/>
  <c r="P131" i="1"/>
  <c r="BZ131" i="1" s="1"/>
  <c r="S131" i="1"/>
  <c r="T131" i="1" s="1"/>
  <c r="X131" i="1"/>
  <c r="K131" i="5" s="1"/>
  <c r="L131" i="5" s="1"/>
  <c r="AC131" i="1"/>
  <c r="AI131" i="1"/>
  <c r="AO131" i="1"/>
  <c r="AX131" i="1"/>
  <c r="AZ131" i="1"/>
  <c r="BA131" i="1"/>
  <c r="BB131" i="1"/>
  <c r="BH131" i="1"/>
  <c r="BI131" i="1"/>
  <c r="BN131" i="1"/>
  <c r="BS131" i="1"/>
  <c r="AW131" i="1" s="1"/>
  <c r="BU131" i="1"/>
  <c r="BX131" i="1"/>
  <c r="CA131" i="1"/>
  <c r="CB131" i="1"/>
  <c r="CD131" i="1"/>
  <c r="CE131" i="1"/>
  <c r="CG131" i="1"/>
  <c r="CH131" i="1"/>
  <c r="CI131" i="1"/>
  <c r="P132" i="1"/>
  <c r="BZ132" i="1" s="1"/>
  <c r="X132" i="1"/>
  <c r="Z132" i="1" s="1"/>
  <c r="AC132" i="1"/>
  <c r="BA132" i="1"/>
  <c r="BS132" i="1"/>
  <c r="AW132" i="1" s="1"/>
  <c r="BU132" i="1"/>
  <c r="BX132" i="1"/>
  <c r="N133" i="1"/>
  <c r="O133" i="1"/>
  <c r="P133" i="1"/>
  <c r="BZ133" i="1" s="1"/>
  <c r="S133" i="1"/>
  <c r="W133" i="1" s="1"/>
  <c r="X133" i="1"/>
  <c r="AB133" i="1" s="1"/>
  <c r="AC133" i="1"/>
  <c r="AO133" i="1"/>
  <c r="AX133" i="1"/>
  <c r="AZ133" i="1"/>
  <c r="BA133" i="1"/>
  <c r="BB133" i="1"/>
  <c r="BH133" i="1"/>
  <c r="BI133" i="1"/>
  <c r="BN133" i="1"/>
  <c r="BS133" i="1"/>
  <c r="AW133" i="1" s="1"/>
  <c r="BU133" i="1"/>
  <c r="BX133" i="1"/>
  <c r="CA133" i="1"/>
  <c r="CB133" i="1"/>
  <c r="CD133" i="1"/>
  <c r="CE133" i="1"/>
  <c r="CG133" i="1"/>
  <c r="CH133" i="1"/>
  <c r="CI133" i="1"/>
  <c r="N134" i="1"/>
  <c r="O134" i="1"/>
  <c r="P134" i="1"/>
  <c r="BZ134" i="1" s="1"/>
  <c r="S134" i="1"/>
  <c r="G134" i="5" s="1"/>
  <c r="X134" i="1"/>
  <c r="AA134" i="1" s="1"/>
  <c r="AC134" i="1"/>
  <c r="AO134" i="1"/>
  <c r="AX134" i="1"/>
  <c r="AZ134" i="1"/>
  <c r="BA134" i="1"/>
  <c r="BB134" i="1"/>
  <c r="BH134" i="1"/>
  <c r="BK134" i="1" s="1"/>
  <c r="BI134" i="1"/>
  <c r="BN134" i="1"/>
  <c r="BS134" i="1"/>
  <c r="AW134" i="1" s="1"/>
  <c r="BU134" i="1"/>
  <c r="BX134" i="1"/>
  <c r="CA134" i="1"/>
  <c r="CB134" i="1"/>
  <c r="CD134" i="1"/>
  <c r="CE134" i="1"/>
  <c r="CG134" i="1"/>
  <c r="CH134" i="1"/>
  <c r="CI134" i="1"/>
  <c r="P135" i="1"/>
  <c r="BZ135" i="1" s="1"/>
  <c r="X135" i="1"/>
  <c r="K135" i="5" s="1"/>
  <c r="AC135" i="1"/>
  <c r="BA135" i="1"/>
  <c r="BS135" i="1"/>
  <c r="AW135" i="1" s="1"/>
  <c r="BU135" i="1"/>
  <c r="BX135" i="1"/>
  <c r="N136" i="1"/>
  <c r="O136" i="1"/>
  <c r="P136" i="1"/>
  <c r="BZ136" i="1" s="1"/>
  <c r="S136" i="1"/>
  <c r="G136" i="5" s="1"/>
  <c r="H136" i="5" s="1"/>
  <c r="X136" i="1"/>
  <c r="AB136" i="1" s="1"/>
  <c r="AC136" i="1"/>
  <c r="AI136" i="1"/>
  <c r="AX136" i="1"/>
  <c r="AZ136" i="1"/>
  <c r="BA136" i="1"/>
  <c r="BB136" i="1"/>
  <c r="BH136" i="1"/>
  <c r="BI136" i="1"/>
  <c r="BN136" i="1"/>
  <c r="BS136" i="1"/>
  <c r="AW136" i="1" s="1"/>
  <c r="BU136" i="1"/>
  <c r="BX136" i="1"/>
  <c r="CA136" i="1"/>
  <c r="CB136" i="1"/>
  <c r="CD136" i="1"/>
  <c r="CE136" i="1"/>
  <c r="CG136" i="1"/>
  <c r="CH136" i="1"/>
  <c r="CI136" i="1"/>
  <c r="N137" i="1"/>
  <c r="O137" i="1"/>
  <c r="P137" i="1"/>
  <c r="BZ137" i="1" s="1"/>
  <c r="AC137" i="1"/>
  <c r="AI137" i="1"/>
  <c r="AJ137" i="1" s="1"/>
  <c r="AX137" i="1"/>
  <c r="AZ137" i="1"/>
  <c r="BA137" i="1"/>
  <c r="BB137" i="1"/>
  <c r="BH137" i="1"/>
  <c r="BI137" i="1"/>
  <c r="BN137" i="1"/>
  <c r="BS137" i="1"/>
  <c r="AW137" i="1" s="1"/>
  <c r="BU137" i="1"/>
  <c r="BX137" i="1"/>
  <c r="CA137" i="1"/>
  <c r="CB137" i="1"/>
  <c r="CD137" i="1"/>
  <c r="CE137" i="1"/>
  <c r="CG137" i="1"/>
  <c r="CH137" i="1"/>
  <c r="CI137" i="1"/>
  <c r="N138" i="1"/>
  <c r="O138" i="1"/>
  <c r="P138" i="1"/>
  <c r="BZ138" i="1" s="1"/>
  <c r="S138" i="1"/>
  <c r="V138" i="1" s="1"/>
  <c r="X138" i="1"/>
  <c r="Y138" i="1" s="1"/>
  <c r="AC138" i="1"/>
  <c r="AO138" i="1"/>
  <c r="AX138" i="1"/>
  <c r="AZ138" i="1"/>
  <c r="BA138" i="1"/>
  <c r="BB138" i="1"/>
  <c r="BH138" i="1"/>
  <c r="BI138" i="1"/>
  <c r="BN138" i="1"/>
  <c r="BS138" i="1"/>
  <c r="AW138" i="1" s="1"/>
  <c r="BU138" i="1"/>
  <c r="BX138" i="1"/>
  <c r="CA138" i="1"/>
  <c r="CB138" i="1"/>
  <c r="CD138" i="1"/>
  <c r="CE138" i="1"/>
  <c r="CG138" i="1"/>
  <c r="CH138" i="1"/>
  <c r="CI138" i="1"/>
  <c r="N139" i="1"/>
  <c r="O139" i="1"/>
  <c r="P139" i="1"/>
  <c r="BZ139" i="1" s="1"/>
  <c r="S139" i="1"/>
  <c r="G139" i="5" s="1"/>
  <c r="H139" i="5" s="1"/>
  <c r="X139" i="1"/>
  <c r="Z139" i="1" s="1"/>
  <c r="AC139" i="1"/>
  <c r="AI139" i="1"/>
  <c r="AJ139" i="1" s="1"/>
  <c r="AX139" i="1"/>
  <c r="AZ139" i="1"/>
  <c r="BA139" i="1"/>
  <c r="BB139" i="1"/>
  <c r="BH139" i="1"/>
  <c r="BK139" i="1" s="1"/>
  <c r="BI139" i="1"/>
  <c r="BN139" i="1"/>
  <c r="BS139" i="1"/>
  <c r="AW139" i="1" s="1"/>
  <c r="BU139" i="1"/>
  <c r="BX139" i="1"/>
  <c r="CA139" i="1"/>
  <c r="CB139" i="1"/>
  <c r="CD139" i="1"/>
  <c r="CE139" i="1"/>
  <c r="CG139" i="1"/>
  <c r="CH139" i="1"/>
  <c r="CI139" i="1"/>
  <c r="N140" i="1"/>
  <c r="O140" i="1"/>
  <c r="P140" i="1"/>
  <c r="BZ140" i="1" s="1"/>
  <c r="S140" i="1"/>
  <c r="X140" i="1"/>
  <c r="AB140" i="1" s="1"/>
  <c r="AC140" i="1"/>
  <c r="AI140" i="1"/>
  <c r="AJ140" i="1" s="1"/>
  <c r="AO140" i="1"/>
  <c r="AX140" i="1"/>
  <c r="AZ140" i="1"/>
  <c r="BA140" i="1"/>
  <c r="BB140" i="1"/>
  <c r="BH140" i="1"/>
  <c r="BK140" i="1" s="1"/>
  <c r="BI140" i="1"/>
  <c r="BN140" i="1"/>
  <c r="BS140" i="1"/>
  <c r="AW140" i="1" s="1"/>
  <c r="BU140" i="1"/>
  <c r="BX140" i="1"/>
  <c r="CA140" i="1"/>
  <c r="CB140" i="1"/>
  <c r="CD140" i="1"/>
  <c r="CE140" i="1"/>
  <c r="CG140" i="1"/>
  <c r="CH140" i="1"/>
  <c r="CI140" i="1"/>
  <c r="N141" i="1"/>
  <c r="O141" i="1"/>
  <c r="P141" i="1"/>
  <c r="BZ141" i="1" s="1"/>
  <c r="S141" i="1"/>
  <c r="T141" i="1" s="1"/>
  <c r="X141" i="1"/>
  <c r="Y141" i="1" s="1"/>
  <c r="AC141" i="1"/>
  <c r="AI141" i="1"/>
  <c r="AJ141" i="1" s="1"/>
  <c r="AX141" i="1"/>
  <c r="AZ141" i="1"/>
  <c r="BA141" i="1"/>
  <c r="BB141" i="1"/>
  <c r="BH141" i="1"/>
  <c r="BK141" i="1" s="1"/>
  <c r="BI141" i="1"/>
  <c r="BN141" i="1"/>
  <c r="BS141" i="1"/>
  <c r="AW141" i="1" s="1"/>
  <c r="BU141" i="1"/>
  <c r="BX141" i="1"/>
  <c r="CA141" i="1"/>
  <c r="CB141" i="1"/>
  <c r="CD141" i="1"/>
  <c r="CE141" i="1"/>
  <c r="CG141" i="1"/>
  <c r="CH141" i="1"/>
  <c r="CI141" i="1"/>
  <c r="N142" i="1"/>
  <c r="O142" i="1"/>
  <c r="P142" i="1"/>
  <c r="BZ142" i="1" s="1"/>
  <c r="S142" i="1"/>
  <c r="W142" i="1" s="1"/>
  <c r="X142" i="1"/>
  <c r="AA142" i="1" s="1"/>
  <c r="AC142" i="1"/>
  <c r="AI142" i="1"/>
  <c r="AX142" i="1"/>
  <c r="AZ142" i="1"/>
  <c r="BA142" i="1"/>
  <c r="BB142" i="1"/>
  <c r="BH142" i="1"/>
  <c r="BK142" i="1" s="1"/>
  <c r="BI142" i="1"/>
  <c r="BN142" i="1"/>
  <c r="BS142" i="1"/>
  <c r="AW142" i="1" s="1"/>
  <c r="BU142" i="1"/>
  <c r="BX142" i="1"/>
  <c r="CA142" i="1"/>
  <c r="CB142" i="1"/>
  <c r="CD142" i="1"/>
  <c r="CE142" i="1"/>
  <c r="CG142" i="1"/>
  <c r="CH142" i="1"/>
  <c r="CI142" i="1"/>
  <c r="N143" i="1"/>
  <c r="O143" i="1"/>
  <c r="P143" i="1"/>
  <c r="BZ143" i="1" s="1"/>
  <c r="S143" i="1"/>
  <c r="V143" i="1" s="1"/>
  <c r="X143" i="1"/>
  <c r="AC143" i="1"/>
  <c r="AI143" i="1"/>
  <c r="AJ143" i="1" s="1"/>
  <c r="AX143" i="1"/>
  <c r="AZ143" i="1"/>
  <c r="BA143" i="1"/>
  <c r="BB143" i="1"/>
  <c r="BH143" i="1"/>
  <c r="BK143" i="1" s="1"/>
  <c r="BI143" i="1"/>
  <c r="BN143" i="1"/>
  <c r="BS143" i="1"/>
  <c r="AW143" i="1" s="1"/>
  <c r="BU143" i="1"/>
  <c r="BX143" i="1"/>
  <c r="CA143" i="1"/>
  <c r="CB143" i="1"/>
  <c r="CD143" i="1"/>
  <c r="CE143" i="1"/>
  <c r="CG143" i="1"/>
  <c r="CH143" i="1"/>
  <c r="CI143" i="1"/>
  <c r="N144" i="1"/>
  <c r="O144" i="1"/>
  <c r="P144" i="1"/>
  <c r="BZ144" i="1" s="1"/>
  <c r="S144" i="1"/>
  <c r="T144" i="1" s="1"/>
  <c r="X144" i="1"/>
  <c r="AA144" i="1" s="1"/>
  <c r="AC144" i="1"/>
  <c r="AI144" i="1"/>
  <c r="AJ144" i="1" s="1"/>
  <c r="AX144" i="1"/>
  <c r="AZ144" i="1"/>
  <c r="BA144" i="1"/>
  <c r="BB144" i="1"/>
  <c r="BH144" i="1"/>
  <c r="BK144" i="1" s="1"/>
  <c r="BI144" i="1"/>
  <c r="BY144" i="1" s="1"/>
  <c r="BN144" i="1"/>
  <c r="BS144" i="1"/>
  <c r="AW144" i="1" s="1"/>
  <c r="BU144" i="1"/>
  <c r="BX144" i="1"/>
  <c r="CA144" i="1"/>
  <c r="CB144" i="1"/>
  <c r="CD144" i="1"/>
  <c r="CE144" i="1"/>
  <c r="CG144" i="1"/>
  <c r="CH144" i="1"/>
  <c r="CI144" i="1"/>
  <c r="N145" i="1"/>
  <c r="O145" i="1"/>
  <c r="P145" i="1"/>
  <c r="BZ145" i="1" s="1"/>
  <c r="S145" i="1"/>
  <c r="V145" i="1" s="1"/>
  <c r="X145" i="1"/>
  <c r="AC145" i="1"/>
  <c r="AI145" i="1"/>
  <c r="AJ145" i="1" s="1"/>
  <c r="AX145" i="1"/>
  <c r="AZ145" i="1"/>
  <c r="BA145" i="1"/>
  <c r="BB145" i="1"/>
  <c r="BH145" i="1"/>
  <c r="BK145" i="1" s="1"/>
  <c r="BI145" i="1"/>
  <c r="BY145" i="1" s="1"/>
  <c r="BN145" i="1"/>
  <c r="BS145" i="1"/>
  <c r="AW145" i="1" s="1"/>
  <c r="BU145" i="1"/>
  <c r="BX145" i="1"/>
  <c r="CA145" i="1"/>
  <c r="CB145" i="1"/>
  <c r="CD145" i="1"/>
  <c r="CE145" i="1"/>
  <c r="CG145" i="1"/>
  <c r="CH145" i="1"/>
  <c r="CI145" i="1"/>
  <c r="N146" i="1"/>
  <c r="O146" i="1"/>
  <c r="P146" i="1"/>
  <c r="BZ146" i="1" s="1"/>
  <c r="S146" i="1"/>
  <c r="T146" i="1" s="1"/>
  <c r="X146" i="1"/>
  <c r="K146" i="5" s="1"/>
  <c r="L146" i="5" s="1"/>
  <c r="AC146" i="1"/>
  <c r="AI146" i="1"/>
  <c r="AJ146" i="1" s="1"/>
  <c r="AX146" i="1"/>
  <c r="AZ146" i="1"/>
  <c r="BA146" i="1"/>
  <c r="BB146" i="1"/>
  <c r="BH146" i="1"/>
  <c r="BK146" i="1" s="1"/>
  <c r="BI146" i="1"/>
  <c r="BN146" i="1"/>
  <c r="BS146" i="1"/>
  <c r="AW146" i="1" s="1"/>
  <c r="BU146" i="1"/>
  <c r="BX146" i="1"/>
  <c r="CA146" i="1"/>
  <c r="CB146" i="1"/>
  <c r="CD146" i="1"/>
  <c r="CE146" i="1"/>
  <c r="CG146" i="1"/>
  <c r="CH146" i="1"/>
  <c r="CI146" i="1"/>
  <c r="N147" i="1"/>
  <c r="O147" i="1"/>
  <c r="P147" i="1"/>
  <c r="BZ147" i="1" s="1"/>
  <c r="S147" i="1"/>
  <c r="V147" i="1" s="1"/>
  <c r="X147" i="1"/>
  <c r="Z147" i="1" s="1"/>
  <c r="AC147" i="1"/>
  <c r="AI147" i="1"/>
  <c r="AX147" i="1"/>
  <c r="AZ147" i="1"/>
  <c r="BA147" i="1"/>
  <c r="BB147" i="1"/>
  <c r="BH147" i="1"/>
  <c r="BK147" i="1" s="1"/>
  <c r="BI147" i="1"/>
  <c r="BN147" i="1"/>
  <c r="BS147" i="1"/>
  <c r="AW147" i="1" s="1"/>
  <c r="BU147" i="1"/>
  <c r="BX147" i="1"/>
  <c r="CA147" i="1"/>
  <c r="CB147" i="1"/>
  <c r="CD147" i="1"/>
  <c r="CE147" i="1"/>
  <c r="CG147" i="1"/>
  <c r="CH147" i="1"/>
  <c r="CI147" i="1"/>
  <c r="N148" i="1"/>
  <c r="O148" i="1"/>
  <c r="P148" i="1"/>
  <c r="BZ148" i="1" s="1"/>
  <c r="S148" i="1"/>
  <c r="W148" i="1" s="1"/>
  <c r="X148" i="1"/>
  <c r="K148" i="5" s="1"/>
  <c r="AC148" i="1"/>
  <c r="AI148" i="1"/>
  <c r="AJ148" i="1" s="1"/>
  <c r="AX148" i="1"/>
  <c r="AZ148" i="1"/>
  <c r="BA148" i="1"/>
  <c r="BB148" i="1"/>
  <c r="BH148" i="1"/>
  <c r="BK148" i="1" s="1"/>
  <c r="BI148" i="1"/>
  <c r="BN148" i="1"/>
  <c r="BS148" i="1"/>
  <c r="AW148" i="1" s="1"/>
  <c r="BU148" i="1"/>
  <c r="BX148" i="1"/>
  <c r="CA148" i="1"/>
  <c r="CB148" i="1"/>
  <c r="CD148" i="1"/>
  <c r="CE148" i="1"/>
  <c r="CG148" i="1"/>
  <c r="CH148" i="1"/>
  <c r="CI148" i="1"/>
  <c r="N149" i="1"/>
  <c r="O149" i="1"/>
  <c r="P149" i="1"/>
  <c r="BZ149" i="1" s="1"/>
  <c r="S149" i="1"/>
  <c r="V149" i="1" s="1"/>
  <c r="X149" i="1"/>
  <c r="Z149" i="1" s="1"/>
  <c r="AC149" i="1"/>
  <c r="AI149" i="1"/>
  <c r="AJ149" i="1" s="1"/>
  <c r="AX149" i="1"/>
  <c r="AZ149" i="1"/>
  <c r="BA149" i="1"/>
  <c r="BB149" i="1"/>
  <c r="BH149" i="1"/>
  <c r="BI149" i="1"/>
  <c r="BN149" i="1"/>
  <c r="BS149" i="1"/>
  <c r="AW149" i="1" s="1"/>
  <c r="BU149" i="1"/>
  <c r="BX149" i="1"/>
  <c r="CA149" i="1"/>
  <c r="CB149" i="1"/>
  <c r="CD149" i="1"/>
  <c r="CE149" i="1"/>
  <c r="CG149" i="1"/>
  <c r="CH149" i="1"/>
  <c r="CI149" i="1"/>
  <c r="N150" i="1"/>
  <c r="O150" i="1"/>
  <c r="P150" i="1"/>
  <c r="BZ150" i="1" s="1"/>
  <c r="S150" i="1"/>
  <c r="G150" i="5" s="1"/>
  <c r="X150" i="1"/>
  <c r="AB150" i="1" s="1"/>
  <c r="AC150" i="1"/>
  <c r="AO150" i="1"/>
  <c r="AX150" i="1"/>
  <c r="AZ150" i="1"/>
  <c r="BA150" i="1"/>
  <c r="BB150" i="1"/>
  <c r="BH150" i="1"/>
  <c r="BK150" i="1" s="1"/>
  <c r="BI150" i="1"/>
  <c r="BN150" i="1"/>
  <c r="BS150" i="1"/>
  <c r="AW150" i="1" s="1"/>
  <c r="BU150" i="1"/>
  <c r="BX150" i="1"/>
  <c r="CA150" i="1"/>
  <c r="CB150" i="1"/>
  <c r="CD150" i="1"/>
  <c r="CE150" i="1"/>
  <c r="CG150" i="1"/>
  <c r="CH150" i="1"/>
  <c r="CI150" i="1"/>
  <c r="N151" i="1"/>
  <c r="O151" i="1"/>
  <c r="P151" i="1"/>
  <c r="BZ151" i="1" s="1"/>
  <c r="S151" i="1"/>
  <c r="V151" i="1" s="1"/>
  <c r="X151" i="1"/>
  <c r="AA151" i="1" s="1"/>
  <c r="AC151" i="1"/>
  <c r="AX151" i="1"/>
  <c r="AZ151" i="1"/>
  <c r="BA151" i="1"/>
  <c r="BB151" i="1"/>
  <c r="BH151" i="1"/>
  <c r="BK151" i="1" s="1"/>
  <c r="BI151" i="1"/>
  <c r="BN151" i="1"/>
  <c r="BS151" i="1"/>
  <c r="AW151" i="1" s="1"/>
  <c r="BU151" i="1"/>
  <c r="BX151" i="1"/>
  <c r="CA151" i="1"/>
  <c r="CB151" i="1"/>
  <c r="CD151" i="1"/>
  <c r="CE151" i="1"/>
  <c r="CG151" i="1"/>
  <c r="CH151" i="1"/>
  <c r="CI151" i="1"/>
  <c r="N152" i="1"/>
  <c r="O152" i="1"/>
  <c r="P152" i="1"/>
  <c r="BZ152" i="1" s="1"/>
  <c r="S152" i="1"/>
  <c r="U152" i="1" s="1"/>
  <c r="X152" i="1"/>
  <c r="Z152" i="1" s="1"/>
  <c r="AC152" i="1"/>
  <c r="AX152" i="1"/>
  <c r="AZ152" i="1"/>
  <c r="BA152" i="1"/>
  <c r="BB152" i="1"/>
  <c r="BH152" i="1"/>
  <c r="BI152" i="1"/>
  <c r="BN152" i="1"/>
  <c r="BS152" i="1"/>
  <c r="AW152" i="1" s="1"/>
  <c r="BU152" i="1"/>
  <c r="BX152" i="1"/>
  <c r="CA152" i="1"/>
  <c r="CB152" i="1"/>
  <c r="CD152" i="1"/>
  <c r="CE152" i="1"/>
  <c r="CG152" i="1"/>
  <c r="CH152" i="1"/>
  <c r="CI152" i="1"/>
  <c r="N153" i="1"/>
  <c r="O153" i="1"/>
  <c r="P153" i="1"/>
  <c r="BZ153" i="1" s="1"/>
  <c r="S153" i="1"/>
  <c r="V153" i="1" s="1"/>
  <c r="X153" i="1"/>
  <c r="Y153" i="1" s="1"/>
  <c r="AC153" i="1"/>
  <c r="AX153" i="1"/>
  <c r="AZ153" i="1"/>
  <c r="BA153" i="1"/>
  <c r="BB153" i="1"/>
  <c r="BH153" i="1"/>
  <c r="BK153" i="1" s="1"/>
  <c r="BI153" i="1"/>
  <c r="BN153" i="1"/>
  <c r="BS153" i="1"/>
  <c r="AW153" i="1" s="1"/>
  <c r="BU153" i="1"/>
  <c r="BX153" i="1"/>
  <c r="CA153" i="1"/>
  <c r="CB153" i="1"/>
  <c r="CD153" i="1"/>
  <c r="CE153" i="1"/>
  <c r="CG153" i="1"/>
  <c r="CH153" i="1"/>
  <c r="CI153" i="1"/>
  <c r="N154" i="1"/>
  <c r="O154" i="1"/>
  <c r="P154" i="1"/>
  <c r="BZ154" i="1" s="1"/>
  <c r="S154" i="1"/>
  <c r="X154" i="1"/>
  <c r="Y154" i="1" s="1"/>
  <c r="AC154" i="1"/>
  <c r="AX154" i="1"/>
  <c r="AZ154" i="1"/>
  <c r="BA154" i="1"/>
  <c r="BB154" i="1"/>
  <c r="BH154" i="1"/>
  <c r="BI154" i="1"/>
  <c r="BN154" i="1"/>
  <c r="BS154" i="1"/>
  <c r="AW154" i="1" s="1"/>
  <c r="BU154" i="1"/>
  <c r="BX154" i="1"/>
  <c r="CA154" i="1"/>
  <c r="CB154" i="1"/>
  <c r="CD154" i="1"/>
  <c r="CE154" i="1"/>
  <c r="CG154" i="1"/>
  <c r="CH154" i="1"/>
  <c r="CI154" i="1"/>
  <c r="N155" i="1"/>
  <c r="O155" i="1"/>
  <c r="P155" i="1"/>
  <c r="BZ155" i="1" s="1"/>
  <c r="S155" i="1"/>
  <c r="X155" i="1"/>
  <c r="K155" i="5" s="1"/>
  <c r="L155" i="5" s="1"/>
  <c r="AC155" i="1"/>
  <c r="AX155" i="1"/>
  <c r="AZ155" i="1"/>
  <c r="BA155" i="1"/>
  <c r="BB155" i="1"/>
  <c r="BH155" i="1"/>
  <c r="BI155" i="1"/>
  <c r="BN155" i="1"/>
  <c r="BS155" i="1"/>
  <c r="AW155" i="1" s="1"/>
  <c r="BU155" i="1"/>
  <c r="BX155" i="1"/>
  <c r="CA155" i="1"/>
  <c r="CB155" i="1"/>
  <c r="CD155" i="1"/>
  <c r="CE155" i="1"/>
  <c r="CG155" i="1"/>
  <c r="CH155" i="1"/>
  <c r="CI155" i="1"/>
  <c r="N156" i="1"/>
  <c r="O156" i="1"/>
  <c r="P156" i="1"/>
  <c r="BZ156" i="1" s="1"/>
  <c r="S156" i="1"/>
  <c r="U156" i="1" s="1"/>
  <c r="X156" i="1"/>
  <c r="AC156" i="1"/>
  <c r="AX156" i="1"/>
  <c r="AZ156" i="1"/>
  <c r="BA156" i="1"/>
  <c r="BB156" i="1"/>
  <c r="BH156" i="1"/>
  <c r="BK156" i="1" s="1"/>
  <c r="BI156" i="1"/>
  <c r="BN156" i="1"/>
  <c r="BS156" i="1"/>
  <c r="AW156" i="1" s="1"/>
  <c r="BU156" i="1"/>
  <c r="BX156" i="1"/>
  <c r="CA156" i="1"/>
  <c r="CB156" i="1"/>
  <c r="CD156" i="1"/>
  <c r="CE156" i="1"/>
  <c r="CG156" i="1"/>
  <c r="CH156" i="1"/>
  <c r="CI156" i="1"/>
  <c r="N157" i="1"/>
  <c r="O157" i="1"/>
  <c r="P157" i="1"/>
  <c r="BZ157" i="1" s="1"/>
  <c r="S157" i="1"/>
  <c r="U157" i="1" s="1"/>
  <c r="X157" i="1"/>
  <c r="K157" i="5" s="1"/>
  <c r="L157" i="5" s="1"/>
  <c r="AC157" i="1"/>
  <c r="AX157" i="1"/>
  <c r="AZ157" i="1"/>
  <c r="BA157" i="1"/>
  <c r="BB157" i="1"/>
  <c r="BH157" i="1"/>
  <c r="BK157" i="1" s="1"/>
  <c r="BI157" i="1"/>
  <c r="BN157" i="1"/>
  <c r="BS157" i="1"/>
  <c r="AW157" i="1" s="1"/>
  <c r="BU157" i="1"/>
  <c r="BX157" i="1"/>
  <c r="CA157" i="1"/>
  <c r="CB157" i="1"/>
  <c r="CD157" i="1"/>
  <c r="CE157" i="1"/>
  <c r="CG157" i="1"/>
  <c r="CH157" i="1"/>
  <c r="CI157" i="1"/>
  <c r="N158" i="1"/>
  <c r="O158" i="1"/>
  <c r="P158" i="1"/>
  <c r="BZ158" i="1" s="1"/>
  <c r="S158" i="1"/>
  <c r="W158" i="1" s="1"/>
  <c r="X158" i="1"/>
  <c r="AA158" i="1" s="1"/>
  <c r="AC158" i="1"/>
  <c r="AO158" i="1"/>
  <c r="AX158" i="1"/>
  <c r="AZ158" i="1"/>
  <c r="BA158" i="1"/>
  <c r="BB158" i="1"/>
  <c r="BH158" i="1"/>
  <c r="BK158" i="1" s="1"/>
  <c r="BI158" i="1"/>
  <c r="BN158" i="1"/>
  <c r="BS158" i="1"/>
  <c r="AW158" i="1" s="1"/>
  <c r="BU158" i="1"/>
  <c r="BX158" i="1"/>
  <c r="CA158" i="1"/>
  <c r="CB158" i="1"/>
  <c r="CD158" i="1"/>
  <c r="CE158" i="1"/>
  <c r="CG158" i="1"/>
  <c r="CH158" i="1"/>
  <c r="CI158" i="1"/>
  <c r="N159" i="1"/>
  <c r="O159" i="1"/>
  <c r="P159" i="1"/>
  <c r="BZ159" i="1" s="1"/>
  <c r="S159" i="1"/>
  <c r="T159" i="1" s="1"/>
  <c r="X159" i="1"/>
  <c r="AB159" i="1" s="1"/>
  <c r="AC159" i="1"/>
  <c r="AX159" i="1"/>
  <c r="AZ159" i="1"/>
  <c r="BA159" i="1"/>
  <c r="BB159" i="1"/>
  <c r="BH159" i="1"/>
  <c r="BI159" i="1"/>
  <c r="BN159" i="1"/>
  <c r="BS159" i="1"/>
  <c r="AW159" i="1" s="1"/>
  <c r="BU159" i="1"/>
  <c r="BX159" i="1"/>
  <c r="CA159" i="1"/>
  <c r="CB159" i="1"/>
  <c r="CD159" i="1"/>
  <c r="CE159" i="1"/>
  <c r="CG159" i="1"/>
  <c r="CH159" i="1"/>
  <c r="CI159" i="1"/>
  <c r="P160" i="1"/>
  <c r="X160" i="1"/>
  <c r="K160" i="5" s="1"/>
  <c r="L160" i="5" s="1"/>
  <c r="AC160" i="1"/>
  <c r="AO160" i="1"/>
  <c r="BA160" i="1"/>
  <c r="BS160" i="1"/>
  <c r="AW160" i="1" s="1"/>
  <c r="BU160" i="1"/>
  <c r="BX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X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F2" i="3"/>
  <c r="E73" i="3"/>
  <c r="CF73" i="1" s="1"/>
  <c r="E65" i="3"/>
  <c r="CF65" i="1" s="1"/>
  <c r="X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Q188" i="1" l="1"/>
  <c r="R188" i="1" s="1"/>
  <c r="Q187" i="1"/>
  <c r="R187" i="1" s="1"/>
  <c r="BY100" i="1"/>
  <c r="Q195" i="1"/>
  <c r="R195" i="1" s="1"/>
  <c r="Q194" i="1"/>
  <c r="R194" i="1" s="1"/>
  <c r="BY159" i="1"/>
  <c r="BY56" i="1"/>
  <c r="BY158" i="1"/>
  <c r="BY114" i="1"/>
  <c r="BY113" i="1"/>
  <c r="Q182" i="1"/>
  <c r="R182" i="1" s="1"/>
  <c r="BY139" i="1"/>
  <c r="BY154" i="1"/>
  <c r="BY153" i="1"/>
  <c r="BY152" i="1"/>
  <c r="BY151" i="1"/>
  <c r="BY150" i="1"/>
  <c r="BY157" i="1"/>
  <c r="BY155" i="1"/>
  <c r="BY57" i="1"/>
  <c r="BY156" i="1"/>
  <c r="BY77" i="1"/>
  <c r="BY149" i="1"/>
  <c r="BY138" i="1"/>
  <c r="BJ101" i="1"/>
  <c r="BY101" i="1"/>
  <c r="BY99" i="1"/>
  <c r="BZ99" i="1" s="1"/>
  <c r="BY76" i="1"/>
  <c r="BY55" i="1"/>
  <c r="BZ55" i="1" s="1"/>
  <c r="BJ115" i="1"/>
  <c r="BY115" i="1"/>
  <c r="BZ115" i="1" s="1"/>
  <c r="BY148" i="1"/>
  <c r="BJ137" i="1"/>
  <c r="BY137" i="1"/>
  <c r="BY147" i="1"/>
  <c r="BJ102" i="1"/>
  <c r="BY102" i="1"/>
  <c r="BJ98" i="1"/>
  <c r="BY98" i="1"/>
  <c r="BJ60" i="1"/>
  <c r="BY60" i="1"/>
  <c r="BY146" i="1"/>
  <c r="BY120" i="1"/>
  <c r="BY119" i="1"/>
  <c r="BJ94" i="1"/>
  <c r="BY94" i="1"/>
  <c r="BY91" i="1"/>
  <c r="BJ118" i="1"/>
  <c r="BY118" i="1"/>
  <c r="BJ79" i="1"/>
  <c r="BY79" i="1"/>
  <c r="BJ62" i="1"/>
  <c r="BY62" i="1"/>
  <c r="BY59" i="1"/>
  <c r="BY143" i="1"/>
  <c r="BJ131" i="1"/>
  <c r="BY131" i="1"/>
  <c r="BJ128" i="1"/>
  <c r="BY128" i="1"/>
  <c r="BY123" i="1"/>
  <c r="BJ116" i="1"/>
  <c r="BY116" i="1"/>
  <c r="BY109" i="1"/>
  <c r="BJ92" i="1"/>
  <c r="BY92" i="1"/>
  <c r="BY58" i="1"/>
  <c r="BJ93" i="1"/>
  <c r="BY93" i="1"/>
  <c r="BY142" i="1"/>
  <c r="BJ130" i="1"/>
  <c r="BY130" i="1"/>
  <c r="BJ122" i="1"/>
  <c r="BY122" i="1"/>
  <c r="BJ110" i="1"/>
  <c r="BY110" i="1"/>
  <c r="BY141" i="1"/>
  <c r="BJ134" i="1"/>
  <c r="BY134" i="1"/>
  <c r="BJ81" i="1"/>
  <c r="BY81" i="1"/>
  <c r="BJ117" i="1"/>
  <c r="BY117" i="1"/>
  <c r="BY140" i="1"/>
  <c r="BJ133" i="1"/>
  <c r="BY133" i="1"/>
  <c r="BJ89" i="1"/>
  <c r="BY89" i="1"/>
  <c r="BY136" i="1"/>
  <c r="BJ76" i="1"/>
  <c r="BJ150" i="1"/>
  <c r="BJ58" i="1"/>
  <c r="BJ77" i="1"/>
  <c r="BJ56" i="1"/>
  <c r="BJ123" i="1"/>
  <c r="BJ109" i="1"/>
  <c r="BJ99" i="1"/>
  <c r="BJ114" i="1"/>
  <c r="BJ55" i="1"/>
  <c r="BJ140" i="1"/>
  <c r="BJ158" i="1"/>
  <c r="BJ138" i="1"/>
  <c r="BJ59" i="1"/>
  <c r="BJ119" i="1"/>
  <c r="BJ57" i="1"/>
  <c r="BJ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C160" i="1"/>
  <c r="BD160" i="1"/>
  <c r="BC125" i="1"/>
  <c r="BD125" i="1"/>
  <c r="BC104" i="1"/>
  <c r="BD104" i="1"/>
  <c r="BB133" i="3"/>
  <c r="BI133" i="3" s="1"/>
  <c r="BC133" i="1"/>
  <c r="BD133" i="1"/>
  <c r="BC54" i="1"/>
  <c r="BD54" i="1"/>
  <c r="BC85" i="1"/>
  <c r="BD85" i="1"/>
  <c r="BC80" i="1"/>
  <c r="BD80" i="1"/>
  <c r="BC67" i="1"/>
  <c r="BD67" i="1"/>
  <c r="BC58" i="1"/>
  <c r="BD58" i="1"/>
  <c r="BC37" i="1"/>
  <c r="BD37" i="1"/>
  <c r="BC33" i="1"/>
  <c r="BD33" i="1"/>
  <c r="BC24" i="1"/>
  <c r="BD24" i="1"/>
  <c r="BC20" i="1"/>
  <c r="BD20" i="1"/>
  <c r="BC10" i="1"/>
  <c r="BD10" i="1"/>
  <c r="BC140" i="1"/>
  <c r="BD140" i="1"/>
  <c r="W158" i="5"/>
  <c r="BC105" i="1"/>
  <c r="BD105" i="1"/>
  <c r="BB81" i="3"/>
  <c r="BI81" i="3" s="1"/>
  <c r="BC81" i="1"/>
  <c r="BD81" i="1"/>
  <c r="BC50" i="1"/>
  <c r="BD50" i="1"/>
  <c r="BB98" i="3"/>
  <c r="BC98" i="1"/>
  <c r="BD98" i="1"/>
  <c r="X57" i="5"/>
  <c r="BC126" i="1"/>
  <c r="BD126" i="1"/>
  <c r="BB119" i="3"/>
  <c r="BI119" i="3" s="1"/>
  <c r="BC119" i="1"/>
  <c r="BD119" i="1"/>
  <c r="BC96" i="1"/>
  <c r="BD96" i="1"/>
  <c r="BC88" i="1"/>
  <c r="BD88" i="1"/>
  <c r="BC57" i="1"/>
  <c r="BD57" i="1"/>
  <c r="BC41" i="1"/>
  <c r="BD41" i="1"/>
  <c r="BC27" i="1"/>
  <c r="BD27" i="1"/>
  <c r="BC17" i="1"/>
  <c r="BD17" i="1"/>
  <c r="AC140" i="5"/>
  <c r="BC118" i="1"/>
  <c r="BD118" i="1"/>
  <c r="BC106" i="1"/>
  <c r="BD106" i="1"/>
  <c r="BC100" i="1"/>
  <c r="BD100" i="1"/>
  <c r="BC89" i="1"/>
  <c r="BD89" i="1"/>
  <c r="BC82" i="1"/>
  <c r="BD82" i="1"/>
  <c r="BC77" i="1"/>
  <c r="BD77" i="1"/>
  <c r="BC68" i="1"/>
  <c r="BD68" i="1"/>
  <c r="BC64" i="1"/>
  <c r="BD64" i="1"/>
  <c r="BC53" i="1"/>
  <c r="BD53" i="1"/>
  <c r="BC47" i="1"/>
  <c r="BD47" i="1"/>
  <c r="BC44" i="1"/>
  <c r="BD44" i="1"/>
  <c r="BC38" i="1"/>
  <c r="BD38" i="1"/>
  <c r="BC34" i="1"/>
  <c r="BD34" i="1"/>
  <c r="BC21" i="1"/>
  <c r="BD21" i="1"/>
  <c r="BC4" i="1"/>
  <c r="BD4" i="1"/>
  <c r="W140" i="5"/>
  <c r="X99" i="5"/>
  <c r="BC131" i="1"/>
  <c r="BD131" i="1"/>
  <c r="BC128" i="1"/>
  <c r="BD128" i="1"/>
  <c r="BC121" i="1"/>
  <c r="BD121" i="1"/>
  <c r="BB117" i="3"/>
  <c r="BI117" i="3" s="1"/>
  <c r="BC117" i="1"/>
  <c r="BD117" i="1"/>
  <c r="BC116" i="1"/>
  <c r="BD116" i="1"/>
  <c r="BC114" i="1"/>
  <c r="BD114" i="1"/>
  <c r="BC101" i="1"/>
  <c r="BD101" i="1"/>
  <c r="BC76" i="1"/>
  <c r="BD76" i="1"/>
  <c r="BC56" i="1"/>
  <c r="BD56" i="1"/>
  <c r="Y99" i="5"/>
  <c r="X123" i="5"/>
  <c r="W99" i="5"/>
  <c r="BC130" i="1"/>
  <c r="BD130" i="1"/>
  <c r="BC127" i="1"/>
  <c r="BD127" i="1"/>
  <c r="BC123" i="1"/>
  <c r="BD123" i="1"/>
  <c r="BC122" i="1"/>
  <c r="BD122" i="1"/>
  <c r="BC109" i="1"/>
  <c r="BD109" i="1"/>
  <c r="BC107" i="1"/>
  <c r="BD107" i="1"/>
  <c r="BC99" i="1"/>
  <c r="BD99" i="1"/>
  <c r="BC18" i="1"/>
  <c r="BD18" i="1"/>
  <c r="BC8" i="1"/>
  <c r="BD8" i="1"/>
  <c r="BB134" i="3"/>
  <c r="BI134" i="3" s="1"/>
  <c r="BC134" i="1"/>
  <c r="BD134" i="1"/>
  <c r="BC129" i="1"/>
  <c r="BD129" i="1"/>
  <c r="BC102" i="1"/>
  <c r="BD102" i="1"/>
  <c r="BC97" i="1"/>
  <c r="BD97" i="1"/>
  <c r="BC83" i="1"/>
  <c r="BD83" i="1"/>
  <c r="BC72" i="1"/>
  <c r="BD72" i="1"/>
  <c r="BC69" i="1"/>
  <c r="BD69" i="1"/>
  <c r="BC65" i="1"/>
  <c r="BD65" i="1"/>
  <c r="BC55" i="1"/>
  <c r="BD55" i="1"/>
  <c r="BC48" i="1"/>
  <c r="BD48" i="1"/>
  <c r="BC42" i="1"/>
  <c r="BD42" i="1"/>
  <c r="BC35" i="1"/>
  <c r="BD35" i="1"/>
  <c r="BC22" i="1"/>
  <c r="BD22" i="1"/>
  <c r="BC5" i="1"/>
  <c r="BD5" i="1"/>
  <c r="BC108" i="1"/>
  <c r="BD108" i="1"/>
  <c r="BC45" i="1"/>
  <c r="BD45" i="1"/>
  <c r="BC12" i="1"/>
  <c r="BD12" i="1"/>
  <c r="AC102" i="5"/>
  <c r="X81" i="5"/>
  <c r="BC158" i="1"/>
  <c r="BD158" i="1"/>
  <c r="BC94" i="1"/>
  <c r="BD94" i="1"/>
  <c r="BC60" i="1"/>
  <c r="BD60" i="1"/>
  <c r="BC103" i="1"/>
  <c r="BD103" i="1"/>
  <c r="BC87" i="1"/>
  <c r="BD87" i="1"/>
  <c r="BC84" i="1"/>
  <c r="BD84" i="1"/>
  <c r="BC73" i="1"/>
  <c r="BD73" i="1"/>
  <c r="BC66" i="1"/>
  <c r="BD66" i="1"/>
  <c r="BC62" i="1"/>
  <c r="BD62" i="1"/>
  <c r="BC49" i="1"/>
  <c r="BD49" i="1"/>
  <c r="BC36" i="1"/>
  <c r="BD36" i="1"/>
  <c r="BC32" i="1"/>
  <c r="BD32" i="1"/>
  <c r="BC23" i="1"/>
  <c r="BD23" i="1"/>
  <c r="BC150" i="1"/>
  <c r="BD150" i="1"/>
  <c r="BB138" i="3"/>
  <c r="BI138" i="3" s="1"/>
  <c r="BC138" i="1"/>
  <c r="BD138" i="1"/>
  <c r="BC95" i="1"/>
  <c r="BD95" i="1"/>
  <c r="BC93" i="1"/>
  <c r="BD93" i="1"/>
  <c r="BC61" i="1"/>
  <c r="BD61" i="1"/>
  <c r="BC59" i="1"/>
  <c r="BD59" i="1"/>
  <c r="BC40" i="1"/>
  <c r="BD40" i="1"/>
  <c r="BC29" i="1"/>
  <c r="BD2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J76" i="1"/>
  <c r="BB76" i="3"/>
  <c r="BI76" i="3" s="1"/>
  <c r="J109" i="1"/>
  <c r="BB109" i="3"/>
  <c r="BI109" i="3" s="1"/>
  <c r="J94" i="1"/>
  <c r="BB94" i="3"/>
  <c r="BI94" i="3" s="1"/>
  <c r="J59" i="1"/>
  <c r="BB59" i="3"/>
  <c r="BI59" i="3" s="1"/>
  <c r="J56" i="1"/>
  <c r="BB56" i="3"/>
  <c r="BI56" i="3" s="1"/>
  <c r="J122" i="1"/>
  <c r="BB122" i="3"/>
  <c r="BI122" i="3" s="1"/>
  <c r="J130" i="1"/>
  <c r="BB130" i="3"/>
  <c r="BI130" i="3" s="1"/>
  <c r="J99" i="1"/>
  <c r="BB99" i="3"/>
  <c r="BI99" i="3" s="1"/>
  <c r="J140" i="1"/>
  <c r="BB140" i="3"/>
  <c r="BI140" i="3" s="1"/>
  <c r="BB73" i="3"/>
  <c r="J114" i="1"/>
  <c r="BB114" i="3"/>
  <c r="BI114" i="3" s="1"/>
  <c r="J23" i="1"/>
  <c r="BB23" i="3"/>
  <c r="J150" i="1"/>
  <c r="BB150" i="3"/>
  <c r="BI150" i="3" s="1"/>
  <c r="J128" i="1"/>
  <c r="BB128" i="3"/>
  <c r="BI128" i="3" s="1"/>
  <c r="J93" i="1"/>
  <c r="BB93" i="3"/>
  <c r="BI93" i="3" s="1"/>
  <c r="J89" i="1"/>
  <c r="BB89" i="3"/>
  <c r="BI89" i="3" s="1"/>
  <c r="J58" i="1"/>
  <c r="BB58" i="3"/>
  <c r="BI58" i="3" s="1"/>
  <c r="J55" i="1"/>
  <c r="BB55" i="3"/>
  <c r="BI55" i="3" s="1"/>
  <c r="J24" i="1"/>
  <c r="BB24" i="3"/>
  <c r="BB65" i="3"/>
  <c r="J118" i="1"/>
  <c r="BB118" i="3"/>
  <c r="BI118" i="3" s="1"/>
  <c r="J62" i="1"/>
  <c r="BB62" i="3"/>
  <c r="BI62" i="3" s="1"/>
  <c r="J77" i="1"/>
  <c r="BB77" i="3"/>
  <c r="BI77" i="3" s="1"/>
  <c r="J60" i="1"/>
  <c r="BB60" i="3"/>
  <c r="BI60" i="3" s="1"/>
  <c r="J57" i="1"/>
  <c r="BB57" i="3"/>
  <c r="BI57" i="3" s="1"/>
  <c r="J100" i="1"/>
  <c r="BB100" i="3"/>
  <c r="BI100" i="3" s="1"/>
  <c r="J64" i="1"/>
  <c r="BB64" i="3"/>
  <c r="J158" i="1"/>
  <c r="BB158" i="3"/>
  <c r="BI158" i="3" s="1"/>
  <c r="J131" i="1"/>
  <c r="BB131" i="3"/>
  <c r="BI131" i="3" s="1"/>
  <c r="J123" i="1"/>
  <c r="BB123" i="3"/>
  <c r="BI123" i="3" s="1"/>
  <c r="J116" i="1"/>
  <c r="BB116" i="3"/>
  <c r="BI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J73" i="1"/>
  <c r="J65" i="1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Q166" i="1"/>
  <c r="J134" i="1"/>
  <c r="AT162" i="3"/>
  <c r="J133" i="1"/>
  <c r="AT165" i="3"/>
  <c r="J138" i="1"/>
  <c r="J117" i="1"/>
  <c r="J81" i="1"/>
  <c r="J102" i="1"/>
  <c r="J119" i="1"/>
  <c r="BG101" i="1"/>
  <c r="J101" i="1"/>
  <c r="AP98" i="1"/>
  <c r="AB98" i="5" s="1"/>
  <c r="J98" i="1"/>
  <c r="BK161" i="3"/>
  <c r="S161" i="5"/>
  <c r="AM161" i="1"/>
  <c r="AK161" i="1"/>
  <c r="AL161" i="1"/>
  <c r="BI161" i="3"/>
  <c r="BQ161" i="3"/>
  <c r="J161" i="5"/>
  <c r="I161" i="5"/>
  <c r="H161" i="5"/>
  <c r="AH161" i="1"/>
  <c r="O161" i="5"/>
  <c r="AG161" i="1"/>
  <c r="AF161" i="1"/>
  <c r="AE161" i="1"/>
  <c r="G81" i="5"/>
  <c r="H81" i="5" s="1"/>
  <c r="AS163" i="3"/>
  <c r="BQ163" i="1" s="1"/>
  <c r="BI163" i="3"/>
  <c r="AT163" i="3"/>
  <c r="BP89" i="1"/>
  <c r="BM89" i="1" s="1"/>
  <c r="BP117" i="1"/>
  <c r="BM117" i="1" s="1"/>
  <c r="BP150" i="1"/>
  <c r="BM150" i="1" s="1"/>
  <c r="BP147" i="1"/>
  <c r="BM147" i="1" s="1"/>
  <c r="BP144" i="1"/>
  <c r="BM144" i="1" s="1"/>
  <c r="BP57" i="1"/>
  <c r="BM57" i="1" s="1"/>
  <c r="BP137" i="1"/>
  <c r="BM137" i="1" s="1"/>
  <c r="G141" i="5"/>
  <c r="J141" i="5" s="1"/>
  <c r="G123" i="5"/>
  <c r="H123" i="5" s="1"/>
  <c r="G147" i="5"/>
  <c r="H147" i="5" s="1"/>
  <c r="K76" i="5"/>
  <c r="M76" i="5" s="1"/>
  <c r="G130" i="5"/>
  <c r="J130" i="5" s="1"/>
  <c r="BP94" i="1"/>
  <c r="BM94" i="1" s="1"/>
  <c r="G102" i="5"/>
  <c r="H102" i="5" s="1"/>
  <c r="BP157" i="1"/>
  <c r="BM157" i="1" s="1"/>
  <c r="BM120" i="1"/>
  <c r="BP114" i="1"/>
  <c r="BM114" i="1" s="1"/>
  <c r="BP59" i="1"/>
  <c r="BM59" i="1" s="1"/>
  <c r="BP76" i="1"/>
  <c r="BM76" i="1" s="1"/>
  <c r="G138" i="5"/>
  <c r="H138" i="5" s="1"/>
  <c r="G101" i="5"/>
  <c r="J101" i="5" s="1"/>
  <c r="BP156" i="1"/>
  <c r="BM156" i="1" s="1"/>
  <c r="BP119" i="1"/>
  <c r="BM119" i="1" s="1"/>
  <c r="G148" i="5"/>
  <c r="I148" i="5" s="1"/>
  <c r="G144" i="5"/>
  <c r="J144" i="5" s="1"/>
  <c r="G91" i="5"/>
  <c r="J91" i="5" s="1"/>
  <c r="G55" i="5"/>
  <c r="H55" i="5" s="1"/>
  <c r="BP116" i="1"/>
  <c r="BM116" i="1" s="1"/>
  <c r="BP99" i="1"/>
  <c r="BM99" i="1" s="1"/>
  <c r="BP60" i="1"/>
  <c r="BM60" i="1" s="1"/>
  <c r="BP143" i="1"/>
  <c r="BM143" i="1" s="1"/>
  <c r="BP155" i="1"/>
  <c r="BM155" i="1" s="1"/>
  <c r="BH62" i="3"/>
  <c r="F62" i="5" s="1"/>
  <c r="AP65" i="3"/>
  <c r="BE65" i="3" s="1"/>
  <c r="BI65" i="1"/>
  <c r="CG65" i="1"/>
  <c r="CB65" i="1"/>
  <c r="AZ65" i="1"/>
  <c r="CD65" i="1"/>
  <c r="N65" i="1"/>
  <c r="CE65" i="1"/>
  <c r="CI65" i="1"/>
  <c r="O65" i="1"/>
  <c r="BN65" i="1"/>
  <c r="BP65" i="1" s="1"/>
  <c r="BM65" i="1" s="1"/>
  <c r="AI65" i="1"/>
  <c r="CA65" i="1"/>
  <c r="AX65" i="1"/>
  <c r="CH65" i="1"/>
  <c r="BB65" i="1"/>
  <c r="BH65" i="1"/>
  <c r="BK65" i="1" s="1"/>
  <c r="W65" i="5"/>
  <c r="BP158" i="1"/>
  <c r="BM158" i="1" s="1"/>
  <c r="BI73" i="1"/>
  <c r="AN133" i="1"/>
  <c r="AP73" i="3"/>
  <c r="BE73" i="3" s="1"/>
  <c r="AX73" i="1"/>
  <c r="CA73" i="1"/>
  <c r="CB73" i="1"/>
  <c r="AQ73" i="1" s="1"/>
  <c r="BR73" i="1" s="1"/>
  <c r="CD73" i="1"/>
  <c r="N73" i="1"/>
  <c r="BH73" i="1"/>
  <c r="BK73" i="1" s="1"/>
  <c r="CG73" i="1"/>
  <c r="AI73" i="1"/>
  <c r="AJ73" i="1" s="1"/>
  <c r="CE73" i="1"/>
  <c r="CH73" i="1"/>
  <c r="CI73" i="1"/>
  <c r="BB73" i="1"/>
  <c r="BN73" i="1"/>
  <c r="BP73" i="1" s="1"/>
  <c r="BM73" i="1" s="1"/>
  <c r="O73" i="1"/>
  <c r="Y73" i="5"/>
  <c r="X73" i="5"/>
  <c r="AN130" i="1"/>
  <c r="W73" i="5"/>
  <c r="BP134" i="1"/>
  <c r="BM134" i="1" s="1"/>
  <c r="BP159" i="1"/>
  <c r="BM159" i="1" s="1"/>
  <c r="BP149" i="1"/>
  <c r="BM149" i="1" s="1"/>
  <c r="BP145" i="1"/>
  <c r="BM145" i="1" s="1"/>
  <c r="BP131" i="1"/>
  <c r="BM131" i="1" s="1"/>
  <c r="BP153" i="1"/>
  <c r="BM153" i="1" s="1"/>
  <c r="BP146" i="1"/>
  <c r="BM146" i="1" s="1"/>
  <c r="AP65" i="1"/>
  <c r="AB65" i="5" s="1"/>
  <c r="BP151" i="1"/>
  <c r="BM151" i="1" s="1"/>
  <c r="BP140" i="1"/>
  <c r="BM140" i="1" s="1"/>
  <c r="BP133" i="1"/>
  <c r="BM133" i="1" s="1"/>
  <c r="BP101" i="1"/>
  <c r="BM101" i="1" s="1"/>
  <c r="Q82" i="1"/>
  <c r="R82" i="1" s="1"/>
  <c r="Q106" i="1"/>
  <c r="R106" i="1" s="1"/>
  <c r="BP100" i="1"/>
  <c r="BM100" i="1" s="1"/>
  <c r="BP102" i="1"/>
  <c r="BM102" i="1" s="1"/>
  <c r="BP56" i="1"/>
  <c r="BM56" i="1" s="1"/>
  <c r="BP93" i="1"/>
  <c r="BM93" i="1" s="1"/>
  <c r="Q108" i="1"/>
  <c r="R108" i="1" s="1"/>
  <c r="Q67" i="1"/>
  <c r="R67" i="1" s="1"/>
  <c r="Q73" i="1"/>
  <c r="R73" i="1" s="1"/>
  <c r="S55" i="5"/>
  <c r="AM55" i="1"/>
  <c r="Q22" i="1"/>
  <c r="R22" i="1" s="1"/>
  <c r="BP81" i="1"/>
  <c r="BM81" i="1" s="1"/>
  <c r="Q35" i="1"/>
  <c r="R35" i="1" s="1"/>
  <c r="Q72" i="1"/>
  <c r="R72" i="1" s="1"/>
  <c r="Q68" i="1"/>
  <c r="R68" i="1" s="1"/>
  <c r="Q10" i="1"/>
  <c r="R10" i="1" s="1"/>
  <c r="Q5" i="1"/>
  <c r="R5" i="1" s="1"/>
  <c r="BP55" i="1"/>
  <c r="BM55" i="1" s="1"/>
  <c r="BH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P98" i="1"/>
  <c r="BM98" i="1" s="1"/>
  <c r="BL93" i="3"/>
  <c r="BL89" i="3"/>
  <c r="BQ89" i="3"/>
  <c r="BL128" i="3"/>
  <c r="BQ128" i="3"/>
  <c r="BQ134" i="3"/>
  <c r="BL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L65" i="3" s="1"/>
  <c r="BM65" i="3" a="1"/>
  <c r="BM65" i="3" s="1"/>
  <c r="BC73" i="3"/>
  <c r="BM73" i="3" a="1"/>
  <c r="BM73" i="3" s="1"/>
  <c r="BG158" i="1"/>
  <c r="AP150" i="1"/>
  <c r="AB150" i="5" s="1"/>
  <c r="AK149" i="1"/>
  <c r="S149" i="5"/>
  <c r="U149" i="5" s="1"/>
  <c r="S148" i="5"/>
  <c r="U148" i="5" s="1"/>
  <c r="V147" i="5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G128" i="1"/>
  <c r="Q123" i="1"/>
  <c r="R123" i="1" s="1"/>
  <c r="S122" i="5"/>
  <c r="S119" i="5"/>
  <c r="S118" i="5"/>
  <c r="AP116" i="1"/>
  <c r="AB116" i="5" s="1"/>
  <c r="AQ114" i="1"/>
  <c r="BR114" i="1" s="1"/>
  <c r="S110" i="5"/>
  <c r="AK109" i="1"/>
  <c r="S109" i="5"/>
  <c r="AK100" i="1"/>
  <c r="S100" i="5"/>
  <c r="Q99" i="1"/>
  <c r="R99" i="1" s="1"/>
  <c r="BI98" i="3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G62" i="1"/>
  <c r="AM59" i="1"/>
  <c r="S59" i="5"/>
  <c r="BG58" i="1"/>
  <c r="AK58" i="1"/>
  <c r="S58" i="5"/>
  <c r="AP57" i="1"/>
  <c r="AB57" i="5" s="1"/>
  <c r="AM57" i="1"/>
  <c r="S57" i="5"/>
  <c r="U57" i="5" s="1"/>
  <c r="AN56" i="1"/>
  <c r="AK56" i="1"/>
  <c r="S56" i="5"/>
  <c r="BH158" i="3"/>
  <c r="F158" i="5" s="1"/>
  <c r="BH140" i="3"/>
  <c r="F140" i="5" s="1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E128" i="5"/>
  <c r="BH123" i="3"/>
  <c r="F123" i="5" s="1"/>
  <c r="E123" i="5"/>
  <c r="E122" i="5"/>
  <c r="BL119" i="3"/>
  <c r="E119" i="5"/>
  <c r="BL118" i="3"/>
  <c r="E118" i="5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F94" i="5" s="1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F56" i="5" s="1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G65" i="1"/>
  <c r="G89" i="5"/>
  <c r="H89" i="5" s="1"/>
  <c r="T109" i="1"/>
  <c r="AQ116" i="1"/>
  <c r="BR116" i="1" s="1"/>
  <c r="Q116" i="1"/>
  <c r="R116" i="1" s="1"/>
  <c r="AN99" i="1"/>
  <c r="AK77" i="1"/>
  <c r="G145" i="5"/>
  <c r="H145" i="5" s="1"/>
  <c r="BG94" i="1"/>
  <c r="G99" i="5"/>
  <c r="J99" i="5" s="1"/>
  <c r="AQ99" i="1"/>
  <c r="BR99" i="1" s="1"/>
  <c r="W99" i="1"/>
  <c r="W94" i="1"/>
  <c r="T99" i="1"/>
  <c r="V58" i="1"/>
  <c r="G153" i="5"/>
  <c r="J153" i="5" s="1"/>
  <c r="AQ77" i="1"/>
  <c r="BR77" i="1" s="1"/>
  <c r="V141" i="1"/>
  <c r="AP128" i="1"/>
  <c r="AB128" i="5" s="1"/>
  <c r="AQ118" i="1"/>
  <c r="BR118" i="1" s="1"/>
  <c r="U94" i="1"/>
  <c r="AP158" i="1"/>
  <c r="AB158" i="5" s="1"/>
  <c r="AP102" i="1"/>
  <c r="AB102" i="5" s="1"/>
  <c r="BG57" i="1"/>
  <c r="AQ93" i="1"/>
  <c r="BR93" i="1" s="1"/>
  <c r="V89" i="1"/>
  <c r="AP77" i="1"/>
  <c r="AB77" i="5" s="1"/>
  <c r="V60" i="1"/>
  <c r="AQ58" i="1"/>
  <c r="BR58" i="1" s="1"/>
  <c r="U55" i="1"/>
  <c r="G98" i="5"/>
  <c r="I98" i="5" s="1"/>
  <c r="G77" i="5"/>
  <c r="H77" i="5" s="1"/>
  <c r="AL77" i="1"/>
  <c r="Q128" i="1"/>
  <c r="R128" i="1" s="1"/>
  <c r="BG122" i="1"/>
  <c r="BG118" i="1"/>
  <c r="K59" i="1"/>
  <c r="AM140" i="1"/>
  <c r="K57" i="1"/>
  <c r="Q47" i="1"/>
  <c r="R47" i="1" s="1"/>
  <c r="T153" i="1"/>
  <c r="K128" i="1"/>
  <c r="V99" i="1"/>
  <c r="T157" i="1"/>
  <c r="AQ128" i="1"/>
  <c r="BR128" i="1" s="1"/>
  <c r="BG98" i="1"/>
  <c r="Q69" i="1"/>
  <c r="R69" i="1" s="1"/>
  <c r="AQ60" i="1"/>
  <c r="BR60" i="1" s="1"/>
  <c r="AQ55" i="1"/>
  <c r="BR55" i="1" s="1"/>
  <c r="W149" i="1"/>
  <c r="AQ101" i="1"/>
  <c r="BR101" i="1" s="1"/>
  <c r="AI101" i="1"/>
  <c r="T152" i="1"/>
  <c r="AQ150" i="1"/>
  <c r="BR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G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R59" i="1" s="1"/>
  <c r="BG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R122" i="1" s="1"/>
  <c r="K76" i="1"/>
  <c r="K55" i="1"/>
  <c r="AL144" i="1"/>
  <c r="T122" i="1"/>
  <c r="W109" i="1"/>
  <c r="AP101" i="1"/>
  <c r="AB101" i="5" s="1"/>
  <c r="AP76" i="1"/>
  <c r="AB76" i="5" s="1"/>
  <c r="AQ62" i="1"/>
  <c r="BR62" i="1" s="1"/>
  <c r="V62" i="1"/>
  <c r="AP60" i="1"/>
  <c r="AB60" i="5" s="1"/>
  <c r="AQ56" i="1"/>
  <c r="BR56" i="1" s="1"/>
  <c r="BG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N122" i="1"/>
  <c r="AN101" i="1"/>
  <c r="AN128" i="1"/>
  <c r="AR118" i="3"/>
  <c r="AR100" i="3"/>
  <c r="AR99" i="3"/>
  <c r="AR109" i="3"/>
  <c r="AR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G119" i="1"/>
  <c r="K119" i="1"/>
  <c r="AP119" i="1"/>
  <c r="AB119" i="5" s="1"/>
  <c r="AQ119" i="1"/>
  <c r="BR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R123" i="1" s="1"/>
  <c r="Y160" i="1"/>
  <c r="V159" i="1"/>
  <c r="Y158" i="1"/>
  <c r="BP148" i="1"/>
  <c r="BM148" i="1" s="1"/>
  <c r="T147" i="1"/>
  <c r="W145" i="1"/>
  <c r="V144" i="1"/>
  <c r="Y140" i="1"/>
  <c r="Z138" i="1"/>
  <c r="BP128" i="1"/>
  <c r="BM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P123" i="1"/>
  <c r="BM123" i="1" s="1"/>
  <c r="AA123" i="1"/>
  <c r="AQ133" i="1"/>
  <c r="BR133" i="1" s="1"/>
  <c r="AN118" i="1"/>
  <c r="Y115" i="1"/>
  <c r="Z115" i="1"/>
  <c r="V100" i="1"/>
  <c r="T100" i="1"/>
  <c r="U100" i="1"/>
  <c r="W100" i="1"/>
  <c r="AB72" i="1"/>
  <c r="Y72" i="1"/>
  <c r="Q150" i="1"/>
  <c r="R150" i="1" s="1"/>
  <c r="BG131" i="1"/>
  <c r="S116" i="1"/>
  <c r="W116" i="1" s="1"/>
  <c r="AI116" i="1"/>
  <c r="AN110" i="1"/>
  <c r="AM149" i="1"/>
  <c r="K131" i="1"/>
  <c r="BG123" i="1"/>
  <c r="Q104" i="1"/>
  <c r="R104" i="1" s="1"/>
  <c r="AP89" i="1"/>
  <c r="AB89" i="5" s="1"/>
  <c r="BG89" i="1"/>
  <c r="Q89" i="1"/>
  <c r="R89" i="1" s="1"/>
  <c r="AI89" i="1"/>
  <c r="AJ89" i="1" s="1"/>
  <c r="AB154" i="1"/>
  <c r="BP142" i="1"/>
  <c r="BM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P152" i="1"/>
  <c r="BM152" i="1" s="1"/>
  <c r="W147" i="1"/>
  <c r="T143" i="1"/>
  <c r="AB138" i="1"/>
  <c r="AP123" i="1"/>
  <c r="AB123" i="5" s="1"/>
  <c r="BG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G99" i="1"/>
  <c r="V91" i="1"/>
  <c r="W58" i="1"/>
  <c r="Q37" i="1"/>
  <c r="R37" i="1" s="1"/>
  <c r="Q27" i="1"/>
  <c r="R27" i="1" s="1"/>
  <c r="W101" i="1"/>
  <c r="AP99" i="1"/>
  <c r="AB99" i="5" s="1"/>
  <c r="W93" i="1"/>
  <c r="BP79" i="1"/>
  <c r="BM79" i="1" s="1"/>
  <c r="Y77" i="1"/>
  <c r="AA76" i="1"/>
  <c r="BP62" i="1"/>
  <c r="BM62" i="1" s="1"/>
  <c r="W62" i="1"/>
  <c r="U58" i="1"/>
  <c r="Z31" i="1"/>
  <c r="Y31" i="1"/>
  <c r="AA31" i="1"/>
  <c r="Q18" i="1"/>
  <c r="R18" i="1" s="1"/>
  <c r="BP77" i="1"/>
  <c r="BM77" i="1" s="1"/>
  <c r="U101" i="1"/>
  <c r="U93" i="1"/>
  <c r="AQ76" i="1"/>
  <c r="BR76" i="1" s="1"/>
  <c r="S65" i="1"/>
  <c r="U62" i="1"/>
  <c r="Q58" i="1"/>
  <c r="R58" i="1" s="1"/>
  <c r="BP115" i="1"/>
  <c r="BM115" i="1" s="1"/>
  <c r="AL98" i="1"/>
  <c r="Q94" i="1"/>
  <c r="R94" i="1" s="1"/>
  <c r="BG76" i="1"/>
  <c r="V76" i="1"/>
  <c r="AB69" i="1"/>
  <c r="AM58" i="1"/>
  <c r="Q49" i="1"/>
  <c r="R49" i="1" s="1"/>
  <c r="AN100" i="1"/>
  <c r="K99" i="1"/>
  <c r="AM81" i="1"/>
  <c r="AL58" i="1"/>
  <c r="AN60" i="1"/>
  <c r="K58" i="1"/>
  <c r="BG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P58" i="1"/>
  <c r="BM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8" i="5"/>
  <c r="F122" i="5"/>
  <c r="F89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27" i="1"/>
  <c r="AA127" i="1"/>
  <c r="K127" i="5"/>
  <c r="Z127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R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P154" i="1"/>
  <c r="BM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K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R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G138" i="1"/>
  <c r="AI138" i="1"/>
  <c r="K138" i="1"/>
  <c r="AP138" i="1"/>
  <c r="AB138" i="5" s="1"/>
  <c r="AP134" i="1"/>
  <c r="AB134" i="5" s="1"/>
  <c r="K134" i="1"/>
  <c r="BG134" i="1"/>
  <c r="Q134" i="1"/>
  <c r="R134" i="1" s="1"/>
  <c r="AI134" i="1"/>
  <c r="U158" i="1"/>
  <c r="BK155" i="1"/>
  <c r="BK149" i="1"/>
  <c r="AK148" i="1"/>
  <c r="AL148" i="1"/>
  <c r="BK152" i="1"/>
  <c r="Q160" i="1"/>
  <c r="R160" i="1" s="1"/>
  <c r="T158" i="1"/>
  <c r="Z155" i="1"/>
  <c r="AA143" i="1"/>
  <c r="T139" i="1"/>
  <c r="U139" i="1"/>
  <c r="W139" i="1"/>
  <c r="V139" i="1"/>
  <c r="AB160" i="1"/>
  <c r="AQ134" i="1"/>
  <c r="BR134" i="1" s="1"/>
  <c r="Y130" i="1"/>
  <c r="Z130" i="1"/>
  <c r="AA130" i="1"/>
  <c r="AB130" i="1"/>
  <c r="Y151" i="1"/>
  <c r="AB151" i="1"/>
  <c r="AK139" i="1"/>
  <c r="BK154" i="1"/>
  <c r="W151" i="1"/>
  <c r="AM147" i="1"/>
  <c r="T136" i="1"/>
  <c r="U136" i="1"/>
  <c r="V136" i="1"/>
  <c r="W136" i="1"/>
  <c r="Y152" i="1"/>
  <c r="AB152" i="1"/>
  <c r="U151" i="1"/>
  <c r="BG150" i="1"/>
  <c r="AL149" i="1"/>
  <c r="AL147" i="1"/>
  <c r="AA145" i="1"/>
  <c r="AB158" i="1"/>
  <c r="T151" i="1"/>
  <c r="AA150" i="1"/>
  <c r="AB146" i="1"/>
  <c r="Y146" i="1"/>
  <c r="BP141" i="1"/>
  <c r="BM141" i="1" s="1"/>
  <c r="Z141" i="1"/>
  <c r="AA141" i="1"/>
  <c r="AB141" i="1"/>
  <c r="BP138" i="1"/>
  <c r="BM138" i="1" s="1"/>
  <c r="BK136" i="1"/>
  <c r="K150" i="1"/>
  <c r="Y145" i="1"/>
  <c r="AB145" i="1"/>
  <c r="U140" i="1"/>
  <c r="V140" i="1"/>
  <c r="W140" i="1"/>
  <c r="Y139" i="1"/>
  <c r="AA139" i="1"/>
  <c r="AB139" i="1"/>
  <c r="N146" i="5"/>
  <c r="AN150" i="1"/>
  <c r="BP139" i="1"/>
  <c r="BM139" i="1" s="1"/>
  <c r="AN138" i="1"/>
  <c r="Y135" i="1"/>
  <c r="AA135" i="1"/>
  <c r="AB135" i="1"/>
  <c r="Z135" i="1"/>
  <c r="AK143" i="1"/>
  <c r="AL143" i="1"/>
  <c r="AQ138" i="1"/>
  <c r="BR138" i="1" s="1"/>
  <c r="AK136" i="1"/>
  <c r="AL136" i="1"/>
  <c r="AM136" i="1"/>
  <c r="AK131" i="1"/>
  <c r="AL131" i="1"/>
  <c r="AM131" i="1"/>
  <c r="BK138" i="1"/>
  <c r="AN137" i="1"/>
  <c r="AB144" i="1"/>
  <c r="AA140" i="1"/>
  <c r="AM137" i="1"/>
  <c r="AA136" i="1"/>
  <c r="BK123" i="1"/>
  <c r="AL140" i="1"/>
  <c r="U138" i="1"/>
  <c r="BK137" i="1"/>
  <c r="AK137" i="1"/>
  <c r="Y136" i="1"/>
  <c r="BK133" i="1"/>
  <c r="AI133" i="1"/>
  <c r="BG133" i="1"/>
  <c r="T133" i="1"/>
  <c r="U133" i="1"/>
  <c r="V133" i="1"/>
  <c r="Y118" i="1"/>
  <c r="Z118" i="1"/>
  <c r="AA118" i="1"/>
  <c r="AB118" i="1"/>
  <c r="AK144" i="1"/>
  <c r="AK140" i="1"/>
  <c r="T138" i="1"/>
  <c r="AN131" i="1"/>
  <c r="BK131" i="1"/>
  <c r="BK130" i="1"/>
  <c r="AP130" i="1"/>
  <c r="AB130" i="5" s="1"/>
  <c r="Q130" i="1"/>
  <c r="R130" i="1" s="1"/>
  <c r="AP117" i="1"/>
  <c r="AB117" i="5" s="1"/>
  <c r="K117" i="1"/>
  <c r="AI117" i="1"/>
  <c r="BG117" i="1"/>
  <c r="Q117" i="1"/>
  <c r="R117" i="1" s="1"/>
  <c r="AQ117" i="1"/>
  <c r="BR117" i="1" s="1"/>
  <c r="V131" i="1"/>
  <c r="U131" i="1"/>
  <c r="W131" i="1"/>
  <c r="BG130" i="1"/>
  <c r="AQ130" i="1"/>
  <c r="BR130" i="1" s="1"/>
  <c r="AN134" i="1"/>
  <c r="AA132" i="1"/>
  <c r="AQ131" i="1"/>
  <c r="BR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G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P122" i="1"/>
  <c r="BM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K98" i="1"/>
  <c r="Q126" i="1"/>
  <c r="R126" i="1" s="1"/>
  <c r="Q122" i="1"/>
  <c r="R122" i="1" s="1"/>
  <c r="Z121" i="1"/>
  <c r="W120" i="1"/>
  <c r="Q118" i="1"/>
  <c r="R118" i="1" s="1"/>
  <c r="Z117" i="1"/>
  <c r="BP109" i="1"/>
  <c r="BM109" i="1" s="1"/>
  <c r="AL109" i="1"/>
  <c r="AM109" i="1"/>
  <c r="AN94" i="1"/>
  <c r="W115" i="1"/>
  <c r="Y106" i="1"/>
  <c r="Z106" i="1"/>
  <c r="AA106" i="1"/>
  <c r="AQ94" i="1"/>
  <c r="BR94" i="1" s="1"/>
  <c r="AA116" i="1"/>
  <c r="AB116" i="1"/>
  <c r="K116" i="1"/>
  <c r="AL110" i="1"/>
  <c r="Q131" i="1"/>
  <c r="R131" i="1" s="1"/>
  <c r="Q127" i="1"/>
  <c r="R127" i="1" s="1"/>
  <c r="U115" i="1"/>
  <c r="AB113" i="1"/>
  <c r="BP110" i="1"/>
  <c r="BM110" i="1" s="1"/>
  <c r="AK110" i="1"/>
  <c r="AM110" i="1"/>
  <c r="AQ109" i="1"/>
  <c r="BR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R102" i="1" s="1"/>
  <c r="BG116" i="1"/>
  <c r="Z110" i="1"/>
  <c r="BK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R98" i="1" s="1"/>
  <c r="Y93" i="1"/>
  <c r="Z93" i="1"/>
  <c r="AB93" i="1"/>
  <c r="BG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R100" i="1" s="1"/>
  <c r="AP81" i="1"/>
  <c r="AB81" i="5" s="1"/>
  <c r="Q81" i="1"/>
  <c r="R81" i="1" s="1"/>
  <c r="AQ81" i="1"/>
  <c r="BR81" i="1" s="1"/>
  <c r="BG81" i="1"/>
  <c r="K81" i="1"/>
  <c r="AK98" i="1"/>
  <c r="AM98" i="1"/>
  <c r="K101" i="1"/>
  <c r="Y85" i="1"/>
  <c r="Z85" i="1"/>
  <c r="AA85" i="1"/>
  <c r="AB85" i="1"/>
  <c r="AB108" i="1"/>
  <c r="AM100" i="1"/>
  <c r="AQ89" i="1"/>
  <c r="BR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G73" i="1"/>
  <c r="AP73" i="1"/>
  <c r="AB73" i="5" s="1"/>
  <c r="AA91" i="1"/>
  <c r="U89" i="1"/>
  <c r="AN76" i="1"/>
  <c r="BG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G77" i="1"/>
  <c r="AB77" i="1"/>
  <c r="AM76" i="1"/>
  <c r="Y76" i="1"/>
  <c r="Z75" i="1"/>
  <c r="AB75" i="1"/>
  <c r="Y70" i="1"/>
  <c r="Z70" i="1"/>
  <c r="BK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K59" i="1"/>
  <c r="AA68" i="1"/>
  <c r="AN62" i="1"/>
  <c r="Z62" i="1"/>
  <c r="AA62" i="1"/>
  <c r="AB62" i="1"/>
  <c r="Q53" i="1"/>
  <c r="R53" i="1" s="1"/>
  <c r="Y68" i="1"/>
  <c r="Q40" i="1"/>
  <c r="R40" i="1" s="1"/>
  <c r="BK60" i="1"/>
  <c r="AA72" i="1"/>
  <c r="Y59" i="1"/>
  <c r="Z59" i="1"/>
  <c r="AB59" i="1"/>
  <c r="AA59" i="1"/>
  <c r="BK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R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G60" i="1"/>
  <c r="W60" i="1"/>
  <c r="K60" i="1"/>
  <c r="Z57" i="1"/>
  <c r="BG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V163" i="1" l="1"/>
  <c r="BV166" i="1"/>
  <c r="BJ73" i="1"/>
  <c r="BY73" i="1"/>
  <c r="BJ65" i="1"/>
  <c r="BY65" i="1"/>
  <c r="BZ65" i="1" s="1"/>
  <c r="BE94" i="1"/>
  <c r="BE102" i="1"/>
  <c r="BE65" i="1"/>
  <c r="BE131" i="1"/>
  <c r="BE100" i="1"/>
  <c r="CC60" i="1"/>
  <c r="CC62" i="1"/>
  <c r="BF118" i="1"/>
  <c r="BO118" i="1" s="1" a="1"/>
  <c r="BO118" i="1" s="1"/>
  <c r="BE55" i="1"/>
  <c r="BE58" i="1"/>
  <c r="BF58" i="1" s="1"/>
  <c r="BO58" i="1" s="1" a="1"/>
  <c r="BO58" i="1" s="1"/>
  <c r="CC89" i="1"/>
  <c r="BE114" i="1"/>
  <c r="CC140" i="1"/>
  <c r="BF99" i="1"/>
  <c r="BO99" i="1" s="1" a="1"/>
  <c r="BO99" i="1" s="1"/>
  <c r="BE122" i="1"/>
  <c r="CC56" i="1"/>
  <c r="AZ76" i="1"/>
  <c r="U99" i="5"/>
  <c r="U147" i="5"/>
  <c r="T136" i="5"/>
  <c r="U60" i="5"/>
  <c r="V60" i="5"/>
  <c r="CC102" i="1"/>
  <c r="V91" i="5"/>
  <c r="U91" i="5"/>
  <c r="U136" i="5"/>
  <c r="U131" i="5"/>
  <c r="V94" i="5"/>
  <c r="T99" i="5"/>
  <c r="V131" i="5"/>
  <c r="AY65" i="3"/>
  <c r="T92" i="5"/>
  <c r="V113" i="5"/>
  <c r="U113" i="5"/>
  <c r="V92" i="5"/>
  <c r="V98" i="5"/>
  <c r="U98" i="5"/>
  <c r="U94" i="5"/>
  <c r="V142" i="5"/>
  <c r="U142" i="5"/>
  <c r="BQ65" i="3"/>
  <c r="AZ102" i="1"/>
  <c r="BF102" i="1"/>
  <c r="BO102" i="1" s="1" a="1"/>
  <c r="BO102" i="1" s="1"/>
  <c r="BI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T102" i="1"/>
  <c r="J148" i="5"/>
  <c r="BQ73" i="3"/>
  <c r="S89" i="5"/>
  <c r="V89" i="5" s="1"/>
  <c r="S73" i="1"/>
  <c r="V73" i="1" s="1"/>
  <c r="BQ161" i="1"/>
  <c r="I130" i="5"/>
  <c r="H148" i="5"/>
  <c r="J81" i="5"/>
  <c r="I81" i="5"/>
  <c r="Q161" i="5"/>
  <c r="P161" i="5"/>
  <c r="R161" i="5"/>
  <c r="T161" i="5"/>
  <c r="U161" i="5"/>
  <c r="V161" i="5"/>
  <c r="AK65" i="1"/>
  <c r="BF89" i="1"/>
  <c r="BO89" i="1" s="1" a="1"/>
  <c r="BO89" i="1" s="1"/>
  <c r="AM65" i="1"/>
  <c r="AL65" i="1"/>
  <c r="BE62" i="1"/>
  <c r="I141" i="5"/>
  <c r="BE89" i="1"/>
  <c r="AQ65" i="1"/>
  <c r="BR65" i="1" s="1"/>
  <c r="H141" i="5"/>
  <c r="BT89" i="1"/>
  <c r="BE60" i="1"/>
  <c r="BF60" i="1" s="1"/>
  <c r="BO60" i="1" s="1" a="1"/>
  <c r="BO60" i="1" s="1"/>
  <c r="BT60" i="1"/>
  <c r="BF114" i="1"/>
  <c r="BO114" i="1" s="1" a="1"/>
  <c r="BO114" i="1" s="1"/>
  <c r="AM73" i="1"/>
  <c r="AL73" i="1"/>
  <c r="BT55" i="1"/>
  <c r="CC55" i="1"/>
  <c r="AK73" i="1"/>
  <c r="BF55" i="1"/>
  <c r="BO55" i="1" s="1" a="1"/>
  <c r="BO55" i="1" s="1"/>
  <c r="BT131" i="1"/>
  <c r="I101" i="5"/>
  <c r="H101" i="5"/>
  <c r="CC131" i="1"/>
  <c r="BF131" i="1"/>
  <c r="BO131" i="1" s="1" a="1"/>
  <c r="BO131" i="1" s="1"/>
  <c r="BT65" i="1"/>
  <c r="BF65" i="1"/>
  <c r="BO65" i="1" s="1" a="1"/>
  <c r="BO65" i="1" s="1"/>
  <c r="J147" i="5"/>
  <c r="H130" i="5"/>
  <c r="I147" i="5"/>
  <c r="N76" i="5"/>
  <c r="J138" i="5"/>
  <c r="L76" i="5"/>
  <c r="I138" i="5"/>
  <c r="I145" i="5"/>
  <c r="CC118" i="1"/>
  <c r="CC100" i="1"/>
  <c r="BF100" i="1"/>
  <c r="BO100" i="1" s="1" a="1"/>
  <c r="BO100" i="1" s="1"/>
  <c r="H91" i="5"/>
  <c r="BT100" i="1"/>
  <c r="BE118" i="1"/>
  <c r="AK62" i="1"/>
  <c r="BG65" i="3"/>
  <c r="BO65" i="3" s="1"/>
  <c r="BS65" i="3" s="1"/>
  <c r="CC65" i="1"/>
  <c r="I56" i="5"/>
  <c r="CC99" i="1"/>
  <c r="J56" i="5"/>
  <c r="BT122" i="1"/>
  <c r="J145" i="5"/>
  <c r="CC114" i="1"/>
  <c r="BT118" i="1"/>
  <c r="BT128" i="1"/>
  <c r="I91" i="5"/>
  <c r="I55" i="5"/>
  <c r="J55" i="5"/>
  <c r="I153" i="5"/>
  <c r="AM101" i="1"/>
  <c r="AK128" i="1"/>
  <c r="H144" i="5"/>
  <c r="AL101" i="1"/>
  <c r="I102" i="5"/>
  <c r="I144" i="5"/>
  <c r="J102" i="5"/>
  <c r="AR73" i="3"/>
  <c r="AK101" i="1"/>
  <c r="S73" i="5"/>
  <c r="T73" i="5" s="1"/>
  <c r="AY73" i="3"/>
  <c r="AK116" i="1"/>
  <c r="BT62" i="1"/>
  <c r="J123" i="5"/>
  <c r="I123" i="5"/>
  <c r="AM128" i="1"/>
  <c r="BT114" i="1"/>
  <c r="E73" i="5"/>
  <c r="AL128" i="1"/>
  <c r="BE56" i="1"/>
  <c r="BT56" i="1"/>
  <c r="CC94" i="1"/>
  <c r="BT94" i="1"/>
  <c r="BF56" i="1"/>
  <c r="BO56" i="1" s="1" a="1"/>
  <c r="BO56" i="1" s="1"/>
  <c r="BF94" i="1"/>
  <c r="BO94" i="1" s="1" a="1"/>
  <c r="BO94" i="1" s="1"/>
  <c r="BF62" i="1"/>
  <c r="BO62" i="1" s="1" a="1"/>
  <c r="BO62" i="1" s="1"/>
  <c r="J131" i="5"/>
  <c r="AN73" i="1"/>
  <c r="BT99" i="1"/>
  <c r="AL116" i="1"/>
  <c r="BE99" i="1"/>
  <c r="I131" i="5"/>
  <c r="AM116" i="1"/>
  <c r="BS73" i="3"/>
  <c r="CC58" i="1"/>
  <c r="I119" i="5"/>
  <c r="BT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T140" i="1"/>
  <c r="BE140" i="1"/>
  <c r="BF140" i="1" s="1"/>
  <c r="BO140" i="1" s="1" a="1"/>
  <c r="BO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T76" i="1"/>
  <c r="BE76" i="1"/>
  <c r="BF76" i="1"/>
  <c r="BO76" i="1" s="1" a="1"/>
  <c r="BO76" i="1" s="1"/>
  <c r="CC76" i="1"/>
  <c r="BE128" i="1"/>
  <c r="BF128" i="1"/>
  <c r="BO128" i="1" s="1" a="1"/>
  <c r="BO128" i="1" s="1"/>
  <c r="CC128" i="1"/>
  <c r="AK89" i="1"/>
  <c r="AL89" i="1"/>
  <c r="AM89" i="1"/>
  <c r="V116" i="1"/>
  <c r="T116" i="1"/>
  <c r="U116" i="1"/>
  <c r="G116" i="5"/>
  <c r="H116" i="5" s="1"/>
  <c r="BT123" i="1"/>
  <c r="BE123" i="1"/>
  <c r="BF123" i="1"/>
  <c r="BO123" i="1" s="1" a="1"/>
  <c r="BO123" i="1" s="1"/>
  <c r="CC123" i="1"/>
  <c r="AZ122" i="1"/>
  <c r="BF122" i="1"/>
  <c r="BO122" i="1" s="1" a="1"/>
  <c r="BO122" i="1" s="1"/>
  <c r="CC122" i="1"/>
  <c r="CC119" i="1"/>
  <c r="BT119" i="1"/>
  <c r="BE119" i="1"/>
  <c r="BF119" i="1" s="1"/>
  <c r="BO119" i="1" s="1" a="1"/>
  <c r="BO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F57" i="1"/>
  <c r="BO57" i="1" s="1" a="1"/>
  <c r="BO57" i="1" s="1"/>
  <c r="CC57" i="1"/>
  <c r="BT57" i="1"/>
  <c r="BE57" i="1"/>
  <c r="CC59" i="1"/>
  <c r="BT59" i="1"/>
  <c r="BE59" i="1"/>
  <c r="BF59" i="1" s="1"/>
  <c r="BO59" i="1" s="1" a="1"/>
  <c r="BO59" i="1" s="1"/>
  <c r="BF77" i="1"/>
  <c r="BO77" i="1" s="1" a="1"/>
  <c r="BO77" i="1" s="1"/>
  <c r="BT77" i="1"/>
  <c r="AZ77" i="1"/>
  <c r="CC77" i="1"/>
  <c r="BE77" i="1"/>
  <c r="BF73" i="1"/>
  <c r="BO73" i="1" s="1" a="1"/>
  <c r="BO73" i="1" s="1"/>
  <c r="CC73" i="1"/>
  <c r="BT73" i="1"/>
  <c r="BE73" i="1"/>
  <c r="AZ73" i="1"/>
  <c r="BT93" i="1"/>
  <c r="BE93" i="1"/>
  <c r="BF93" i="1" s="1"/>
  <c r="BO93" i="1" s="1" a="1"/>
  <c r="BO93" i="1" s="1"/>
  <c r="CC93" i="1"/>
  <c r="BT101" i="1"/>
  <c r="AZ101" i="1"/>
  <c r="BE101" i="1"/>
  <c r="BF101" i="1"/>
  <c r="BO101" i="1" s="1" a="1"/>
  <c r="BO101" i="1" s="1"/>
  <c r="CC101" i="1"/>
  <c r="BT81" i="1"/>
  <c r="BE81" i="1"/>
  <c r="BF81" i="1"/>
  <c r="BO81" i="1" s="1" a="1"/>
  <c r="BO81" i="1" s="1"/>
  <c r="CC81" i="1"/>
  <c r="BF98" i="1"/>
  <c r="BO98" i="1" s="1" a="1"/>
  <c r="BO98" i="1" s="1"/>
  <c r="CC98" i="1"/>
  <c r="BE98" i="1"/>
  <c r="BT98" i="1"/>
  <c r="AL102" i="1"/>
  <c r="AM102" i="1"/>
  <c r="AK102" i="1"/>
  <c r="AZ116" i="1"/>
  <c r="BE116" i="1"/>
  <c r="BF116" i="1"/>
  <c r="BO116" i="1" s="1" a="1"/>
  <c r="BO116" i="1" s="1"/>
  <c r="BT116" i="1"/>
  <c r="CC116" i="1"/>
  <c r="CC109" i="1"/>
  <c r="BE109" i="1"/>
  <c r="BF109" i="1" s="1"/>
  <c r="BO109" i="1" s="1" a="1"/>
  <c r="BO109" i="1" s="1"/>
  <c r="BT109" i="1"/>
  <c r="AL117" i="1"/>
  <c r="AM117" i="1"/>
  <c r="AK117" i="1"/>
  <c r="BF117" i="1"/>
  <c r="BO117" i="1" s="1" a="1"/>
  <c r="BO117" i="1" s="1"/>
  <c r="CC117" i="1"/>
  <c r="BE117" i="1"/>
  <c r="BT117" i="1"/>
  <c r="BT130" i="1"/>
  <c r="BE130" i="1"/>
  <c r="BF130" i="1" s="1"/>
  <c r="BO130" i="1" s="1" a="1"/>
  <c r="BO130" i="1" s="1"/>
  <c r="CC130" i="1"/>
  <c r="AM133" i="1"/>
  <c r="AK133" i="1"/>
  <c r="AL133" i="1"/>
  <c r="BE133" i="1"/>
  <c r="BF133" i="1" s="1"/>
  <c r="BO133" i="1" s="1" a="1"/>
  <c r="BO133" i="1" s="1"/>
  <c r="CC133" i="1"/>
  <c r="BT133" i="1"/>
  <c r="CC150" i="1"/>
  <c r="BT150" i="1"/>
  <c r="BE150" i="1"/>
  <c r="BF150" i="1" s="1"/>
  <c r="BO150" i="1" s="1" a="1"/>
  <c r="BO150" i="1" s="1"/>
  <c r="CC158" i="1"/>
  <c r="BE158" i="1"/>
  <c r="BF158" i="1" s="1"/>
  <c r="BO158" i="1" s="1" a="1"/>
  <c r="BO158" i="1" s="1"/>
  <c r="BT158" i="1"/>
  <c r="AK134" i="1"/>
  <c r="AL134" i="1"/>
  <c r="AM134" i="1"/>
  <c r="CC134" i="1"/>
  <c r="BT134" i="1"/>
  <c r="BE134" i="1"/>
  <c r="BF134" i="1" s="1"/>
  <c r="BO134" i="1" s="1" a="1"/>
  <c r="BO134" i="1" s="1"/>
  <c r="AK138" i="1"/>
  <c r="AL138" i="1"/>
  <c r="AM138" i="1"/>
  <c r="CC138" i="1"/>
  <c r="BE138" i="1"/>
  <c r="BF138" i="1" s="1"/>
  <c r="BO138" i="1" s="1" a="1"/>
  <c r="BO138" i="1" s="1"/>
  <c r="BT138" i="1"/>
  <c r="I154" i="5"/>
  <c r="I156" i="5"/>
  <c r="J156" i="5"/>
  <c r="I142" i="5"/>
  <c r="J142" i="5"/>
  <c r="N159" i="5"/>
  <c r="M159" i="5"/>
  <c r="M143" i="5"/>
  <c r="N143" i="5"/>
  <c r="I158" i="5"/>
  <c r="J158" i="5"/>
  <c r="BV161" i="1" l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W29" i="3"/>
  <c r="V29" i="3"/>
  <c r="BJ2" i="3"/>
  <c r="E135" i="3"/>
  <c r="CF135" i="1" s="1"/>
  <c r="J73" i="5" l="1"/>
  <c r="I73" i="5"/>
  <c r="N135" i="1"/>
  <c r="BB135" i="1"/>
  <c r="CB135" i="1"/>
  <c r="O135" i="1"/>
  <c r="BH135" i="1"/>
  <c r="BK135" i="1" s="1"/>
  <c r="CD135" i="1"/>
  <c r="BI135" i="1"/>
  <c r="CE135" i="1"/>
  <c r="CG135" i="1"/>
  <c r="AI135" i="1"/>
  <c r="AJ135" i="1" s="1"/>
  <c r="BN135" i="1"/>
  <c r="BP135" i="1" s="1"/>
  <c r="BM135" i="1" s="1"/>
  <c r="CH135" i="1"/>
  <c r="CI135" i="1"/>
  <c r="AX135" i="1"/>
  <c r="AC135" i="5"/>
  <c r="CA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CF51" i="1" s="1"/>
  <c r="V40" i="3"/>
  <c r="V130" i="3"/>
  <c r="H36" i="17"/>
  <c r="H39" i="17"/>
  <c r="H38" i="17"/>
  <c r="A29" i="1"/>
  <c r="A30" i="1"/>
  <c r="A31" i="1"/>
  <c r="A32" i="1"/>
  <c r="A33" i="1"/>
  <c r="AT33" i="1" s="1"/>
  <c r="AU33" i="1" s="1"/>
  <c r="A34" i="1"/>
  <c r="AT34" i="1" s="1"/>
  <c r="AU34" i="1" s="1"/>
  <c r="A35" i="1"/>
  <c r="A36" i="1"/>
  <c r="A37" i="1"/>
  <c r="A38" i="1"/>
  <c r="A39" i="1"/>
  <c r="A40" i="1"/>
  <c r="A41" i="1"/>
  <c r="AT41" i="1" s="1"/>
  <c r="AU41" i="1" s="1"/>
  <c r="A42" i="1"/>
  <c r="A43" i="1"/>
  <c r="A44" i="1"/>
  <c r="AT44" i="1" s="1"/>
  <c r="AU44" i="1" s="1"/>
  <c r="A45" i="1"/>
  <c r="A46" i="1"/>
  <c r="A47" i="1"/>
  <c r="AT47" i="1" s="1"/>
  <c r="AU47" i="1" s="1"/>
  <c r="A48" i="1"/>
  <c r="AT48" i="1" s="1"/>
  <c r="AU48" i="1" s="1"/>
  <c r="A49" i="1"/>
  <c r="A50" i="1"/>
  <c r="A51" i="1"/>
  <c r="A52" i="1"/>
  <c r="A53" i="1"/>
  <c r="A54" i="1"/>
  <c r="A55" i="1"/>
  <c r="AT55" i="1" s="1"/>
  <c r="AU55" i="1" s="1"/>
  <c r="A56" i="1"/>
  <c r="A57" i="1"/>
  <c r="A58" i="1"/>
  <c r="A59" i="1"/>
  <c r="A60" i="1"/>
  <c r="A61" i="1"/>
  <c r="AT61" i="1" s="1"/>
  <c r="AU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T75" i="1" s="1"/>
  <c r="AU75" i="1" s="1"/>
  <c r="A76" i="1"/>
  <c r="A77" i="1"/>
  <c r="AT77" i="1" s="1"/>
  <c r="AU77" i="1" s="1"/>
  <c r="A78" i="1"/>
  <c r="A79" i="1"/>
  <c r="AT79" i="1" s="1"/>
  <c r="AU79" i="1" s="1"/>
  <c r="A80" i="1"/>
  <c r="AT80" i="1" s="1"/>
  <c r="AU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T95" i="1" s="1"/>
  <c r="AU95" i="1" s="1"/>
  <c r="A96" i="1"/>
  <c r="A97" i="1"/>
  <c r="A98" i="1"/>
  <c r="A99" i="1"/>
  <c r="A100" i="1"/>
  <c r="A101" i="1"/>
  <c r="AT101" i="1" s="1"/>
  <c r="AU101" i="1" s="1"/>
  <c r="A102" i="1"/>
  <c r="AT102" i="1" s="1"/>
  <c r="AU102" i="1" s="1"/>
  <c r="A103" i="1"/>
  <c r="AT103" i="1" s="1"/>
  <c r="AU103" i="1" s="1"/>
  <c r="A104" i="1"/>
  <c r="AT104" i="1" s="1"/>
  <c r="AU104" i="1" s="1"/>
  <c r="A105" i="1"/>
  <c r="AT105" i="1" s="1"/>
  <c r="AU105" i="1" s="1"/>
  <c r="A106" i="1"/>
  <c r="A107" i="1"/>
  <c r="A108" i="1"/>
  <c r="AT108" i="1" s="1"/>
  <c r="AU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T124" i="1" s="1"/>
  <c r="AU124" i="1" s="1"/>
  <c r="A125" i="1"/>
  <c r="A126" i="1"/>
  <c r="AT126" i="1" s="1"/>
  <c r="AU126" i="1" s="1"/>
  <c r="A127" i="1"/>
  <c r="AT127" i="1" s="1"/>
  <c r="AU127" i="1" s="1"/>
  <c r="A128" i="1"/>
  <c r="A129" i="1"/>
  <c r="A130" i="1"/>
  <c r="A131" i="1"/>
  <c r="A132" i="1"/>
  <c r="A133" i="1"/>
  <c r="A134" i="1"/>
  <c r="A135" i="1"/>
  <c r="A136" i="1"/>
  <c r="A137" i="1"/>
  <c r="A138" i="1"/>
  <c r="AT138" i="1" s="1"/>
  <c r="AU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T160" i="1" s="1"/>
  <c r="AU160" i="1" s="1"/>
  <c r="E80" i="3"/>
  <c r="CF80" i="1" s="1"/>
  <c r="AW80" i="3"/>
  <c r="AL80" i="3"/>
  <c r="F80" i="3"/>
  <c r="AS80" i="1" s="1"/>
  <c r="E111" i="3"/>
  <c r="CF111" i="1" s="1"/>
  <c r="I22" i="17"/>
  <c r="H22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39" i="17"/>
  <c r="K38" i="17"/>
  <c r="AW2" i="3"/>
  <c r="E104" i="3"/>
  <c r="CF104" i="1" s="1"/>
  <c r="E105" i="3"/>
  <c r="CF105" i="1" s="1"/>
  <c r="E127" i="3"/>
  <c r="CF127" i="1" s="1"/>
  <c r="E103" i="3"/>
  <c r="CF103" i="1" s="1"/>
  <c r="E108" i="3"/>
  <c r="CF108" i="1" s="1"/>
  <c r="E107" i="3"/>
  <c r="CF107" i="1" s="1"/>
  <c r="E106" i="3"/>
  <c r="CF106" i="1" s="1"/>
  <c r="BJ135" i="1" l="1"/>
  <c r="BY135" i="1"/>
  <c r="J105" i="1"/>
  <c r="BB105" i="3"/>
  <c r="J104" i="1"/>
  <c r="BB104" i="3"/>
  <c r="J80" i="1"/>
  <c r="BV80" i="1" s="1"/>
  <c r="BB80" i="3"/>
  <c r="BB106" i="3"/>
  <c r="J127" i="1"/>
  <c r="BB127" i="3"/>
  <c r="J107" i="1"/>
  <c r="BB107" i="3"/>
  <c r="J108" i="1"/>
  <c r="BB108" i="3"/>
  <c r="J103" i="1"/>
  <c r="BB103" i="3"/>
  <c r="AT122" i="1"/>
  <c r="AU122" i="1" s="1"/>
  <c r="AU107" i="1"/>
  <c r="AT107" i="1"/>
  <c r="AU106" i="1"/>
  <c r="AT106" i="1"/>
  <c r="AT98" i="1"/>
  <c r="AU98" i="1" s="1"/>
  <c r="AP106" i="3"/>
  <c r="BE106" i="3" s="1"/>
  <c r="AX106" i="1"/>
  <c r="AZ106" i="1"/>
  <c r="CA106" i="1"/>
  <c r="CB106" i="1"/>
  <c r="S106" i="1"/>
  <c r="BH106" i="1"/>
  <c r="BK106" i="1" s="1"/>
  <c r="CE106" i="1"/>
  <c r="BI106" i="1"/>
  <c r="CG106" i="1"/>
  <c r="CI106" i="1"/>
  <c r="CH106" i="1"/>
  <c r="BB106" i="1"/>
  <c r="BN106" i="1"/>
  <c r="BP106" i="1" s="1"/>
  <c r="BM106" i="1" s="1"/>
  <c r="W106" i="5"/>
  <c r="CD106" i="1"/>
  <c r="AC106" i="5"/>
  <c r="AI106" i="1"/>
  <c r="AJ106" i="1" s="1"/>
  <c r="X106" i="5"/>
  <c r="Y106" i="5"/>
  <c r="AQ106" i="3"/>
  <c r="BG106" i="3" s="1"/>
  <c r="BD106" i="3"/>
  <c r="BG106" i="1"/>
  <c r="K106" i="1"/>
  <c r="AP106" i="1"/>
  <c r="AB106" i="5" s="1"/>
  <c r="AP103" i="3"/>
  <c r="BE103" i="3" s="1"/>
  <c r="AY103" i="3"/>
  <c r="AI103" i="1"/>
  <c r="AJ103" i="1" s="1"/>
  <c r="BN103" i="1"/>
  <c r="BP103" i="1" s="1"/>
  <c r="BM103" i="1" s="1"/>
  <c r="CH103" i="1"/>
  <c r="CI103" i="1"/>
  <c r="AX103" i="1"/>
  <c r="AZ103" i="1"/>
  <c r="CA103" i="1"/>
  <c r="CB103" i="1"/>
  <c r="BB103" i="1"/>
  <c r="CD103" i="1"/>
  <c r="BI103" i="1"/>
  <c r="CG103" i="1"/>
  <c r="CE103" i="1"/>
  <c r="BH103" i="1"/>
  <c r="BK103" i="1" s="1"/>
  <c r="W103" i="5"/>
  <c r="S103" i="1"/>
  <c r="X103" i="5"/>
  <c r="AQ103" i="3"/>
  <c r="BG103" i="3" s="1"/>
  <c r="BD103" i="3"/>
  <c r="K103" i="1"/>
  <c r="BG103" i="1"/>
  <c r="Y103" i="5"/>
  <c r="AP103" i="1"/>
  <c r="AB103" i="5" s="1"/>
  <c r="AC103" i="5"/>
  <c r="AP107" i="3"/>
  <c r="BE107" i="3" s="1"/>
  <c r="BB107" i="1"/>
  <c r="CB107" i="1"/>
  <c r="S107" i="1"/>
  <c r="BH107" i="1"/>
  <c r="BK107" i="1" s="1"/>
  <c r="CD107" i="1"/>
  <c r="BI107" i="1"/>
  <c r="CE107" i="1"/>
  <c r="AI107" i="1"/>
  <c r="AJ107" i="1" s="1"/>
  <c r="CG107" i="1"/>
  <c r="CI107" i="1"/>
  <c r="AX107" i="1"/>
  <c r="AZ107" i="1"/>
  <c r="CA107" i="1"/>
  <c r="CH107" i="1"/>
  <c r="BN107" i="1"/>
  <c r="BP107" i="1" s="1"/>
  <c r="BM107" i="1" s="1"/>
  <c r="X107" i="5"/>
  <c r="AQ107" i="3"/>
  <c r="BG107" i="3" s="1"/>
  <c r="BD107" i="3"/>
  <c r="K107" i="1"/>
  <c r="BG107" i="1"/>
  <c r="Y107" i="5"/>
  <c r="W107" i="5"/>
  <c r="AC107" i="5"/>
  <c r="AP107" i="1"/>
  <c r="AB107" i="5" s="1"/>
  <c r="AP108" i="3"/>
  <c r="BE108" i="3" s="1"/>
  <c r="AY108" i="3"/>
  <c r="AI108" i="1"/>
  <c r="AJ108" i="1" s="1"/>
  <c r="CG108" i="1"/>
  <c r="BN108" i="1"/>
  <c r="BP108" i="1" s="1"/>
  <c r="BM108" i="1" s="1"/>
  <c r="CH108" i="1"/>
  <c r="CI108" i="1"/>
  <c r="AZ108" i="1"/>
  <c r="CA108" i="1"/>
  <c r="S108" i="1"/>
  <c r="BH108" i="1"/>
  <c r="BK108" i="1" s="1"/>
  <c r="CD108" i="1"/>
  <c r="BI108" i="1"/>
  <c r="CE108" i="1"/>
  <c r="CB108" i="1"/>
  <c r="AX108" i="1"/>
  <c r="BB108" i="1"/>
  <c r="W108" i="5"/>
  <c r="AQ108" i="3"/>
  <c r="BG108" i="3" s="1"/>
  <c r="BD108" i="3"/>
  <c r="BG108" i="1"/>
  <c r="K108" i="1"/>
  <c r="AP108" i="1"/>
  <c r="AB108" i="5" s="1"/>
  <c r="AC108" i="5"/>
  <c r="X108" i="5"/>
  <c r="Y108" i="5"/>
  <c r="AU130" i="3"/>
  <c r="AD130" i="1" s="1"/>
  <c r="O130" i="5" s="1"/>
  <c r="P130" i="5" s="1"/>
  <c r="BK130" i="3"/>
  <c r="AN135" i="1"/>
  <c r="BH111" i="1"/>
  <c r="BK111" i="1" s="1"/>
  <c r="CD111" i="1"/>
  <c r="BI111" i="1"/>
  <c r="CE111" i="1"/>
  <c r="AI111" i="1"/>
  <c r="AJ111" i="1" s="1"/>
  <c r="CG111" i="1"/>
  <c r="CH111" i="1"/>
  <c r="AX111" i="1"/>
  <c r="N111" i="1"/>
  <c r="CA111" i="1"/>
  <c r="O111" i="1"/>
  <c r="BB111" i="1"/>
  <c r="CB111" i="1"/>
  <c r="BN111" i="1"/>
  <c r="BP111" i="1" s="1"/>
  <c r="BM111" i="1" s="1"/>
  <c r="CI111" i="1"/>
  <c r="AC111" i="5"/>
  <c r="AQ51" i="3"/>
  <c r="BG51" i="3" s="1"/>
  <c r="CI51" i="1"/>
  <c r="CB51" i="1"/>
  <c r="BB51" i="1"/>
  <c r="CD51" i="1"/>
  <c r="BH51" i="1"/>
  <c r="BK51" i="1" s="1"/>
  <c r="CG51" i="1"/>
  <c r="BI51" i="1"/>
  <c r="BN51" i="1"/>
  <c r="BP51" i="1" s="1"/>
  <c r="BM51" i="1" s="1"/>
  <c r="N51" i="1"/>
  <c r="O51" i="1"/>
  <c r="AI51" i="1"/>
  <c r="AJ51" i="1" s="1"/>
  <c r="CA51" i="1"/>
  <c r="CE51" i="1"/>
  <c r="CH51" i="1"/>
  <c r="AC51" i="5"/>
  <c r="AX51" i="1"/>
  <c r="AY105" i="3"/>
  <c r="AP105" i="3"/>
  <c r="BE105" i="3" s="1"/>
  <c r="S105" i="1"/>
  <c r="BI105" i="1"/>
  <c r="CG105" i="1"/>
  <c r="BN105" i="1"/>
  <c r="BP105" i="1" s="1"/>
  <c r="BM105" i="1" s="1"/>
  <c r="CH105" i="1"/>
  <c r="CI105" i="1"/>
  <c r="AX105" i="1"/>
  <c r="AZ105" i="1"/>
  <c r="CA105" i="1"/>
  <c r="BB105" i="1"/>
  <c r="CD105" i="1"/>
  <c r="BH105" i="1"/>
  <c r="BK105" i="1" s="1"/>
  <c r="CE105" i="1"/>
  <c r="CB105" i="1"/>
  <c r="AC105" i="5"/>
  <c r="AQ105" i="3"/>
  <c r="BG105" i="3" s="1"/>
  <c r="BD105" i="3"/>
  <c r="Y105" i="5"/>
  <c r="AP105" i="1"/>
  <c r="AB105" i="5" s="1"/>
  <c r="K105" i="1"/>
  <c r="BG105" i="1"/>
  <c r="W105" i="5"/>
  <c r="X105" i="5"/>
  <c r="AP104" i="3"/>
  <c r="BE104" i="3" s="1"/>
  <c r="AZ104" i="1"/>
  <c r="CA104" i="1"/>
  <c r="CB104" i="1"/>
  <c r="BB104" i="1"/>
  <c r="CD104" i="1"/>
  <c r="BH104" i="1"/>
  <c r="BK104" i="1" s="1"/>
  <c r="CE104" i="1"/>
  <c r="CG104" i="1"/>
  <c r="BN104" i="1"/>
  <c r="BP104" i="1" s="1"/>
  <c r="BM104" i="1" s="1"/>
  <c r="CH104" i="1"/>
  <c r="CI104" i="1"/>
  <c r="AX104" i="1"/>
  <c r="S104" i="1"/>
  <c r="BI104" i="1"/>
  <c r="AQ104" i="3"/>
  <c r="BG104" i="3" s="1"/>
  <c r="BD104" i="3"/>
  <c r="K104" i="1"/>
  <c r="AP104" i="1"/>
  <c r="AB104" i="5" s="1"/>
  <c r="BG104" i="1"/>
  <c r="AC104" i="5"/>
  <c r="X104" i="5"/>
  <c r="Y104" i="5"/>
  <c r="W104" i="5"/>
  <c r="AP127" i="3"/>
  <c r="BE127" i="3" s="1"/>
  <c r="CB127" i="1"/>
  <c r="S127" i="1"/>
  <c r="BH127" i="1"/>
  <c r="BK127" i="1" s="1"/>
  <c r="CD127" i="1"/>
  <c r="AX127" i="1"/>
  <c r="AZ127" i="1"/>
  <c r="CA127" i="1"/>
  <c r="CE127" i="1"/>
  <c r="BB127" i="1"/>
  <c r="CH127" i="1"/>
  <c r="X127" i="5"/>
  <c r="BI127" i="1"/>
  <c r="W127" i="5"/>
  <c r="BN127" i="1"/>
  <c r="BP127" i="1" s="1"/>
  <c r="BM127" i="1" s="1"/>
  <c r="Y127" i="5"/>
  <c r="CG127" i="1"/>
  <c r="AC127" i="5"/>
  <c r="CI127" i="1"/>
  <c r="BD127" i="3"/>
  <c r="K127" i="1"/>
  <c r="AQ127" i="3"/>
  <c r="BG127" i="3" s="1"/>
  <c r="BG127" i="1"/>
  <c r="AP127" i="1"/>
  <c r="AB127" i="5" s="1"/>
  <c r="AP80" i="3"/>
  <c r="BE80" i="3" s="1"/>
  <c r="AQ80" i="3"/>
  <c r="BG80" i="3" s="1"/>
  <c r="BH80" i="1"/>
  <c r="BK80" i="1" s="1"/>
  <c r="CE80" i="1"/>
  <c r="BI80" i="1"/>
  <c r="CG80" i="1"/>
  <c r="CB80" i="1"/>
  <c r="BN80" i="1"/>
  <c r="BP80" i="1" s="1"/>
  <c r="BM80" i="1" s="1"/>
  <c r="AI80" i="1"/>
  <c r="AJ80" i="1" s="1"/>
  <c r="AX80" i="1"/>
  <c r="CD80" i="1"/>
  <c r="CH80" i="1"/>
  <c r="AZ80" i="1"/>
  <c r="CI80" i="1"/>
  <c r="BB80" i="1"/>
  <c r="CA80" i="1"/>
  <c r="W80" i="5"/>
  <c r="X80" i="5"/>
  <c r="BD80" i="3"/>
  <c r="K80" i="1"/>
  <c r="AR80" i="3"/>
  <c r="X80" i="1" s="1"/>
  <c r="BG80" i="1"/>
  <c r="AP80" i="1"/>
  <c r="AB80" i="5" s="1"/>
  <c r="Y80" i="5"/>
  <c r="AC80" i="5"/>
  <c r="AL135" i="1"/>
  <c r="S135" i="5"/>
  <c r="AK135" i="1"/>
  <c r="AM135" i="1"/>
  <c r="BC106" i="3"/>
  <c r="AY106" i="3"/>
  <c r="BM106" i="3" a="1"/>
  <c r="BM106" i="3" s="1"/>
  <c r="BQ106" i="3" s="1"/>
  <c r="BC107" i="3"/>
  <c r="AY107" i="3"/>
  <c r="BM107" i="3" a="1"/>
  <c r="BM107" i="3" s="1"/>
  <c r="BQ107" i="3" s="1"/>
  <c r="BC108" i="3"/>
  <c r="BM108" i="3" a="1"/>
  <c r="BM108" i="3" s="1"/>
  <c r="BQ108" i="3" s="1"/>
  <c r="BC103" i="3"/>
  <c r="BM103" i="3" a="1"/>
  <c r="BM103" i="3" s="1"/>
  <c r="BQ103" i="3" s="1"/>
  <c r="AY127" i="3"/>
  <c r="BC127" i="3"/>
  <c r="BM127" i="3" a="1"/>
  <c r="BM127" i="3" s="1"/>
  <c r="BC105" i="3"/>
  <c r="BM105" i="3" a="1"/>
  <c r="BM105" i="3" s="1"/>
  <c r="BM104" i="3" a="1"/>
  <c r="BM104" i="3" s="1"/>
  <c r="BC104" i="3"/>
  <c r="AY104" i="3"/>
  <c r="AZ80" i="3"/>
  <c r="BN80" i="3"/>
  <c r="BC80" i="3"/>
  <c r="BM80" i="3" a="1"/>
  <c r="BM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U55" i="3"/>
  <c r="AD55" i="1" s="1"/>
  <c r="O55" i="5" s="1"/>
  <c r="AU137" i="3"/>
  <c r="AF94" i="1"/>
  <c r="AH94" i="1"/>
  <c r="AE94" i="1"/>
  <c r="AG94" i="1"/>
  <c r="AH98" i="1"/>
  <c r="AE98" i="1"/>
  <c r="AG98" i="1"/>
  <c r="AF98" i="1"/>
  <c r="AU150" i="3"/>
  <c r="AD150" i="1" s="1"/>
  <c r="O150" i="5" s="1"/>
  <c r="AU102" i="3"/>
  <c r="AU60" i="3"/>
  <c r="AD60" i="1" s="1"/>
  <c r="O60" i="5" s="1"/>
  <c r="AF79" i="1"/>
  <c r="AE79" i="1"/>
  <c r="AG79" i="1"/>
  <c r="AH79" i="1"/>
  <c r="AE93" i="1"/>
  <c r="AF93" i="1"/>
  <c r="AG93" i="1"/>
  <c r="AH93" i="1"/>
  <c r="AU134" i="3"/>
  <c r="AD134" i="1" s="1"/>
  <c r="O134" i="5" s="1"/>
  <c r="AE116" i="1"/>
  <c r="AG116" i="1"/>
  <c r="AF116" i="1"/>
  <c r="AH116" i="1"/>
  <c r="AH77" i="1"/>
  <c r="AE77" i="1"/>
  <c r="AG77" i="1"/>
  <c r="AF77" i="1"/>
  <c r="AU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U104" i="3"/>
  <c r="AU107" i="3"/>
  <c r="AU106" i="3"/>
  <c r="AU103" i="3"/>
  <c r="AU108" i="3"/>
  <c r="AU127" i="3"/>
  <c r="AU105" i="3"/>
  <c r="AU110" i="3"/>
  <c r="AU158" i="3"/>
  <c r="AD158" i="1" s="1"/>
  <c r="O158" i="5" s="1"/>
  <c r="AU138" i="3"/>
  <c r="AD138" i="1" s="1"/>
  <c r="O138" i="5" s="1"/>
  <c r="AU99" i="3"/>
  <c r="AD99" i="1" s="1"/>
  <c r="O99" i="5" s="1"/>
  <c r="AU59" i="3"/>
  <c r="AD59" i="1" s="1"/>
  <c r="O59" i="5" s="1"/>
  <c r="AU114" i="3"/>
  <c r="AD114" i="1" s="1"/>
  <c r="O114" i="5" s="1"/>
  <c r="AU133" i="3"/>
  <c r="AD133" i="1" s="1"/>
  <c r="O133" i="5" s="1"/>
  <c r="AU116" i="3"/>
  <c r="AU109" i="3"/>
  <c r="AD109" i="1" s="1"/>
  <c r="O109" i="5" s="1"/>
  <c r="AU101" i="3"/>
  <c r="AU56" i="3"/>
  <c r="AD56" i="1" s="1"/>
  <c r="O56" i="5" s="1"/>
  <c r="AU57" i="3"/>
  <c r="AD57" i="1" s="1"/>
  <c r="O57" i="5" s="1"/>
  <c r="AU58" i="3"/>
  <c r="AD58" i="1" s="1"/>
  <c r="O58" i="5" s="1"/>
  <c r="AU79" i="3"/>
  <c r="AU89" i="3"/>
  <c r="AD89" i="1" s="1"/>
  <c r="O89" i="5" s="1"/>
  <c r="AU100" i="3"/>
  <c r="AD100" i="1" s="1"/>
  <c r="O100" i="5" s="1"/>
  <c r="AU140" i="3"/>
  <c r="AD140" i="1" s="1"/>
  <c r="O140" i="5" s="1"/>
  <c r="R140" i="5" s="1"/>
  <c r="M2" i="5"/>
  <c r="AM80" i="3"/>
  <c r="AN80" i="3" s="1"/>
  <c r="Z80" i="5" s="1"/>
  <c r="I9" i="12"/>
  <c r="BJ80" i="1" l="1"/>
  <c r="BY80" i="1"/>
  <c r="BZ80" i="1" s="1"/>
  <c r="BJ111" i="1"/>
  <c r="BY111" i="1"/>
  <c r="BJ104" i="1"/>
  <c r="BY104" i="1"/>
  <c r="BZ104" i="1" s="1"/>
  <c r="BJ105" i="1"/>
  <c r="BY105" i="1"/>
  <c r="BZ105" i="1" s="1"/>
  <c r="BJ107" i="1"/>
  <c r="BY107" i="1"/>
  <c r="BZ107" i="1" s="1"/>
  <c r="BJ51" i="1"/>
  <c r="BY51" i="1"/>
  <c r="BJ106" i="1"/>
  <c r="BY106" i="1"/>
  <c r="BZ106" i="1" s="1"/>
  <c r="BJ127" i="1"/>
  <c r="BY127" i="1"/>
  <c r="BZ127" i="1" s="1"/>
  <c r="BJ108" i="1"/>
  <c r="BY108" i="1"/>
  <c r="BZ108" i="1" s="1"/>
  <c r="BJ103" i="1"/>
  <c r="BY103" i="1"/>
  <c r="BZ103" i="1" s="1"/>
  <c r="BQ104" i="3"/>
  <c r="BQ105" i="3"/>
  <c r="AA80" i="5"/>
  <c r="BQ80" i="3"/>
  <c r="BQ127" i="3"/>
  <c r="AH130" i="1"/>
  <c r="AI105" i="1"/>
  <c r="AI127" i="1"/>
  <c r="AE130" i="1"/>
  <c r="R130" i="5"/>
  <c r="Q130" i="5"/>
  <c r="AG130" i="1"/>
  <c r="AF130" i="1"/>
  <c r="AI104" i="1"/>
  <c r="S80" i="1"/>
  <c r="G80" i="5" s="1"/>
  <c r="AR104" i="3"/>
  <c r="AR103" i="3"/>
  <c r="AR127" i="3"/>
  <c r="BO127" i="3"/>
  <c r="BS127" i="3" s="1"/>
  <c r="BK127" i="3"/>
  <c r="AQ104" i="1"/>
  <c r="BR104" i="1" s="1"/>
  <c r="CC105" i="1"/>
  <c r="BE105" i="1"/>
  <c r="BT105" i="1"/>
  <c r="BF105" i="1"/>
  <c r="BO105" i="1" s="1" a="1"/>
  <c r="BO105" i="1" s="1"/>
  <c r="CC108" i="1"/>
  <c r="BT108" i="1"/>
  <c r="BE108" i="1"/>
  <c r="BF108" i="1"/>
  <c r="BO108" i="1" s="1" a="1"/>
  <c r="BO108" i="1" s="1"/>
  <c r="W108" i="1"/>
  <c r="G108" i="5"/>
  <c r="U108" i="1"/>
  <c r="V108" i="1"/>
  <c r="T108" i="1"/>
  <c r="BO107" i="3"/>
  <c r="BS107" i="3" s="1"/>
  <c r="BK107" i="3"/>
  <c r="AN107" i="1"/>
  <c r="BP80" i="3"/>
  <c r="D80" i="5" s="1"/>
  <c r="BH80" i="3"/>
  <c r="F80" i="5" s="1"/>
  <c r="E80" i="5"/>
  <c r="AQ80" i="1"/>
  <c r="BR80" i="1" s="1"/>
  <c r="G104" i="5"/>
  <c r="U104" i="1"/>
  <c r="W104" i="1"/>
  <c r="V104" i="1"/>
  <c r="T104" i="1"/>
  <c r="BT103" i="1"/>
  <c r="CC103" i="1"/>
  <c r="BE103" i="1"/>
  <c r="BF103" i="1"/>
  <c r="BO103" i="1" s="1" a="1"/>
  <c r="BO103" i="1" s="1"/>
  <c r="S103" i="5"/>
  <c r="AK103" i="1"/>
  <c r="AM103" i="1"/>
  <c r="AL103" i="1"/>
  <c r="BH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H108" i="3"/>
  <c r="F108" i="5" s="1"/>
  <c r="E108" i="5"/>
  <c r="BK106" i="3"/>
  <c r="BO106" i="3"/>
  <c r="BS106" i="3" s="1"/>
  <c r="BF80" i="3"/>
  <c r="AN127" i="1"/>
  <c r="AQ127" i="1"/>
  <c r="BR127" i="1" s="1"/>
  <c r="BI104" i="3"/>
  <c r="BL104" i="3"/>
  <c r="AR105" i="3"/>
  <c r="BO51" i="3"/>
  <c r="BS51" i="3"/>
  <c r="BO108" i="3"/>
  <c r="BS108" i="3" s="1"/>
  <c r="BK108" i="3"/>
  <c r="W107" i="1"/>
  <c r="G107" i="5"/>
  <c r="U107" i="1"/>
  <c r="V107" i="1"/>
  <c r="T107" i="1"/>
  <c r="AN103" i="1"/>
  <c r="BL103" i="3"/>
  <c r="BI103" i="3"/>
  <c r="AN106" i="1"/>
  <c r="AN80" i="1"/>
  <c r="E127" i="5"/>
  <c r="BH127" i="3"/>
  <c r="F127" i="5" s="1"/>
  <c r="BI127" i="3"/>
  <c r="BL127" i="3"/>
  <c r="BH105" i="3"/>
  <c r="F105" i="5" s="1"/>
  <c r="E105" i="5"/>
  <c r="AQ107" i="1"/>
  <c r="BR107" i="1" s="1"/>
  <c r="BH103" i="3"/>
  <c r="F103" i="5" s="1"/>
  <c r="E103" i="5"/>
  <c r="BT104" i="1"/>
  <c r="BE104" i="1"/>
  <c r="BF104" i="1"/>
  <c r="BO104" i="1" s="1" a="1"/>
  <c r="BO104" i="1" s="1"/>
  <c r="CC104" i="1"/>
  <c r="BK105" i="3"/>
  <c r="BO105" i="3"/>
  <c r="BS105" i="3" s="1"/>
  <c r="AN111" i="1"/>
  <c r="S106" i="5"/>
  <c r="AL106" i="1"/>
  <c r="AK106" i="1"/>
  <c r="AM106" i="1"/>
  <c r="CC127" i="1"/>
  <c r="BT127" i="1"/>
  <c r="BF127" i="1"/>
  <c r="BO127" i="1" s="1" a="1"/>
  <c r="BO127" i="1" s="1"/>
  <c r="BE127" i="1"/>
  <c r="AN51" i="1"/>
  <c r="BE107" i="1"/>
  <c r="BT107" i="1"/>
  <c r="BF107" i="1"/>
  <c r="BO107" i="1" s="1" a="1"/>
  <c r="BO107" i="1" s="1"/>
  <c r="CC107" i="1"/>
  <c r="BI107" i="3"/>
  <c r="BL107" i="3"/>
  <c r="BO103" i="3"/>
  <c r="BS103" i="3" s="1"/>
  <c r="BK103" i="3"/>
  <c r="AQ103" i="1"/>
  <c r="BR103" i="1" s="1"/>
  <c r="AR106" i="3"/>
  <c r="T106" i="1"/>
  <c r="U106" i="1"/>
  <c r="G106" i="5"/>
  <c r="V106" i="1"/>
  <c r="W106" i="1"/>
  <c r="BS80" i="3"/>
  <c r="BO80" i="3"/>
  <c r="AQ105" i="1"/>
  <c r="BR105" i="1" s="1"/>
  <c r="AQ108" i="1"/>
  <c r="BR108" i="1" s="1"/>
  <c r="AM108" i="1"/>
  <c r="S108" i="5"/>
  <c r="AL108" i="1"/>
  <c r="AK108" i="1"/>
  <c r="AQ106" i="1"/>
  <c r="BR106" i="1" s="1"/>
  <c r="AY80" i="3"/>
  <c r="BI80" i="3"/>
  <c r="BL80" i="3"/>
  <c r="BT106" i="1"/>
  <c r="BE106" i="1"/>
  <c r="CC106" i="1"/>
  <c r="BF106" i="1"/>
  <c r="BO106" i="1" s="1" a="1"/>
  <c r="BO106" i="1" s="1"/>
  <c r="U135" i="5"/>
  <c r="T135" i="5"/>
  <c r="V135" i="5"/>
  <c r="BE80" i="1"/>
  <c r="CC80" i="1"/>
  <c r="BT80" i="1"/>
  <c r="BF80" i="1"/>
  <c r="BO80" i="1" s="1" a="1"/>
  <c r="BO80" i="1" s="1"/>
  <c r="BH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K104" i="3"/>
  <c r="BO104" i="3"/>
  <c r="BS104" i="3" s="1"/>
  <c r="W105" i="1"/>
  <c r="U105" i="1"/>
  <c r="V105" i="1"/>
  <c r="G105" i="5"/>
  <c r="T105" i="1"/>
  <c r="AR108" i="3"/>
  <c r="BL108" i="3"/>
  <c r="BI108" i="3"/>
  <c r="AR107" i="3"/>
  <c r="AM80" i="1"/>
  <c r="S80" i="5"/>
  <c r="AL80" i="1"/>
  <c r="AK80" i="1"/>
  <c r="AN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R89" i="5"/>
  <c r="Q89" i="5"/>
  <c r="P89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K80" i="5"/>
  <c r="L80" i="5" s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K51" i="3" s="1"/>
  <c r="V80" i="3"/>
  <c r="BK80" i="3" s="1"/>
  <c r="U2" i="3"/>
  <c r="AV2" i="3" s="1"/>
  <c r="AM104" i="1" l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R80" i="3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M80" i="5"/>
  <c r="AU51" i="3"/>
  <c r="AU80" i="3"/>
  <c r="AT80" i="3"/>
  <c r="G1" i="5"/>
  <c r="BR2" i="3"/>
  <c r="E160" i="3"/>
  <c r="CF160" i="1" s="1"/>
  <c r="BB160" i="3" l="1"/>
  <c r="T104" i="5"/>
  <c r="V105" i="5"/>
  <c r="U104" i="5"/>
  <c r="T127" i="5"/>
  <c r="U127" i="5"/>
  <c r="U105" i="5"/>
  <c r="AP160" i="3"/>
  <c r="BE160" i="3" s="1"/>
  <c r="BN160" i="1"/>
  <c r="BP160" i="1" s="1"/>
  <c r="BM160" i="1" s="1"/>
  <c r="CD160" i="1"/>
  <c r="AX160" i="1"/>
  <c r="CA160" i="1"/>
  <c r="CB160" i="1"/>
  <c r="AZ160" i="1"/>
  <c r="CE160" i="1"/>
  <c r="BB160" i="1"/>
  <c r="CG160" i="1"/>
  <c r="BH160" i="1"/>
  <c r="BK160" i="1" s="1"/>
  <c r="CH160" i="1"/>
  <c r="S160" i="1"/>
  <c r="BI160" i="1"/>
  <c r="CI160" i="1"/>
  <c r="W160" i="5"/>
  <c r="BD160" i="3"/>
  <c r="AQ160" i="3"/>
  <c r="BG160" i="3" s="1"/>
  <c r="AP160" i="1"/>
  <c r="AB160" i="5" s="1"/>
  <c r="K160" i="1"/>
  <c r="AI160" i="1"/>
  <c r="AJ160" i="1" s="1"/>
  <c r="AC160" i="5"/>
  <c r="BG160" i="1"/>
  <c r="Y160" i="5"/>
  <c r="X160" i="5"/>
  <c r="BM160" i="3" a="1"/>
  <c r="BM160" i="3" s="1"/>
  <c r="BC160" i="3"/>
  <c r="AU160" i="3"/>
  <c r="BJ160" i="1" l="1"/>
  <c r="BY160" i="1"/>
  <c r="BZ160" i="1" s="1"/>
  <c r="BQ160" i="3"/>
  <c r="AR160" i="3"/>
  <c r="BO160" i="3"/>
  <c r="BS160" i="3" s="1"/>
  <c r="E160" i="5"/>
  <c r="BH160" i="3"/>
  <c r="F160" i="5" s="1"/>
  <c r="AQ160" i="1"/>
  <c r="BR160" i="1" s="1"/>
  <c r="AY160" i="3"/>
  <c r="BK160" i="3" s="1"/>
  <c r="S160" i="5"/>
  <c r="AL160" i="1"/>
  <c r="AM160" i="1"/>
  <c r="AK160" i="1"/>
  <c r="AN160" i="1"/>
  <c r="U160" i="1"/>
  <c r="T160" i="1"/>
  <c r="G160" i="5"/>
  <c r="V160" i="1"/>
  <c r="W160" i="1"/>
  <c r="CC160" i="1"/>
  <c r="BE160" i="1"/>
  <c r="BF160" i="1"/>
  <c r="BO160" i="1" s="1" a="1"/>
  <c r="BO160" i="1" s="1"/>
  <c r="BT160" i="1"/>
  <c r="BL160" i="3"/>
  <c r="BI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F43" i="1" s="1"/>
  <c r="C2" i="5"/>
  <c r="AQ43" i="3" l="1"/>
  <c r="BG43" i="3" s="1"/>
  <c r="AI43" i="1"/>
  <c r="AJ43" i="1" s="1"/>
  <c r="N43" i="1"/>
  <c r="BN43" i="1"/>
  <c r="BP43" i="1" s="1"/>
  <c r="BM43" i="1" s="1"/>
  <c r="CI43" i="1"/>
  <c r="O43" i="1"/>
  <c r="AX43" i="1"/>
  <c r="CA43" i="1"/>
  <c r="CB43" i="1"/>
  <c r="BB43" i="1"/>
  <c r="CH43" i="1"/>
  <c r="BH43" i="1"/>
  <c r="BK43" i="1" s="1"/>
  <c r="BI43" i="1"/>
  <c r="CD43" i="1"/>
  <c r="CE43" i="1"/>
  <c r="CG43" i="1"/>
  <c r="AC43" i="5"/>
  <c r="E33" i="3"/>
  <c r="CF33" i="1" s="1"/>
  <c r="E126" i="3"/>
  <c r="CF126" i="1" s="1"/>
  <c r="BJ43" i="1" l="1"/>
  <c r="BY43" i="1"/>
  <c r="J126" i="1"/>
  <c r="BB126" i="3"/>
  <c r="J33" i="1"/>
  <c r="BB33" i="3"/>
  <c r="AP126" i="3"/>
  <c r="BE126" i="3" s="1"/>
  <c r="AX126" i="1"/>
  <c r="AZ126" i="1"/>
  <c r="CB126" i="1"/>
  <c r="CD126" i="1"/>
  <c r="N126" i="1"/>
  <c r="BB126" i="1"/>
  <c r="CE126" i="1"/>
  <c r="O126" i="1"/>
  <c r="BH126" i="1"/>
  <c r="BK126" i="1" s="1"/>
  <c r="BI126" i="1"/>
  <c r="CG126" i="1"/>
  <c r="S126" i="1"/>
  <c r="CH126" i="1"/>
  <c r="BN126" i="1"/>
  <c r="BP126" i="1" s="1"/>
  <c r="BM126" i="1" s="1"/>
  <c r="CI126" i="1"/>
  <c r="AC126" i="5"/>
  <c r="CA126" i="1"/>
  <c r="AI126" i="1"/>
  <c r="AJ126" i="1" s="1"/>
  <c r="W126" i="5"/>
  <c r="Y126" i="5"/>
  <c r="AQ126" i="3"/>
  <c r="BG126" i="3" s="1"/>
  <c r="BO126" i="3" s="1"/>
  <c r="BS126" i="3" s="1"/>
  <c r="BD126" i="3"/>
  <c r="X126" i="5"/>
  <c r="AP126" i="1"/>
  <c r="AB126" i="5" s="1"/>
  <c r="K126" i="1"/>
  <c r="BG126" i="1"/>
  <c r="AK43" i="1"/>
  <c r="S43" i="5"/>
  <c r="AL43" i="1"/>
  <c r="AM43" i="1"/>
  <c r="AN43" i="1"/>
  <c r="BS43" i="3"/>
  <c r="BO43" i="3"/>
  <c r="AP33" i="3"/>
  <c r="BE33" i="3" s="1"/>
  <c r="AI33" i="1"/>
  <c r="AJ33" i="1" s="1"/>
  <c r="CG33" i="1"/>
  <c r="N33" i="1"/>
  <c r="CB33" i="1"/>
  <c r="O33" i="1"/>
  <c r="BB33" i="1"/>
  <c r="CD33" i="1"/>
  <c r="S33" i="1"/>
  <c r="BI33" i="1"/>
  <c r="AX33" i="1"/>
  <c r="CA33" i="1"/>
  <c r="AZ33" i="1"/>
  <c r="CH33" i="1"/>
  <c r="BH33" i="1"/>
  <c r="BK33" i="1" s="1"/>
  <c r="BN33" i="1"/>
  <c r="BP33" i="1" s="1"/>
  <c r="BM33" i="1" s="1"/>
  <c r="CE33" i="1"/>
  <c r="CI33" i="1"/>
  <c r="AQ33" i="3"/>
  <c r="BG33" i="3" s="1"/>
  <c r="BO33" i="3" s="1"/>
  <c r="BS33" i="3" s="1"/>
  <c r="BD33" i="3"/>
  <c r="Y33" i="5"/>
  <c r="BG33" i="1"/>
  <c r="W33" i="5"/>
  <c r="X33" i="5"/>
  <c r="AP33" i="1"/>
  <c r="AB33" i="5" s="1"/>
  <c r="K33" i="1"/>
  <c r="AC33" i="5"/>
  <c r="BC126" i="3"/>
  <c r="BM126" i="3" a="1"/>
  <c r="BM126" i="3" s="1"/>
  <c r="BQ126" i="3" s="1"/>
  <c r="BC33" i="3"/>
  <c r="BM33" i="3" a="1"/>
  <c r="BM33" i="3" s="1"/>
  <c r="BQ33" i="3" s="1"/>
  <c r="AD43" i="1"/>
  <c r="O43" i="5" s="1"/>
  <c r="AU126" i="3"/>
  <c r="V43" i="3"/>
  <c r="BK43" i="3" s="1"/>
  <c r="E82" i="3"/>
  <c r="CF82" i="1" s="1"/>
  <c r="E121" i="3"/>
  <c r="CF121" i="1" s="1"/>
  <c r="E61" i="3"/>
  <c r="CF61" i="1" s="1"/>
  <c r="E35" i="3"/>
  <c r="CF35" i="1" s="1"/>
  <c r="E41" i="3"/>
  <c r="CF41" i="1" s="1"/>
  <c r="I46" i="17"/>
  <c r="H46" i="17"/>
  <c r="K33" i="17"/>
  <c r="I33" i="17"/>
  <c r="H33" i="17"/>
  <c r="H32" i="17"/>
  <c r="I32" i="17"/>
  <c r="K32" i="17"/>
  <c r="K10" i="17"/>
  <c r="I10" i="17"/>
  <c r="H10" i="17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CF86" i="1" s="1"/>
  <c r="E87" i="3"/>
  <c r="CF87" i="1" s="1"/>
  <c r="E88" i="3"/>
  <c r="CF88" i="1" s="1"/>
  <c r="BX2" i="1"/>
  <c r="BU2" i="1"/>
  <c r="AS55" i="3"/>
  <c r="BA2" i="1"/>
  <c r="BS2" i="1"/>
  <c r="E39" i="3"/>
  <c r="CF39" i="1" s="1"/>
  <c r="I44" i="17"/>
  <c r="H44" i="17"/>
  <c r="E95" i="3"/>
  <c r="CF95" i="1" s="1"/>
  <c r="E78" i="3"/>
  <c r="CF78" i="1" s="1"/>
  <c r="E129" i="3"/>
  <c r="CF129" i="1" s="1"/>
  <c r="I36" i="17"/>
  <c r="E10" i="3"/>
  <c r="CF10" i="1" s="1"/>
  <c r="E9" i="3"/>
  <c r="CF9" i="1" s="1"/>
  <c r="E75" i="3"/>
  <c r="CF75" i="1" s="1"/>
  <c r="E72" i="3"/>
  <c r="CF72" i="1" s="1"/>
  <c r="E71" i="3"/>
  <c r="CF71" i="1" s="1"/>
  <c r="E70" i="3"/>
  <c r="CF70" i="1" s="1"/>
  <c r="E69" i="3"/>
  <c r="CF69" i="1" s="1"/>
  <c r="E67" i="3"/>
  <c r="CF67" i="1" s="1"/>
  <c r="E68" i="3"/>
  <c r="CF68" i="1" s="1"/>
  <c r="E83" i="3"/>
  <c r="CF83" i="1" s="1"/>
  <c r="K31" i="17"/>
  <c r="I31" i="17"/>
  <c r="H31" i="17"/>
  <c r="E74" i="3"/>
  <c r="CF74" i="1" s="1"/>
  <c r="E84" i="3"/>
  <c r="CF84" i="1" s="1"/>
  <c r="E85" i="3"/>
  <c r="CF85" i="1" s="1"/>
  <c r="E132" i="3"/>
  <c r="CF132" i="1" s="1"/>
  <c r="K18" i="17"/>
  <c r="I18" i="17"/>
  <c r="H18" i="17"/>
  <c r="E29" i="3"/>
  <c r="CF29" i="1" s="1"/>
  <c r="E66" i="3"/>
  <c r="CF66" i="1" s="1"/>
  <c r="E112" i="3"/>
  <c r="CF112" i="1" s="1"/>
  <c r="E40" i="3"/>
  <c r="CF40" i="1" s="1"/>
  <c r="E38" i="3"/>
  <c r="CF38" i="1" s="1"/>
  <c r="E37" i="3"/>
  <c r="CF37" i="1" s="1"/>
  <c r="E36" i="3"/>
  <c r="CF36" i="1" s="1"/>
  <c r="E34" i="3"/>
  <c r="CF34" i="1" s="1"/>
  <c r="E54" i="3"/>
  <c r="CF54" i="1" s="1"/>
  <c r="E97" i="3"/>
  <c r="CF97" i="1" s="1"/>
  <c r="E96" i="3"/>
  <c r="CF96" i="1" s="1"/>
  <c r="E50" i="3"/>
  <c r="CF50" i="1" s="1"/>
  <c r="E52" i="3"/>
  <c r="CF52" i="1" s="1"/>
  <c r="E53" i="3"/>
  <c r="CF53" i="1" s="1"/>
  <c r="E49" i="3"/>
  <c r="CF49" i="1" s="1"/>
  <c r="E46" i="3"/>
  <c r="CF46" i="1" s="1"/>
  <c r="E45" i="3"/>
  <c r="CF45" i="1" s="1"/>
  <c r="E44" i="3"/>
  <c r="CF44" i="1" s="1"/>
  <c r="E42" i="3"/>
  <c r="CF42" i="1" s="1"/>
  <c r="I48" i="17"/>
  <c r="H48" i="17"/>
  <c r="E32" i="3"/>
  <c r="CF32" i="1" s="1"/>
  <c r="E90" i="3"/>
  <c r="CF90" i="1" s="1"/>
  <c r="E124" i="3"/>
  <c r="CF124" i="1" s="1"/>
  <c r="E6" i="3"/>
  <c r="CF6" i="1" s="1"/>
  <c r="E31" i="3"/>
  <c r="CF31" i="1" s="1"/>
  <c r="E30" i="3"/>
  <c r="CF30" i="1" s="1"/>
  <c r="E28" i="3"/>
  <c r="CF28" i="1" s="1"/>
  <c r="E27" i="3"/>
  <c r="CF27" i="1" s="1"/>
  <c r="E26" i="3"/>
  <c r="CF26" i="1" s="1"/>
  <c r="E25" i="3"/>
  <c r="CF25" i="1" s="1"/>
  <c r="E22" i="3"/>
  <c r="CF22" i="1" s="1"/>
  <c r="E21" i="3"/>
  <c r="CF21" i="1" s="1"/>
  <c r="E20" i="3"/>
  <c r="CF20" i="1" s="1"/>
  <c r="E19" i="3"/>
  <c r="CF19" i="1" s="1"/>
  <c r="E18" i="3"/>
  <c r="CF18" i="1" s="1"/>
  <c r="E17" i="3"/>
  <c r="CF17" i="1" s="1"/>
  <c r="E16" i="3"/>
  <c r="CF16" i="1" s="1"/>
  <c r="E15" i="3"/>
  <c r="CF15" i="1" s="1"/>
  <c r="E14" i="3"/>
  <c r="CF14" i="1" s="1"/>
  <c r="E47" i="3"/>
  <c r="CF47" i="1" s="1"/>
  <c r="E48" i="3"/>
  <c r="CF48" i="1" s="1"/>
  <c r="E125" i="3"/>
  <c r="CF125" i="1" s="1"/>
  <c r="E13" i="3"/>
  <c r="CF13" i="1" s="1"/>
  <c r="E12" i="3"/>
  <c r="CF12" i="1" s="1"/>
  <c r="I41" i="17"/>
  <c r="H41" i="17"/>
  <c r="V128" i="3"/>
  <c r="BK128" i="3" s="1"/>
  <c r="V62" i="3"/>
  <c r="BK62" i="3" s="1"/>
  <c r="BJ126" i="1" l="1"/>
  <c r="BY126" i="1"/>
  <c r="BJ33" i="1"/>
  <c r="BY33" i="1"/>
  <c r="J35" i="1"/>
  <c r="BB35" i="3"/>
  <c r="J53" i="1"/>
  <c r="BB53" i="3"/>
  <c r="J66" i="1"/>
  <c r="BB66" i="3"/>
  <c r="J83" i="1"/>
  <c r="BB83" i="3"/>
  <c r="J17" i="1"/>
  <c r="BB17" i="3"/>
  <c r="J29" i="1"/>
  <c r="BB29" i="3"/>
  <c r="J68" i="1"/>
  <c r="BB68" i="3"/>
  <c r="J95" i="1"/>
  <c r="BB95" i="3"/>
  <c r="J61" i="1"/>
  <c r="BB61" i="3"/>
  <c r="J84" i="1"/>
  <c r="BB84" i="3"/>
  <c r="J47" i="1"/>
  <c r="BB47" i="3"/>
  <c r="J50" i="1"/>
  <c r="BB50" i="3"/>
  <c r="J121" i="1"/>
  <c r="BB121" i="3"/>
  <c r="J27" i="1"/>
  <c r="BV27" i="1" s="1"/>
  <c r="BB27" i="3"/>
  <c r="J38" i="1"/>
  <c r="BB38" i="3"/>
  <c r="BI38" i="3" s="1"/>
  <c r="J18" i="1"/>
  <c r="BB18" i="3"/>
  <c r="J67" i="1"/>
  <c r="BB67" i="3"/>
  <c r="AA163" i="5"/>
  <c r="Z163" i="5"/>
  <c r="J96" i="1"/>
  <c r="AZ96" i="1" s="1"/>
  <c r="BB96" i="3"/>
  <c r="J69" i="1"/>
  <c r="BB69" i="3"/>
  <c r="J82" i="1"/>
  <c r="BB82" i="3"/>
  <c r="J20" i="1"/>
  <c r="BB20" i="3"/>
  <c r="J32" i="1"/>
  <c r="BB32" i="3"/>
  <c r="J97" i="1"/>
  <c r="BB97" i="3"/>
  <c r="J42" i="1"/>
  <c r="AZ42" i="1" s="1"/>
  <c r="BB42" i="3"/>
  <c r="J12" i="1"/>
  <c r="BB12" i="3"/>
  <c r="J21" i="1"/>
  <c r="BB21" i="3"/>
  <c r="J54" i="1"/>
  <c r="BB54" i="3"/>
  <c r="J22" i="1"/>
  <c r="BB22" i="3"/>
  <c r="J34" i="1"/>
  <c r="BB34" i="3"/>
  <c r="J85" i="1"/>
  <c r="BB85" i="3"/>
  <c r="J72" i="1"/>
  <c r="AZ72" i="1" s="1"/>
  <c r="BB72" i="3"/>
  <c r="J48" i="1"/>
  <c r="BB48" i="3"/>
  <c r="J44" i="1"/>
  <c r="BB44" i="3"/>
  <c r="J37" i="1"/>
  <c r="BB37" i="3"/>
  <c r="J40" i="1"/>
  <c r="BB40" i="3"/>
  <c r="J88" i="1"/>
  <c r="BB88" i="3"/>
  <c r="J125" i="1"/>
  <c r="BB125" i="3"/>
  <c r="J36" i="1"/>
  <c r="BB36" i="3"/>
  <c r="J45" i="1"/>
  <c r="BB45" i="3"/>
  <c r="J10" i="1"/>
  <c r="BB10" i="3"/>
  <c r="J49" i="1"/>
  <c r="BB49" i="3"/>
  <c r="J129" i="1"/>
  <c r="BB129" i="3"/>
  <c r="J87" i="1"/>
  <c r="BB87" i="3"/>
  <c r="J41" i="1"/>
  <c r="BB41" i="3"/>
  <c r="AP45" i="3"/>
  <c r="BE45" i="3" s="1"/>
  <c r="BF45" i="3" s="1"/>
  <c r="AQ45" i="3"/>
  <c r="BG45" i="3" s="1"/>
  <c r="CG45" i="1"/>
  <c r="CB45" i="1"/>
  <c r="CD45" i="1"/>
  <c r="N45" i="1"/>
  <c r="BH45" i="1"/>
  <c r="BK45" i="1" s="1"/>
  <c r="CI45" i="1"/>
  <c r="BN45" i="1"/>
  <c r="BP45" i="1" s="1"/>
  <c r="BM45" i="1" s="1"/>
  <c r="CA45" i="1"/>
  <c r="CE45" i="1"/>
  <c r="AX45" i="1"/>
  <c r="CH45" i="1"/>
  <c r="BB45" i="1"/>
  <c r="BI45" i="1"/>
  <c r="AI45" i="1"/>
  <c r="AJ45" i="1" s="1"/>
  <c r="O45" i="1"/>
  <c r="Y45" i="5"/>
  <c r="W45" i="5"/>
  <c r="X45" i="5"/>
  <c r="AC45" i="5"/>
  <c r="BG45" i="1"/>
  <c r="BD45" i="3"/>
  <c r="AP45" i="1"/>
  <c r="AB45" i="5" s="1"/>
  <c r="K45" i="1"/>
  <c r="T43" i="5"/>
  <c r="U43" i="5"/>
  <c r="V43" i="5"/>
  <c r="AP18" i="3"/>
  <c r="BE18" i="3" s="1"/>
  <c r="AZ18" i="1"/>
  <c r="CA18" i="1"/>
  <c r="N18" i="1"/>
  <c r="BB18" i="1"/>
  <c r="CD18" i="1"/>
  <c r="BN18" i="1"/>
  <c r="BP18" i="1" s="1"/>
  <c r="BM18" i="1" s="1"/>
  <c r="S18" i="1"/>
  <c r="CB18" i="1"/>
  <c r="AX18" i="1"/>
  <c r="CE18" i="1"/>
  <c r="CG18" i="1"/>
  <c r="CH18" i="1"/>
  <c r="CI18" i="1"/>
  <c r="BI18" i="1"/>
  <c r="BH18" i="1"/>
  <c r="BK18" i="1" s="1"/>
  <c r="O18" i="1"/>
  <c r="X18" i="5"/>
  <c r="AC18" i="5"/>
  <c r="BD18" i="3"/>
  <c r="AQ18" i="3"/>
  <c r="AR18" i="3" s="1"/>
  <c r="AP18" i="1"/>
  <c r="AB18" i="5" s="1"/>
  <c r="K18" i="1"/>
  <c r="BG18" i="1"/>
  <c r="W18" i="5"/>
  <c r="Y18" i="5"/>
  <c r="O31" i="1"/>
  <c r="BI31" i="1"/>
  <c r="CE31" i="1"/>
  <c r="BN31" i="1"/>
  <c r="BP31" i="1" s="1"/>
  <c r="BM31" i="1" s="1"/>
  <c r="CH31" i="1"/>
  <c r="AZ31" i="1"/>
  <c r="CD31" i="1"/>
  <c r="CG31" i="1"/>
  <c r="BH31" i="1"/>
  <c r="BK31" i="1" s="1"/>
  <c r="BB31" i="1"/>
  <c r="N31" i="1"/>
  <c r="S31" i="1"/>
  <c r="CA31" i="1"/>
  <c r="CB31" i="1"/>
  <c r="AX31" i="1"/>
  <c r="CI31" i="1"/>
  <c r="AC31" i="5"/>
  <c r="AQ46" i="3"/>
  <c r="BG46" i="3" s="1"/>
  <c r="N46" i="1"/>
  <c r="BI46" i="1"/>
  <c r="CG46" i="1"/>
  <c r="CA46" i="1"/>
  <c r="CD46" i="1"/>
  <c r="BB46" i="1"/>
  <c r="BH46" i="1"/>
  <c r="BK46" i="1" s="1"/>
  <c r="CH46" i="1"/>
  <c r="BN46" i="1"/>
  <c r="BP46" i="1" s="1"/>
  <c r="BM46" i="1" s="1"/>
  <c r="CB46" i="1"/>
  <c r="CE46" i="1"/>
  <c r="O46" i="1"/>
  <c r="CI46" i="1"/>
  <c r="AX46" i="1"/>
  <c r="AI46" i="1"/>
  <c r="AJ46" i="1" s="1"/>
  <c r="AC46" i="5"/>
  <c r="AP40" i="3"/>
  <c r="BE40" i="3" s="1"/>
  <c r="BH40" i="1"/>
  <c r="BK40" i="1" s="1"/>
  <c r="CG40" i="1"/>
  <c r="AX40" i="1"/>
  <c r="CB40" i="1"/>
  <c r="N40" i="1"/>
  <c r="CD40" i="1"/>
  <c r="AI40" i="1"/>
  <c r="AJ40" i="1" s="1"/>
  <c r="CA40" i="1"/>
  <c r="CH40" i="1"/>
  <c r="AZ40" i="1"/>
  <c r="CI40" i="1"/>
  <c r="BB40" i="1"/>
  <c r="O40" i="1"/>
  <c r="BN40" i="1"/>
  <c r="CE40" i="1"/>
  <c r="BI40" i="1"/>
  <c r="S40" i="1"/>
  <c r="AC40" i="5"/>
  <c r="AQ40" i="3"/>
  <c r="AR40" i="3" s="1"/>
  <c r="BD40" i="3"/>
  <c r="BG40" i="1"/>
  <c r="AP40" i="1"/>
  <c r="AB40" i="5" s="1"/>
  <c r="W40" i="5"/>
  <c r="X40" i="5"/>
  <c r="Y40" i="5"/>
  <c r="K40" i="1"/>
  <c r="AQ88" i="3"/>
  <c r="AP88" i="3"/>
  <c r="BE88" i="3" s="1"/>
  <c r="BF88" i="3" s="1"/>
  <c r="O88" i="1"/>
  <c r="BB88" i="1"/>
  <c r="CG88" i="1"/>
  <c r="N88" i="1"/>
  <c r="BH88" i="1"/>
  <c r="BK88" i="1" s="1"/>
  <c r="CH88" i="1"/>
  <c r="BI88" i="1"/>
  <c r="CI88" i="1"/>
  <c r="S88" i="1"/>
  <c r="BN88" i="1"/>
  <c r="CA88" i="1"/>
  <c r="CD88" i="1"/>
  <c r="AZ88" i="1"/>
  <c r="CE88" i="1"/>
  <c r="AI88" i="1"/>
  <c r="AJ88" i="1" s="1"/>
  <c r="AX88" i="1"/>
  <c r="CB88" i="1"/>
  <c r="X88" i="5"/>
  <c r="Y88" i="5"/>
  <c r="AC88" i="5"/>
  <c r="BD88" i="3"/>
  <c r="BG88" i="1"/>
  <c r="AP88" i="1"/>
  <c r="AB88" i="5" s="1"/>
  <c r="K88" i="1"/>
  <c r="W88" i="5"/>
  <c r="BT33" i="1"/>
  <c r="BF33" i="1"/>
  <c r="BO33" i="1" s="1" a="1"/>
  <c r="BO33" i="1" s="1"/>
  <c r="CC33" i="1"/>
  <c r="BE33" i="1"/>
  <c r="AL33" i="1"/>
  <c r="S33" i="5"/>
  <c r="AM33" i="1"/>
  <c r="AK33" i="1"/>
  <c r="N19" i="1"/>
  <c r="AZ19" i="1"/>
  <c r="CB19" i="1"/>
  <c r="S19" i="1"/>
  <c r="BI19" i="1"/>
  <c r="CH19" i="1"/>
  <c r="CI19" i="1"/>
  <c r="O19" i="1"/>
  <c r="BN19" i="1"/>
  <c r="BP19" i="1" s="1"/>
  <c r="BM19" i="1" s="1"/>
  <c r="CA19" i="1"/>
  <c r="BB19" i="1"/>
  <c r="BH19" i="1"/>
  <c r="BK19" i="1" s="1"/>
  <c r="CG19" i="1"/>
  <c r="CE19" i="1"/>
  <c r="AX19" i="1"/>
  <c r="CD19" i="1"/>
  <c r="AC19" i="5"/>
  <c r="AP64" i="3"/>
  <c r="BE64" i="3" s="1"/>
  <c r="BH64" i="1"/>
  <c r="BK64" i="1" s="1"/>
  <c r="CB64" i="1"/>
  <c r="AX64" i="1"/>
  <c r="CA64" i="1"/>
  <c r="AI64" i="1"/>
  <c r="AJ64" i="1" s="1"/>
  <c r="BN64" i="1"/>
  <c r="BP64" i="1" s="1"/>
  <c r="BM64" i="1" s="1"/>
  <c r="CH64" i="1"/>
  <c r="CD64" i="1"/>
  <c r="CE64" i="1"/>
  <c r="BI64" i="1"/>
  <c r="CG64" i="1"/>
  <c r="CI64" i="1"/>
  <c r="BB64" i="1"/>
  <c r="BD64" i="3"/>
  <c r="AQ64" i="3"/>
  <c r="BG64" i="3" s="1"/>
  <c r="K64" i="1"/>
  <c r="X64" i="5"/>
  <c r="BG64" i="1"/>
  <c r="AP64" i="1"/>
  <c r="AB64" i="5" s="1"/>
  <c r="AZ64" i="1"/>
  <c r="Y64" i="5"/>
  <c r="AC64" i="5"/>
  <c r="W64" i="5"/>
  <c r="AP66" i="3"/>
  <c r="BE66" i="3" s="1"/>
  <c r="AI66" i="1"/>
  <c r="AJ66" i="1" s="1"/>
  <c r="AZ66" i="1"/>
  <c r="CB66" i="1"/>
  <c r="CH66" i="1"/>
  <c r="AX66" i="1"/>
  <c r="CA66" i="1"/>
  <c r="CE66" i="1"/>
  <c r="BB66" i="1"/>
  <c r="BH66" i="1"/>
  <c r="BK66" i="1" s="1"/>
  <c r="CG66" i="1"/>
  <c r="N66" i="1"/>
  <c r="O66" i="1"/>
  <c r="BN66" i="1"/>
  <c r="BP66" i="1" s="1"/>
  <c r="BM66" i="1" s="1"/>
  <c r="CD66" i="1"/>
  <c r="CI66" i="1"/>
  <c r="BI66" i="1"/>
  <c r="K66" i="1"/>
  <c r="AQ66" i="3"/>
  <c r="BG66" i="3" s="1"/>
  <c r="BD66" i="3"/>
  <c r="BG66" i="1"/>
  <c r="AP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H83" i="1"/>
  <c r="BK83" i="1" s="1"/>
  <c r="BI83" i="1"/>
  <c r="CH83" i="1"/>
  <c r="O83" i="1"/>
  <c r="BB83" i="1"/>
  <c r="CI83" i="1"/>
  <c r="S83" i="1"/>
  <c r="BN83" i="1"/>
  <c r="BP83" i="1" s="1"/>
  <c r="BM83" i="1" s="1"/>
  <c r="CA83" i="1"/>
  <c r="AX83" i="1"/>
  <c r="CB83" i="1"/>
  <c r="AZ83" i="1"/>
  <c r="CE83" i="1"/>
  <c r="N83" i="1"/>
  <c r="CG83" i="1"/>
  <c r="CD83" i="1"/>
  <c r="Y83" i="5"/>
  <c r="X83" i="5"/>
  <c r="BD83" i="3"/>
  <c r="AP83" i="1"/>
  <c r="AB83" i="5" s="1"/>
  <c r="K83" i="1"/>
  <c r="BG83" i="1"/>
  <c r="W83" i="5"/>
  <c r="AC83" i="5"/>
  <c r="O78" i="1"/>
  <c r="BH78" i="1"/>
  <c r="BK78" i="1" s="1"/>
  <c r="BI78" i="1"/>
  <c r="CG78" i="1"/>
  <c r="S78" i="1"/>
  <c r="CH78" i="1"/>
  <c r="AI78" i="1"/>
  <c r="AJ78" i="1" s="1"/>
  <c r="CD78" i="1"/>
  <c r="CA78" i="1"/>
  <c r="CB78" i="1"/>
  <c r="CI78" i="1"/>
  <c r="BB78" i="1"/>
  <c r="BN78" i="1"/>
  <c r="BP78" i="1" s="1"/>
  <c r="BM78" i="1" s="1"/>
  <c r="N78" i="1"/>
  <c r="CE78" i="1"/>
  <c r="AX78" i="1"/>
  <c r="AC78" i="5"/>
  <c r="BN86" i="1"/>
  <c r="CI86" i="1"/>
  <c r="N86" i="1"/>
  <c r="AZ86" i="1"/>
  <c r="CE86" i="1"/>
  <c r="O86" i="1"/>
  <c r="BB86" i="1"/>
  <c r="CG86" i="1"/>
  <c r="S86" i="1"/>
  <c r="BH86" i="1"/>
  <c r="BK86" i="1" s="1"/>
  <c r="CH86" i="1"/>
  <c r="BI86" i="1"/>
  <c r="AI86" i="1"/>
  <c r="AJ86" i="1" s="1"/>
  <c r="AX86" i="1"/>
  <c r="CB86" i="1"/>
  <c r="CD86" i="1"/>
  <c r="CA86" i="1"/>
  <c r="AC86" i="5"/>
  <c r="AP35" i="3"/>
  <c r="BE35" i="3" s="1"/>
  <c r="CD35" i="1"/>
  <c r="O35" i="1"/>
  <c r="AZ35" i="1"/>
  <c r="CB35" i="1"/>
  <c r="CE35" i="1"/>
  <c r="BH35" i="1"/>
  <c r="BK35" i="1" s="1"/>
  <c r="CG35" i="1"/>
  <c r="BN35" i="1"/>
  <c r="BP35" i="1" s="1"/>
  <c r="BM35" i="1" s="1"/>
  <c r="AI35" i="1"/>
  <c r="AJ35" i="1" s="1"/>
  <c r="CA35" i="1"/>
  <c r="AX35" i="1"/>
  <c r="BI35" i="1"/>
  <c r="N35" i="1"/>
  <c r="S35" i="1"/>
  <c r="CH35" i="1"/>
  <c r="CI35" i="1"/>
  <c r="BB35" i="1"/>
  <c r="Y35" i="5"/>
  <c r="W35" i="5"/>
  <c r="AQ35" i="3"/>
  <c r="BG35" i="3" s="1"/>
  <c r="BO35" i="3" s="1"/>
  <c r="BS35" i="3" s="1"/>
  <c r="K35" i="1"/>
  <c r="BD35" i="3"/>
  <c r="BG35" i="1"/>
  <c r="AP35" i="1"/>
  <c r="AB35" i="5" s="1"/>
  <c r="X35" i="5"/>
  <c r="AC35" i="5"/>
  <c r="AR33" i="3"/>
  <c r="BL33" i="3"/>
  <c r="BI33" i="3"/>
  <c r="S126" i="5"/>
  <c r="AM126" i="1"/>
  <c r="AK126" i="1"/>
  <c r="AL126" i="1"/>
  <c r="AP17" i="3"/>
  <c r="BE17" i="3" s="1"/>
  <c r="CI17" i="1"/>
  <c r="AX17" i="1"/>
  <c r="AZ17" i="1"/>
  <c r="CA17" i="1"/>
  <c r="BB17" i="1"/>
  <c r="CD17" i="1"/>
  <c r="N17" i="1"/>
  <c r="BH17" i="1"/>
  <c r="BK17" i="1" s="1"/>
  <c r="CE17" i="1"/>
  <c r="S17" i="1"/>
  <c r="CG17" i="1"/>
  <c r="BN17" i="1"/>
  <c r="BP17" i="1" s="1"/>
  <c r="BM17" i="1" s="1"/>
  <c r="O17" i="1"/>
  <c r="CH17" i="1"/>
  <c r="BI17" i="1"/>
  <c r="CB17" i="1"/>
  <c r="Y17" i="5"/>
  <c r="AC17" i="5"/>
  <c r="X17" i="5"/>
  <c r="AQ17" i="3"/>
  <c r="BG17" i="3" s="1"/>
  <c r="BD17" i="3"/>
  <c r="BG17" i="1"/>
  <c r="W17" i="5"/>
  <c r="K17" i="1"/>
  <c r="AP17" i="1"/>
  <c r="AB17" i="5" s="1"/>
  <c r="AP38" i="3"/>
  <c r="BE38" i="3" s="1"/>
  <c r="N38" i="1"/>
  <c r="AZ38" i="1"/>
  <c r="CA38" i="1"/>
  <c r="S38" i="1"/>
  <c r="BI38" i="1"/>
  <c r="CG38" i="1"/>
  <c r="CH38" i="1"/>
  <c r="AI38" i="1"/>
  <c r="AJ38" i="1" s="1"/>
  <c r="BB38" i="1"/>
  <c r="BH38" i="1"/>
  <c r="BK38" i="1" s="1"/>
  <c r="CI38" i="1"/>
  <c r="BN38" i="1"/>
  <c r="BP38" i="1" s="1"/>
  <c r="BM38" i="1" s="1"/>
  <c r="O38" i="1"/>
  <c r="AX38" i="1"/>
  <c r="CB38" i="1"/>
  <c r="CD38" i="1"/>
  <c r="CE38" i="1"/>
  <c r="X38" i="5"/>
  <c r="Y38" i="5"/>
  <c r="AC38" i="5"/>
  <c r="W38" i="5"/>
  <c r="AP38" i="1"/>
  <c r="AB38" i="5" s="1"/>
  <c r="BD38" i="3"/>
  <c r="AQ38" i="3"/>
  <c r="BG38" i="3" s="1"/>
  <c r="BG38" i="1"/>
  <c r="K38" i="1"/>
  <c r="AP20" i="3"/>
  <c r="BE20" i="3" s="1"/>
  <c r="S20" i="1"/>
  <c r="BI20" i="1"/>
  <c r="CG20" i="1"/>
  <c r="AX20" i="1"/>
  <c r="CA20" i="1"/>
  <c r="CB20" i="1"/>
  <c r="CE20" i="1"/>
  <c r="N20" i="1"/>
  <c r="BH20" i="1"/>
  <c r="BK20" i="1" s="1"/>
  <c r="O20" i="1"/>
  <c r="CD20" i="1"/>
  <c r="CH20" i="1"/>
  <c r="AZ20" i="1"/>
  <c r="CI20" i="1"/>
  <c r="BN20" i="1"/>
  <c r="BP20" i="1" s="1"/>
  <c r="BM20" i="1" s="1"/>
  <c r="BB20" i="1"/>
  <c r="W20" i="5"/>
  <c r="AQ20" i="3"/>
  <c r="BG20" i="3" s="1"/>
  <c r="BO20" i="3" s="1"/>
  <c r="BS20" i="3" s="1"/>
  <c r="BD20" i="3"/>
  <c r="K20" i="1"/>
  <c r="AP20" i="1"/>
  <c r="AB20" i="5" s="1"/>
  <c r="BG20" i="1"/>
  <c r="Y20" i="5"/>
  <c r="X20" i="5"/>
  <c r="AC20" i="5"/>
  <c r="AP53" i="3"/>
  <c r="BE53" i="3" s="1"/>
  <c r="BF53" i="3" s="1"/>
  <c r="AQ53" i="3"/>
  <c r="BG53" i="3" s="1"/>
  <c r="CE53" i="1"/>
  <c r="CA53" i="1"/>
  <c r="N53" i="1"/>
  <c r="BB53" i="1"/>
  <c r="CB53" i="1"/>
  <c r="O53" i="1"/>
  <c r="BI53" i="1"/>
  <c r="CH53" i="1"/>
  <c r="CI53" i="1"/>
  <c r="AX53" i="1"/>
  <c r="CG53" i="1"/>
  <c r="BH53" i="1"/>
  <c r="BK53" i="1" s="1"/>
  <c r="CD53" i="1"/>
  <c r="BN53" i="1"/>
  <c r="BP53" i="1" s="1"/>
  <c r="BM53" i="1" s="1"/>
  <c r="AI53" i="1"/>
  <c r="AJ53" i="1" s="1"/>
  <c r="AC53" i="5"/>
  <c r="W53" i="5"/>
  <c r="K53" i="1"/>
  <c r="AP53" i="1"/>
  <c r="AB53" i="5" s="1"/>
  <c r="X53" i="5"/>
  <c r="AZ53" i="1"/>
  <c r="BD53" i="3"/>
  <c r="Y53" i="5"/>
  <c r="BG53" i="1"/>
  <c r="AP12" i="3"/>
  <c r="BE12" i="3" s="1"/>
  <c r="BI12" i="1"/>
  <c r="CG12" i="1"/>
  <c r="BN12" i="1"/>
  <c r="BP12" i="1" s="1"/>
  <c r="BM12" i="1" s="1"/>
  <c r="AI12" i="1"/>
  <c r="AJ12" i="1" s="1"/>
  <c r="CA12" i="1"/>
  <c r="AX12" i="1"/>
  <c r="CD12" i="1"/>
  <c r="CE12" i="1"/>
  <c r="CB12" i="1"/>
  <c r="CI12" i="1"/>
  <c r="N12" i="1"/>
  <c r="O12" i="1"/>
  <c r="BB12" i="1"/>
  <c r="BH12" i="1"/>
  <c r="BK12" i="1" s="1"/>
  <c r="CH12" i="1"/>
  <c r="BD12" i="3"/>
  <c r="AP12" i="1"/>
  <c r="AB12" i="5" s="1"/>
  <c r="AQ12" i="3"/>
  <c r="BG12" i="3" s="1"/>
  <c r="BO12" i="3" s="1"/>
  <c r="BS12" i="3" s="1"/>
  <c r="K12" i="1"/>
  <c r="X12" i="5"/>
  <c r="W12" i="5"/>
  <c r="BG12" i="1"/>
  <c r="AC12" i="5"/>
  <c r="Y12" i="5"/>
  <c r="AP21" i="3"/>
  <c r="BE21" i="3" s="1"/>
  <c r="CH21" i="1"/>
  <c r="BN21" i="1"/>
  <c r="BP21" i="1" s="1"/>
  <c r="BM21" i="1" s="1"/>
  <c r="CI21" i="1"/>
  <c r="CE21" i="1"/>
  <c r="N21" i="1"/>
  <c r="BB21" i="1"/>
  <c r="BI21" i="1"/>
  <c r="AI21" i="1"/>
  <c r="AJ21" i="1" s="1"/>
  <c r="CA21" i="1"/>
  <c r="CB21" i="1"/>
  <c r="CD21" i="1"/>
  <c r="AX21" i="1"/>
  <c r="CG21" i="1"/>
  <c r="BH21" i="1"/>
  <c r="BK21" i="1" s="1"/>
  <c r="O21" i="1"/>
  <c r="W21" i="5"/>
  <c r="AC21" i="5"/>
  <c r="AQ21" i="3"/>
  <c r="BG21" i="3" s="1"/>
  <c r="BO21" i="3" s="1"/>
  <c r="BS21" i="3" s="1"/>
  <c r="BD21" i="3"/>
  <c r="AP21" i="1"/>
  <c r="AB21" i="5" s="1"/>
  <c r="K21" i="1"/>
  <c r="Y21" i="5"/>
  <c r="X21" i="5"/>
  <c r="BG21" i="1"/>
  <c r="N6" i="1"/>
  <c r="CB6" i="1"/>
  <c r="BI6" i="1"/>
  <c r="CG6" i="1"/>
  <c r="CH6" i="1"/>
  <c r="BN6" i="1"/>
  <c r="BP6" i="1" s="1"/>
  <c r="BM6" i="1" s="1"/>
  <c r="CI6" i="1"/>
  <c r="O6" i="1"/>
  <c r="BH6" i="1"/>
  <c r="BK6" i="1" s="1"/>
  <c r="AX6" i="1"/>
  <c r="BB6" i="1"/>
  <c r="CD6" i="1"/>
  <c r="CE6" i="1"/>
  <c r="AI6" i="1"/>
  <c r="AJ6" i="1" s="1"/>
  <c r="CA6" i="1"/>
  <c r="AC6" i="5"/>
  <c r="AQ52" i="3"/>
  <c r="BG52" i="3" s="1"/>
  <c r="CB52" i="1"/>
  <c r="AI52" i="1"/>
  <c r="AJ52" i="1" s="1"/>
  <c r="CD52" i="1"/>
  <c r="BB52" i="1"/>
  <c r="CE52" i="1"/>
  <c r="O52" i="1"/>
  <c r="CI52" i="1"/>
  <c r="AX52" i="1"/>
  <c r="CA52" i="1"/>
  <c r="CG52" i="1"/>
  <c r="BI52" i="1"/>
  <c r="N52" i="1"/>
  <c r="BN52" i="1"/>
  <c r="BP52" i="1" s="1"/>
  <c r="BM52" i="1" s="1"/>
  <c r="CH52" i="1"/>
  <c r="BH52" i="1"/>
  <c r="BK52" i="1" s="1"/>
  <c r="AC52" i="5"/>
  <c r="AP29" i="3"/>
  <c r="BE29" i="3" s="1"/>
  <c r="AI29" i="1"/>
  <c r="AJ29" i="1" s="1"/>
  <c r="CH29" i="1"/>
  <c r="S29" i="1"/>
  <c r="CI29" i="1"/>
  <c r="BN29" i="1"/>
  <c r="BP29" i="1" s="1"/>
  <c r="BM29" i="1" s="1"/>
  <c r="N29" i="1"/>
  <c r="O29" i="1"/>
  <c r="AX29" i="1"/>
  <c r="CA29" i="1"/>
  <c r="CB29" i="1"/>
  <c r="CD29" i="1"/>
  <c r="BB29" i="1"/>
  <c r="CG29" i="1"/>
  <c r="CE29" i="1"/>
  <c r="BH29" i="1"/>
  <c r="BK29" i="1" s="1"/>
  <c r="BI29" i="1"/>
  <c r="BD29" i="3"/>
  <c r="AQ29" i="3"/>
  <c r="BG29" i="3" s="1"/>
  <c r="AP29" i="1"/>
  <c r="AB29" i="5" s="1"/>
  <c r="X29" i="5"/>
  <c r="AC29" i="5"/>
  <c r="K29" i="1"/>
  <c r="BG29" i="1"/>
  <c r="W29" i="5"/>
  <c r="Y29" i="5"/>
  <c r="BN29" i="3"/>
  <c r="AP68" i="3"/>
  <c r="BE68" i="3" s="1"/>
  <c r="CH68" i="1"/>
  <c r="BN68" i="1"/>
  <c r="BP68" i="1" s="1"/>
  <c r="BM68" i="1" s="1"/>
  <c r="AI68" i="1"/>
  <c r="AJ68" i="1" s="1"/>
  <c r="AX68" i="1"/>
  <c r="CA68" i="1"/>
  <c r="S68" i="1"/>
  <c r="BI68" i="1"/>
  <c r="CG68" i="1"/>
  <c r="CD68" i="1"/>
  <c r="CE68" i="1"/>
  <c r="CI68" i="1"/>
  <c r="BB68" i="1"/>
  <c r="N68" i="1"/>
  <c r="O68" i="1"/>
  <c r="CB68" i="1"/>
  <c r="Y68" i="5"/>
  <c r="BH68" i="1"/>
  <c r="BK68" i="1" s="1"/>
  <c r="AQ68" i="3"/>
  <c r="BG68" i="3" s="1"/>
  <c r="BO68" i="3" s="1"/>
  <c r="BS68" i="3" s="1"/>
  <c r="BD68" i="3"/>
  <c r="AZ68" i="1"/>
  <c r="BG68" i="1"/>
  <c r="K68" i="1"/>
  <c r="AP68" i="1"/>
  <c r="AB68" i="5" s="1"/>
  <c r="W68" i="5"/>
  <c r="X68" i="5"/>
  <c r="AC68" i="5"/>
  <c r="AP95" i="3"/>
  <c r="BE95" i="3" s="1"/>
  <c r="S95" i="1"/>
  <c r="BH95" i="1"/>
  <c r="BK95" i="1" s="1"/>
  <c r="AX95" i="1"/>
  <c r="CA95" i="1"/>
  <c r="CB95" i="1"/>
  <c r="AZ95" i="1"/>
  <c r="CD95" i="1"/>
  <c r="O95" i="1"/>
  <c r="BB95" i="1"/>
  <c r="CG95" i="1"/>
  <c r="BI95" i="1"/>
  <c r="CH95" i="1"/>
  <c r="CI95" i="1"/>
  <c r="AI95" i="1"/>
  <c r="AJ95" i="1" s="1"/>
  <c r="BN95" i="1"/>
  <c r="BP95" i="1" s="1"/>
  <c r="BM95" i="1" s="1"/>
  <c r="N95" i="1"/>
  <c r="X95" i="5"/>
  <c r="W95" i="5"/>
  <c r="CE95" i="1"/>
  <c r="BD95" i="3"/>
  <c r="Y95" i="5"/>
  <c r="AQ95" i="3"/>
  <c r="BG95" i="3" s="1"/>
  <c r="BG95" i="1"/>
  <c r="AP95" i="1"/>
  <c r="AB95" i="5" s="1"/>
  <c r="AC95" i="5"/>
  <c r="K95" i="1"/>
  <c r="AP61" i="3"/>
  <c r="BE61" i="3" s="1"/>
  <c r="BI61" i="1"/>
  <c r="BJ61" i="1" s="1"/>
  <c r="BN61" i="1"/>
  <c r="BP61" i="1" s="1"/>
  <c r="BM61" i="1" s="1"/>
  <c r="CI61" i="1"/>
  <c r="BB61" i="1"/>
  <c r="CG61" i="1"/>
  <c r="S61" i="1"/>
  <c r="BH61" i="1"/>
  <c r="BK61" i="1" s="1"/>
  <c r="CH61" i="1"/>
  <c r="N61" i="1"/>
  <c r="AZ61" i="1"/>
  <c r="CD61" i="1"/>
  <c r="O61" i="1"/>
  <c r="AI61" i="1"/>
  <c r="AJ61" i="1" s="1"/>
  <c r="CA61" i="1"/>
  <c r="CB61" i="1"/>
  <c r="AX61" i="1"/>
  <c r="CE61" i="1"/>
  <c r="X61" i="5"/>
  <c r="Y61" i="5"/>
  <c r="AC61" i="5"/>
  <c r="W61" i="5"/>
  <c r="K61" i="1"/>
  <c r="AQ61" i="3"/>
  <c r="BG61" i="3" s="1"/>
  <c r="BO61" i="3" s="1"/>
  <c r="BS61" i="3" s="1"/>
  <c r="BD61" i="3"/>
  <c r="AP61" i="1"/>
  <c r="AB61" i="5" s="1"/>
  <c r="BG61" i="1"/>
  <c r="AY33" i="3"/>
  <c r="CG16" i="1"/>
  <c r="BB16" i="1"/>
  <c r="CE16" i="1"/>
  <c r="S16" i="1"/>
  <c r="BH16" i="1"/>
  <c r="BK16" i="1" s="1"/>
  <c r="CI16" i="1"/>
  <c r="CA16" i="1"/>
  <c r="AX16" i="1"/>
  <c r="CB16" i="1"/>
  <c r="AZ16" i="1"/>
  <c r="CH16" i="1"/>
  <c r="O16" i="1"/>
  <c r="BI16" i="1"/>
  <c r="N16" i="1"/>
  <c r="AI16" i="1"/>
  <c r="AJ16" i="1" s="1"/>
  <c r="CD16" i="1"/>
  <c r="BN16" i="1"/>
  <c r="BP16" i="1" s="1"/>
  <c r="BM16" i="1" s="1"/>
  <c r="AC16" i="5"/>
  <c r="AP10" i="3"/>
  <c r="BE10" i="3" s="1"/>
  <c r="AI10" i="1"/>
  <c r="AJ10" i="1" s="1"/>
  <c r="CH10" i="1"/>
  <c r="CG10" i="1"/>
  <c r="CI10" i="1"/>
  <c r="AX10" i="1"/>
  <c r="CA10" i="1"/>
  <c r="CD10" i="1"/>
  <c r="O10" i="1"/>
  <c r="BH10" i="1"/>
  <c r="BK10" i="1" s="1"/>
  <c r="BI10" i="1"/>
  <c r="CB10" i="1"/>
  <c r="CE10" i="1"/>
  <c r="BB10" i="1"/>
  <c r="N10" i="1"/>
  <c r="S10" i="1"/>
  <c r="Y10" i="5"/>
  <c r="X10" i="5"/>
  <c r="BN10" i="1"/>
  <c r="BP10" i="1" s="1"/>
  <c r="BM10" i="1" s="1"/>
  <c r="W10" i="5"/>
  <c r="BD10" i="3"/>
  <c r="AQ10" i="3"/>
  <c r="BG10" i="3" s="1"/>
  <c r="K10" i="1"/>
  <c r="BG10" i="1"/>
  <c r="AP10" i="1"/>
  <c r="AB10" i="5" s="1"/>
  <c r="AC10" i="5"/>
  <c r="N63" i="1"/>
  <c r="AI63" i="1"/>
  <c r="AJ63" i="1" s="1"/>
  <c r="CG63" i="1"/>
  <c r="CH63" i="1"/>
  <c r="AX63" i="1"/>
  <c r="BH63" i="1"/>
  <c r="BK63" i="1" s="1"/>
  <c r="CD63" i="1"/>
  <c r="BB63" i="1"/>
  <c r="BI63" i="1"/>
  <c r="O63" i="1"/>
  <c r="BN63" i="1"/>
  <c r="BP63" i="1" s="1"/>
  <c r="BM63" i="1" s="1"/>
  <c r="CA63" i="1"/>
  <c r="CE63" i="1"/>
  <c r="CI63" i="1"/>
  <c r="CB63" i="1"/>
  <c r="AC63" i="5"/>
  <c r="AP49" i="3"/>
  <c r="BE49" i="3" s="1"/>
  <c r="BF49" i="3" s="1"/>
  <c r="AQ49" i="3"/>
  <c r="BG49" i="3" s="1"/>
  <c r="CA49" i="1"/>
  <c r="K49" i="1"/>
  <c r="BB49" i="1"/>
  <c r="CD49" i="1"/>
  <c r="AI49" i="1"/>
  <c r="AJ49" i="1" s="1"/>
  <c r="CG49" i="1"/>
  <c r="BN49" i="1"/>
  <c r="BP49" i="1" s="1"/>
  <c r="BM49" i="1" s="1"/>
  <c r="BH49" i="1"/>
  <c r="BK49" i="1" s="1"/>
  <c r="BI49" i="1"/>
  <c r="N49" i="1"/>
  <c r="CB49" i="1"/>
  <c r="AX49" i="1"/>
  <c r="CH49" i="1"/>
  <c r="CI49" i="1"/>
  <c r="W49" i="5"/>
  <c r="O49" i="1"/>
  <c r="X49" i="5"/>
  <c r="Y49" i="5"/>
  <c r="CE49" i="1"/>
  <c r="AC49" i="5"/>
  <c r="BD49" i="3"/>
  <c r="AP49" i="1"/>
  <c r="AB49" i="5" s="1"/>
  <c r="BG49" i="1"/>
  <c r="AQ112" i="3"/>
  <c r="BG112" i="3" s="1"/>
  <c r="AI112" i="1"/>
  <c r="AJ112" i="1" s="1"/>
  <c r="BN112" i="1"/>
  <c r="BP112" i="1" s="1"/>
  <c r="BM112" i="1" s="1"/>
  <c r="CI112" i="1"/>
  <c r="AX112" i="1"/>
  <c r="CB112" i="1"/>
  <c r="BB112" i="1"/>
  <c r="CD112" i="1"/>
  <c r="N112" i="1"/>
  <c r="BH112" i="1"/>
  <c r="BK112" i="1" s="1"/>
  <c r="CE112" i="1"/>
  <c r="CG112" i="1"/>
  <c r="CH112" i="1"/>
  <c r="BI112" i="1"/>
  <c r="CA112" i="1"/>
  <c r="O112" i="1"/>
  <c r="AC112" i="5"/>
  <c r="AP129" i="3"/>
  <c r="BE129" i="3" s="1"/>
  <c r="S129" i="1"/>
  <c r="BI129" i="1"/>
  <c r="CG129" i="1"/>
  <c r="CH129" i="1"/>
  <c r="AI129" i="1"/>
  <c r="AJ129" i="1" s="1"/>
  <c r="BN129" i="1"/>
  <c r="BP129" i="1" s="1"/>
  <c r="BM129" i="1" s="1"/>
  <c r="CI129" i="1"/>
  <c r="AX129" i="1"/>
  <c r="N129" i="1"/>
  <c r="CB129" i="1"/>
  <c r="BB129" i="1"/>
  <c r="BH129" i="1"/>
  <c r="BK129" i="1" s="1"/>
  <c r="CE129" i="1"/>
  <c r="O129" i="1"/>
  <c r="CA129" i="1"/>
  <c r="CD129" i="1"/>
  <c r="AQ129" i="3"/>
  <c r="BG129" i="3" s="1"/>
  <c r="BO129" i="3" s="1"/>
  <c r="BS129" i="3" s="1"/>
  <c r="BD129" i="3"/>
  <c r="AP129" i="1"/>
  <c r="AB129" i="5" s="1"/>
  <c r="K129" i="1"/>
  <c r="BG129" i="1"/>
  <c r="AC129" i="5"/>
  <c r="Y129" i="5"/>
  <c r="X129" i="5"/>
  <c r="W129" i="5"/>
  <c r="AP87" i="3"/>
  <c r="BE87" i="3" s="1"/>
  <c r="AI87" i="1"/>
  <c r="AJ87" i="1" s="1"/>
  <c r="AX87" i="1"/>
  <c r="CA87" i="1"/>
  <c r="CB87" i="1"/>
  <c r="N87" i="1"/>
  <c r="CE87" i="1"/>
  <c r="O87" i="1"/>
  <c r="BB87" i="1"/>
  <c r="BH87" i="1"/>
  <c r="BK87" i="1" s="1"/>
  <c r="CG87" i="1"/>
  <c r="BN87" i="1"/>
  <c r="CI87" i="1"/>
  <c r="AZ87" i="1"/>
  <c r="BI87" i="1"/>
  <c r="CH87" i="1"/>
  <c r="W87" i="5"/>
  <c r="CD87" i="1"/>
  <c r="S87" i="1"/>
  <c r="BD87" i="3"/>
  <c r="AQ87" i="3"/>
  <c r="BG87" i="1"/>
  <c r="AP87" i="1"/>
  <c r="AB87" i="5" s="1"/>
  <c r="K87" i="1"/>
  <c r="AC87" i="5"/>
  <c r="X87" i="5"/>
  <c r="Y87" i="5"/>
  <c r="CA13" i="1"/>
  <c r="CB13" i="1"/>
  <c r="O13" i="1"/>
  <c r="BH13" i="1"/>
  <c r="BK13" i="1" s="1"/>
  <c r="CE13" i="1"/>
  <c r="BN13" i="1"/>
  <c r="BP13" i="1" s="1"/>
  <c r="BM13" i="1" s="1"/>
  <c r="AX13" i="1"/>
  <c r="CD13" i="1"/>
  <c r="CH13" i="1"/>
  <c r="CI13" i="1"/>
  <c r="BB13" i="1"/>
  <c r="N13" i="1"/>
  <c r="AI13" i="1"/>
  <c r="AJ13" i="1" s="1"/>
  <c r="BI13" i="1"/>
  <c r="CG13" i="1"/>
  <c r="AC13" i="5"/>
  <c r="AP22" i="3"/>
  <c r="BE22" i="3" s="1"/>
  <c r="CA22" i="1"/>
  <c r="AX22" i="1"/>
  <c r="N22" i="1"/>
  <c r="CD22" i="1"/>
  <c r="CB22" i="1"/>
  <c r="CE22" i="1"/>
  <c r="BH22" i="1"/>
  <c r="BK22" i="1" s="1"/>
  <c r="CG22" i="1"/>
  <c r="CI22" i="1"/>
  <c r="BN22" i="1"/>
  <c r="BP22" i="1" s="1"/>
  <c r="BM22" i="1" s="1"/>
  <c r="BB22" i="1"/>
  <c r="BI22" i="1"/>
  <c r="O22" i="1"/>
  <c r="AI22" i="1"/>
  <c r="AJ22" i="1" s="1"/>
  <c r="W22" i="5"/>
  <c r="Y22" i="5"/>
  <c r="X22" i="5"/>
  <c r="CH22" i="1"/>
  <c r="AQ22" i="3"/>
  <c r="BG22" i="3" s="1"/>
  <c r="BO22" i="3" s="1"/>
  <c r="BS22" i="3" s="1"/>
  <c r="BD22" i="3"/>
  <c r="AP22" i="1"/>
  <c r="AB22" i="5" s="1"/>
  <c r="AZ22" i="1"/>
  <c r="BG22" i="1"/>
  <c r="K22" i="1"/>
  <c r="AC22" i="5"/>
  <c r="BN124" i="1"/>
  <c r="BP124" i="1" s="1"/>
  <c r="BM124" i="1" s="1"/>
  <c r="CI124" i="1"/>
  <c r="O124" i="1"/>
  <c r="BB124" i="1"/>
  <c r="CD124" i="1"/>
  <c r="BH124" i="1"/>
  <c r="BK124" i="1" s="1"/>
  <c r="CE124" i="1"/>
  <c r="S124" i="1"/>
  <c r="CA124" i="1"/>
  <c r="AX124" i="1"/>
  <c r="CB124" i="1"/>
  <c r="AZ124" i="1"/>
  <c r="CG124" i="1"/>
  <c r="BI124" i="1"/>
  <c r="AC124" i="5"/>
  <c r="N124" i="1"/>
  <c r="CH124" i="1"/>
  <c r="AQ50" i="3"/>
  <c r="BG50" i="3" s="1"/>
  <c r="AP50" i="3"/>
  <c r="BE50" i="3" s="1"/>
  <c r="N50" i="1"/>
  <c r="CE50" i="1"/>
  <c r="O50" i="1"/>
  <c r="BI50" i="1"/>
  <c r="BN50" i="1"/>
  <c r="BP50" i="1" s="1"/>
  <c r="BM50" i="1" s="1"/>
  <c r="CA50" i="1"/>
  <c r="AI50" i="1"/>
  <c r="AJ50" i="1" s="1"/>
  <c r="CB50" i="1"/>
  <c r="CD50" i="1"/>
  <c r="CH50" i="1"/>
  <c r="BB50" i="1"/>
  <c r="CI50" i="1"/>
  <c r="CG50" i="1"/>
  <c r="AX50" i="1"/>
  <c r="BH50" i="1"/>
  <c r="BK50" i="1" s="1"/>
  <c r="Y50" i="5"/>
  <c r="BD50" i="3"/>
  <c r="K50" i="1"/>
  <c r="W50" i="5"/>
  <c r="BG50" i="1"/>
  <c r="X50" i="5"/>
  <c r="AP50" i="1"/>
  <c r="AB50" i="5" s="1"/>
  <c r="AC50" i="5"/>
  <c r="AP67" i="3"/>
  <c r="N67" i="1"/>
  <c r="BB67" i="1"/>
  <c r="CE67" i="1"/>
  <c r="BH67" i="1"/>
  <c r="BK67" i="1" s="1"/>
  <c r="CG67" i="1"/>
  <c r="O67" i="1"/>
  <c r="BI67" i="1"/>
  <c r="CH67" i="1"/>
  <c r="AX67" i="1"/>
  <c r="CB67" i="1"/>
  <c r="AI67" i="1"/>
  <c r="AJ67" i="1" s="1"/>
  <c r="CA67" i="1"/>
  <c r="CD67" i="1"/>
  <c r="CI67" i="1"/>
  <c r="BN67" i="1"/>
  <c r="BP67" i="1" s="1"/>
  <c r="BM67" i="1" s="1"/>
  <c r="W67" i="5"/>
  <c r="X67" i="5"/>
  <c r="Y67" i="5"/>
  <c r="AQ67" i="3"/>
  <c r="BD67" i="3"/>
  <c r="AZ67" i="1"/>
  <c r="BG67" i="1"/>
  <c r="AP67" i="1"/>
  <c r="AB67" i="5" s="1"/>
  <c r="K67" i="1"/>
  <c r="AC67" i="5"/>
  <c r="AP121" i="3"/>
  <c r="BE121" i="3" s="1"/>
  <c r="S121" i="1"/>
  <c r="BH121" i="1"/>
  <c r="BK121" i="1" s="1"/>
  <c r="AX121" i="1"/>
  <c r="CA121" i="1"/>
  <c r="BB121" i="1"/>
  <c r="CE121" i="1"/>
  <c r="N121" i="1"/>
  <c r="BI121" i="1"/>
  <c r="O121" i="1"/>
  <c r="BN121" i="1"/>
  <c r="BP121" i="1" s="1"/>
  <c r="BM121" i="1" s="1"/>
  <c r="AI121" i="1"/>
  <c r="AJ121" i="1" s="1"/>
  <c r="CB121" i="1"/>
  <c r="CG121" i="1"/>
  <c r="CI121" i="1"/>
  <c r="AZ121" i="1"/>
  <c r="CH121" i="1"/>
  <c r="X121" i="5"/>
  <c r="CD121" i="1"/>
  <c r="AQ121" i="3"/>
  <c r="BG121" i="3" s="1"/>
  <c r="BO121" i="3" s="1"/>
  <c r="BS121" i="3" s="1"/>
  <c r="BD121" i="3"/>
  <c r="AP121" i="1"/>
  <c r="AB121" i="5" s="1"/>
  <c r="K121" i="1"/>
  <c r="BG121" i="1"/>
  <c r="AC121" i="5"/>
  <c r="W121" i="5"/>
  <c r="Y121" i="5"/>
  <c r="AR126" i="3"/>
  <c r="AP41" i="3"/>
  <c r="BE41" i="3" s="1"/>
  <c r="CI41" i="1"/>
  <c r="BI41" i="1"/>
  <c r="AI41" i="1"/>
  <c r="AJ41" i="1" s="1"/>
  <c r="CG41" i="1"/>
  <c r="BN41" i="1"/>
  <c r="BP41" i="1" s="1"/>
  <c r="BM41" i="1" s="1"/>
  <c r="AX41" i="1"/>
  <c r="N41" i="1"/>
  <c r="BB41" i="1"/>
  <c r="O41" i="1"/>
  <c r="BH41" i="1"/>
  <c r="BK41" i="1" s="1"/>
  <c r="S41" i="1"/>
  <c r="AZ41" i="1"/>
  <c r="CE41" i="1"/>
  <c r="CA41" i="1"/>
  <c r="CD41" i="1"/>
  <c r="CH41" i="1"/>
  <c r="CB41" i="1"/>
  <c r="X41" i="5"/>
  <c r="Y41" i="5"/>
  <c r="AC41" i="5"/>
  <c r="K41" i="1"/>
  <c r="AP41" i="1"/>
  <c r="AB41" i="5" s="1"/>
  <c r="BD41" i="3"/>
  <c r="AQ41" i="3"/>
  <c r="BG41" i="3" s="1"/>
  <c r="BG41" i="1"/>
  <c r="W41" i="5"/>
  <c r="AP125" i="3"/>
  <c r="BE125" i="3" s="1"/>
  <c r="BN125" i="1"/>
  <c r="BP125" i="1" s="1"/>
  <c r="BM125" i="1" s="1"/>
  <c r="CH125" i="1"/>
  <c r="AI125" i="1"/>
  <c r="AJ125" i="1" s="1"/>
  <c r="CI125" i="1"/>
  <c r="O125" i="1"/>
  <c r="BI125" i="1"/>
  <c r="CG125" i="1"/>
  <c r="AX125" i="1"/>
  <c r="CA125" i="1"/>
  <c r="CD125" i="1"/>
  <c r="CB125" i="1"/>
  <c r="CE125" i="1"/>
  <c r="W125" i="5"/>
  <c r="Y125" i="5"/>
  <c r="N125" i="1"/>
  <c r="BB125" i="1"/>
  <c r="BH125" i="1"/>
  <c r="BK125" i="1" s="1"/>
  <c r="AP125" i="1"/>
  <c r="AB125" i="5" s="1"/>
  <c r="BD125" i="3"/>
  <c r="AQ125" i="3"/>
  <c r="BG125" i="3" s="1"/>
  <c r="BO125" i="3" s="1"/>
  <c r="BS125" i="3" s="1"/>
  <c r="K125" i="1"/>
  <c r="AC125" i="5"/>
  <c r="BG125" i="1"/>
  <c r="X125" i="5"/>
  <c r="AP23" i="3"/>
  <c r="BE23" i="3" s="1"/>
  <c r="BB23" i="1"/>
  <c r="CB23" i="1"/>
  <c r="O23" i="1"/>
  <c r="CD23" i="1"/>
  <c r="BH23" i="1"/>
  <c r="BK23" i="1" s="1"/>
  <c r="CE23" i="1"/>
  <c r="CG23" i="1"/>
  <c r="BN23" i="1"/>
  <c r="BP23" i="1" s="1"/>
  <c r="BM23" i="1" s="1"/>
  <c r="AI23" i="1"/>
  <c r="AJ23" i="1" s="1"/>
  <c r="AX23" i="1"/>
  <c r="CA23" i="1"/>
  <c r="N23" i="1"/>
  <c r="S23" i="1"/>
  <c r="CH23" i="1"/>
  <c r="CI23" i="1"/>
  <c r="BI23" i="1"/>
  <c r="AQ23" i="3"/>
  <c r="BG23" i="3" s="1"/>
  <c r="BD23" i="3"/>
  <c r="AZ23" i="1"/>
  <c r="AP23" i="1"/>
  <c r="AB23" i="5" s="1"/>
  <c r="K23" i="1"/>
  <c r="BG23" i="1"/>
  <c r="W23" i="5"/>
  <c r="AC23" i="5"/>
  <c r="Y23" i="5"/>
  <c r="X23" i="5"/>
  <c r="AX90" i="1"/>
  <c r="CA90" i="1"/>
  <c r="N90" i="1"/>
  <c r="BB90" i="1"/>
  <c r="CB90" i="1"/>
  <c r="O90" i="1"/>
  <c r="BH90" i="1"/>
  <c r="BK90" i="1" s="1"/>
  <c r="CD90" i="1"/>
  <c r="BI90" i="1"/>
  <c r="CE90" i="1"/>
  <c r="S90" i="1"/>
  <c r="CH90" i="1"/>
  <c r="BN90" i="1"/>
  <c r="BP90" i="1" s="1"/>
  <c r="BM90" i="1" s="1"/>
  <c r="CI90" i="1"/>
  <c r="AZ90" i="1"/>
  <c r="CG90" i="1"/>
  <c r="AC90" i="5"/>
  <c r="AQ96" i="3"/>
  <c r="AP96" i="3"/>
  <c r="CG96" i="1"/>
  <c r="BN96" i="1"/>
  <c r="BP96" i="1" s="1"/>
  <c r="BM96" i="1" s="1"/>
  <c r="CH96" i="1"/>
  <c r="AI96" i="1"/>
  <c r="AJ96" i="1" s="1"/>
  <c r="CI96" i="1"/>
  <c r="CA96" i="1"/>
  <c r="BB96" i="1"/>
  <c r="CB96" i="1"/>
  <c r="N96" i="1"/>
  <c r="BI96" i="1"/>
  <c r="CE96" i="1"/>
  <c r="O96" i="1"/>
  <c r="CD96" i="1"/>
  <c r="AX96" i="1"/>
  <c r="BH96" i="1"/>
  <c r="BK96" i="1" s="1"/>
  <c r="W96" i="5"/>
  <c r="Y96" i="5"/>
  <c r="BD96" i="3"/>
  <c r="X96" i="5"/>
  <c r="K96" i="1"/>
  <c r="AP96" i="1"/>
  <c r="AB96" i="5" s="1"/>
  <c r="BG96" i="1"/>
  <c r="AC96" i="5"/>
  <c r="AP69" i="3"/>
  <c r="BE69" i="3" s="1"/>
  <c r="CA69" i="1"/>
  <c r="CB69" i="1"/>
  <c r="N69" i="1"/>
  <c r="BB69" i="1"/>
  <c r="CD69" i="1"/>
  <c r="S69" i="1"/>
  <c r="CG69" i="1"/>
  <c r="CI69" i="1"/>
  <c r="BH69" i="1"/>
  <c r="BK69" i="1" s="1"/>
  <c r="BI69" i="1"/>
  <c r="O69" i="1"/>
  <c r="BN69" i="1"/>
  <c r="BP69" i="1" s="1"/>
  <c r="BM69" i="1" s="1"/>
  <c r="AI69" i="1"/>
  <c r="AJ69" i="1" s="1"/>
  <c r="AX69" i="1"/>
  <c r="CH69" i="1"/>
  <c r="CE69" i="1"/>
  <c r="Y69" i="5"/>
  <c r="AP69" i="1"/>
  <c r="AB69" i="5" s="1"/>
  <c r="AQ69" i="3"/>
  <c r="BG69" i="3" s="1"/>
  <c r="BO69" i="3" s="1"/>
  <c r="BS69" i="3" s="1"/>
  <c r="BD69" i="3"/>
  <c r="BG69" i="1"/>
  <c r="K69" i="1"/>
  <c r="W69" i="5"/>
  <c r="AC69" i="5"/>
  <c r="X69" i="5"/>
  <c r="AP82" i="3"/>
  <c r="BE82" i="3" s="1"/>
  <c r="N82" i="1"/>
  <c r="CA82" i="1"/>
  <c r="AZ82" i="1"/>
  <c r="AX82" i="1"/>
  <c r="CB82" i="1"/>
  <c r="CD82" i="1"/>
  <c r="BB82" i="1"/>
  <c r="CE82" i="1"/>
  <c r="O82" i="1"/>
  <c r="BI82" i="1"/>
  <c r="CG82" i="1"/>
  <c r="CH82" i="1"/>
  <c r="S82" i="1"/>
  <c r="BN82" i="1"/>
  <c r="BP82" i="1" s="1"/>
  <c r="BM82" i="1" s="1"/>
  <c r="CI82" i="1"/>
  <c r="AC82" i="5"/>
  <c r="BH82" i="1"/>
  <c r="BK82" i="1" s="1"/>
  <c r="W82" i="5"/>
  <c r="X82" i="5"/>
  <c r="Y82" i="5"/>
  <c r="BD82" i="3"/>
  <c r="AQ82" i="3"/>
  <c r="BG82" i="3" s="1"/>
  <c r="BO82" i="3" s="1"/>
  <c r="BS82" i="3" s="1"/>
  <c r="AP82" i="1"/>
  <c r="AB82" i="5" s="1"/>
  <c r="K82" i="1"/>
  <c r="BG82" i="1"/>
  <c r="AN33" i="1"/>
  <c r="AP48" i="3"/>
  <c r="BE48" i="3" s="1"/>
  <c r="BN48" i="1"/>
  <c r="BP48" i="1" s="1"/>
  <c r="BM48" i="1" s="1"/>
  <c r="CH48" i="1"/>
  <c r="BI48" i="1"/>
  <c r="BJ48" i="1" s="1"/>
  <c r="CD48" i="1"/>
  <c r="N48" i="1"/>
  <c r="BB48" i="1"/>
  <c r="CE48" i="1"/>
  <c r="CI48" i="1"/>
  <c r="AI48" i="1"/>
  <c r="AJ48" i="1" s="1"/>
  <c r="CB48" i="1"/>
  <c r="AX48" i="1"/>
  <c r="CG48" i="1"/>
  <c r="O48" i="1"/>
  <c r="CA48" i="1"/>
  <c r="BH48" i="1"/>
  <c r="BK48" i="1" s="1"/>
  <c r="AC48" i="5"/>
  <c r="AQ48" i="3"/>
  <c r="AR48" i="3" s="1"/>
  <c r="BD48" i="3"/>
  <c r="W48" i="5"/>
  <c r="K48" i="1"/>
  <c r="AP48" i="1"/>
  <c r="AB48" i="5" s="1"/>
  <c r="X48" i="5"/>
  <c r="Y48" i="5"/>
  <c r="BG48" i="1"/>
  <c r="AP24" i="3"/>
  <c r="BE24" i="3" s="1"/>
  <c r="CG24" i="1"/>
  <c r="BN24" i="1"/>
  <c r="BP24" i="1" s="1"/>
  <c r="BM24" i="1" s="1"/>
  <c r="CI24" i="1"/>
  <c r="AI24" i="1"/>
  <c r="AJ24" i="1" s="1"/>
  <c r="O24" i="1"/>
  <c r="BI24" i="1"/>
  <c r="CH24" i="1"/>
  <c r="S24" i="1"/>
  <c r="AX24" i="1"/>
  <c r="CB24" i="1"/>
  <c r="CD24" i="1"/>
  <c r="BH24" i="1"/>
  <c r="BK24" i="1" s="1"/>
  <c r="N24" i="1"/>
  <c r="CA24" i="1"/>
  <c r="CE24" i="1"/>
  <c r="BB24" i="1"/>
  <c r="Y24" i="5"/>
  <c r="W24" i="5"/>
  <c r="AC24" i="5"/>
  <c r="K24" i="1"/>
  <c r="AQ24" i="3"/>
  <c r="BG24" i="3" s="1"/>
  <c r="BO24" i="3" s="1"/>
  <c r="BS24" i="3" s="1"/>
  <c r="BD24" i="3"/>
  <c r="AP24" i="1"/>
  <c r="AB24" i="5" s="1"/>
  <c r="AZ24" i="1"/>
  <c r="BG24" i="1"/>
  <c r="X24" i="5"/>
  <c r="AP97" i="3"/>
  <c r="AQ97" i="3"/>
  <c r="N97" i="1"/>
  <c r="BH97" i="1"/>
  <c r="BK97" i="1" s="1"/>
  <c r="CE97" i="1"/>
  <c r="CB97" i="1"/>
  <c r="CD97" i="1"/>
  <c r="BB97" i="1"/>
  <c r="BI97" i="1"/>
  <c r="CG97" i="1"/>
  <c r="O97" i="1"/>
  <c r="CH97" i="1"/>
  <c r="AI97" i="1"/>
  <c r="AJ97" i="1" s="1"/>
  <c r="AX97" i="1"/>
  <c r="CA97" i="1"/>
  <c r="CI97" i="1"/>
  <c r="BN97" i="1"/>
  <c r="BP97" i="1" s="1"/>
  <c r="BM97" i="1" s="1"/>
  <c r="AC97" i="5"/>
  <c r="Y97" i="5"/>
  <c r="BD97" i="3"/>
  <c r="BG97" i="1"/>
  <c r="AP97" i="1"/>
  <c r="AB97" i="5" s="1"/>
  <c r="K97" i="1"/>
  <c r="X97" i="5"/>
  <c r="W97" i="5"/>
  <c r="N70" i="1"/>
  <c r="CA70" i="1"/>
  <c r="BI70" i="1"/>
  <c r="CG70" i="1"/>
  <c r="CH70" i="1"/>
  <c r="AI70" i="1"/>
  <c r="AJ70" i="1" s="1"/>
  <c r="BN70" i="1"/>
  <c r="BP70" i="1" s="1"/>
  <c r="BM70" i="1" s="1"/>
  <c r="CI70" i="1"/>
  <c r="BB70" i="1"/>
  <c r="CE70" i="1"/>
  <c r="BH70" i="1"/>
  <c r="BK70" i="1" s="1"/>
  <c r="O70" i="1"/>
  <c r="S70" i="1"/>
  <c r="CB70" i="1"/>
  <c r="AX70" i="1"/>
  <c r="CD70" i="1"/>
  <c r="AC70" i="5"/>
  <c r="BB39" i="1"/>
  <c r="CD39" i="1"/>
  <c r="AX39" i="1"/>
  <c r="AZ39" i="1"/>
  <c r="CB39" i="1"/>
  <c r="CE39" i="1"/>
  <c r="N39" i="1"/>
  <c r="BI39" i="1"/>
  <c r="CG39" i="1"/>
  <c r="BN39" i="1"/>
  <c r="BP39" i="1" s="1"/>
  <c r="BM39" i="1" s="1"/>
  <c r="CI39" i="1"/>
  <c r="S39" i="1"/>
  <c r="CA39" i="1"/>
  <c r="AI39" i="1"/>
  <c r="AJ39" i="1" s="1"/>
  <c r="O39" i="1"/>
  <c r="BH39" i="1"/>
  <c r="BK39" i="1" s="1"/>
  <c r="AC39" i="5"/>
  <c r="CH39" i="1"/>
  <c r="BH33" i="3"/>
  <c r="F33" i="5" s="1"/>
  <c r="E33" i="5"/>
  <c r="G33" i="5"/>
  <c r="W33" i="1"/>
  <c r="T33" i="1"/>
  <c r="U33" i="1"/>
  <c r="V33" i="1"/>
  <c r="BE126" i="1"/>
  <c r="BF126" i="1"/>
  <c r="CC126" i="1"/>
  <c r="BT126" i="1"/>
  <c r="AQ126" i="1"/>
  <c r="BR126" i="1" s="1"/>
  <c r="AP44" i="3"/>
  <c r="BE44" i="3" s="1"/>
  <c r="AQ44" i="3"/>
  <c r="BG44" i="3" s="1"/>
  <c r="CA44" i="1"/>
  <c r="N44" i="1"/>
  <c r="BB44" i="1"/>
  <c r="CE44" i="1"/>
  <c r="BI44" i="1"/>
  <c r="CG44" i="1"/>
  <c r="BH44" i="1"/>
  <c r="BK44" i="1" s="1"/>
  <c r="CI44" i="1"/>
  <c r="O44" i="1"/>
  <c r="BN44" i="1"/>
  <c r="BP44" i="1" s="1"/>
  <c r="BM44" i="1" s="1"/>
  <c r="AI44" i="1"/>
  <c r="AJ44" i="1" s="1"/>
  <c r="CB44" i="1"/>
  <c r="CD44" i="1"/>
  <c r="CH44" i="1"/>
  <c r="AX44" i="1"/>
  <c r="AC44" i="5"/>
  <c r="W44" i="5"/>
  <c r="BG44" i="1"/>
  <c r="BD44" i="3"/>
  <c r="K44" i="1"/>
  <c r="Y44" i="5"/>
  <c r="AP44" i="1"/>
  <c r="AB44" i="5" s="1"/>
  <c r="X44" i="5"/>
  <c r="AP37" i="3"/>
  <c r="BE37" i="3" s="1"/>
  <c r="AZ37" i="1"/>
  <c r="CA37" i="1"/>
  <c r="O37" i="1"/>
  <c r="BB37" i="1"/>
  <c r="CD37" i="1"/>
  <c r="N37" i="1"/>
  <c r="BI37" i="1"/>
  <c r="CI37" i="1"/>
  <c r="AI37" i="1"/>
  <c r="AJ37" i="1" s="1"/>
  <c r="AX37" i="1"/>
  <c r="CG37" i="1"/>
  <c r="CH37" i="1"/>
  <c r="BH37" i="1"/>
  <c r="BK37" i="1" s="1"/>
  <c r="BN37" i="1"/>
  <c r="BP37" i="1" s="1"/>
  <c r="BM37" i="1" s="1"/>
  <c r="CB37" i="1"/>
  <c r="S37" i="1"/>
  <c r="W37" i="5"/>
  <c r="X37" i="5"/>
  <c r="Y37" i="5"/>
  <c r="AC37" i="5"/>
  <c r="CE37" i="1"/>
  <c r="AQ37" i="3"/>
  <c r="BG37" i="3" s="1"/>
  <c r="BD37" i="3"/>
  <c r="AP37" i="1"/>
  <c r="AB37" i="5" s="1"/>
  <c r="K37" i="1"/>
  <c r="BG37" i="1"/>
  <c r="AP32" i="3"/>
  <c r="BE32" i="3" s="1"/>
  <c r="BH32" i="1"/>
  <c r="BK32" i="1" s="1"/>
  <c r="AX32" i="1"/>
  <c r="CA32" i="1"/>
  <c r="CD32" i="1"/>
  <c r="AZ32" i="1"/>
  <c r="CE32" i="1"/>
  <c r="BB32" i="1"/>
  <c r="CH32" i="1"/>
  <c r="O32" i="1"/>
  <c r="BN32" i="1"/>
  <c r="BP32" i="1" s="1"/>
  <c r="BM32" i="1" s="1"/>
  <c r="S32" i="1"/>
  <c r="CB32" i="1"/>
  <c r="CG32" i="1"/>
  <c r="CI32" i="1"/>
  <c r="N32" i="1"/>
  <c r="BI32" i="1"/>
  <c r="AQ32" i="3"/>
  <c r="BG32" i="3" s="1"/>
  <c r="BO32" i="3" s="1"/>
  <c r="BS32" i="3" s="1"/>
  <c r="BD32" i="3"/>
  <c r="AP32" i="1"/>
  <c r="AB32" i="5" s="1"/>
  <c r="W32" i="5"/>
  <c r="BG32" i="1"/>
  <c r="K32" i="1"/>
  <c r="X32" i="5"/>
  <c r="Y32" i="5"/>
  <c r="AC32" i="5"/>
  <c r="AP47" i="3"/>
  <c r="BE47" i="3" s="1"/>
  <c r="BI47" i="1"/>
  <c r="AX47" i="1"/>
  <c r="CB47" i="1"/>
  <c r="AI47" i="1"/>
  <c r="AJ47" i="1" s="1"/>
  <c r="CE47" i="1"/>
  <c r="CG47" i="1"/>
  <c r="O47" i="1"/>
  <c r="BN47" i="1"/>
  <c r="BP47" i="1" s="1"/>
  <c r="BM47" i="1" s="1"/>
  <c r="BB47" i="1"/>
  <c r="BH47" i="1"/>
  <c r="BK47" i="1" s="1"/>
  <c r="N47" i="1"/>
  <c r="CA47" i="1"/>
  <c r="CD47" i="1"/>
  <c r="CI47" i="1"/>
  <c r="CH47" i="1"/>
  <c r="BD47" i="3"/>
  <c r="AQ47" i="3"/>
  <c r="BG47" i="3" s="1"/>
  <c r="BO47" i="3" s="1"/>
  <c r="BS47" i="3" s="1"/>
  <c r="AP47" i="1"/>
  <c r="AB47" i="5" s="1"/>
  <c r="AC47" i="5"/>
  <c r="K47" i="1"/>
  <c r="BG47" i="1"/>
  <c r="W47" i="5"/>
  <c r="X47" i="5"/>
  <c r="Y47" i="5"/>
  <c r="CB25" i="1"/>
  <c r="CD25" i="1"/>
  <c r="N25" i="1"/>
  <c r="BH25" i="1"/>
  <c r="BK25" i="1" s="1"/>
  <c r="BB25" i="1"/>
  <c r="CI25" i="1"/>
  <c r="BI25" i="1"/>
  <c r="BN25" i="1"/>
  <c r="BP25" i="1" s="1"/>
  <c r="BM25" i="1" s="1"/>
  <c r="AI25" i="1"/>
  <c r="AJ25" i="1" s="1"/>
  <c r="CE25" i="1"/>
  <c r="CG25" i="1"/>
  <c r="CH25" i="1"/>
  <c r="AX25" i="1"/>
  <c r="S25" i="1"/>
  <c r="O25" i="1"/>
  <c r="AC25" i="5"/>
  <c r="CA25" i="1"/>
  <c r="AQ54" i="3"/>
  <c r="BG54" i="3" s="1"/>
  <c r="AP54" i="3"/>
  <c r="BE54" i="3" s="1"/>
  <c r="AI54" i="1"/>
  <c r="AJ54" i="1" s="1"/>
  <c r="CI54" i="1"/>
  <c r="BB54" i="1"/>
  <c r="CD54" i="1"/>
  <c r="BH54" i="1"/>
  <c r="BK54" i="1" s="1"/>
  <c r="CE54" i="1"/>
  <c r="BI54" i="1"/>
  <c r="BN54" i="1"/>
  <c r="BP54" i="1" s="1"/>
  <c r="BM54" i="1" s="1"/>
  <c r="CA54" i="1"/>
  <c r="N54" i="1"/>
  <c r="O54" i="1"/>
  <c r="CB54" i="1"/>
  <c r="CH54" i="1"/>
  <c r="AX54" i="1"/>
  <c r="CG54" i="1"/>
  <c r="X54" i="5"/>
  <c r="BD54" i="3"/>
  <c r="K54" i="1"/>
  <c r="AP54" i="1"/>
  <c r="AB54" i="5" s="1"/>
  <c r="BG54" i="1"/>
  <c r="W54" i="5"/>
  <c r="Y54" i="5"/>
  <c r="AC54" i="5"/>
  <c r="BH132" i="1"/>
  <c r="BK132" i="1" s="1"/>
  <c r="S132" i="1"/>
  <c r="BI132" i="1"/>
  <c r="CG132" i="1"/>
  <c r="CH132" i="1"/>
  <c r="BN132" i="1"/>
  <c r="BP132" i="1" s="1"/>
  <c r="BM132" i="1" s="1"/>
  <c r="CI132" i="1"/>
  <c r="AX132" i="1"/>
  <c r="AZ132" i="1"/>
  <c r="CB132" i="1"/>
  <c r="N132" i="1"/>
  <c r="O132" i="1"/>
  <c r="CA132" i="1"/>
  <c r="CD132" i="1"/>
  <c r="CE132" i="1"/>
  <c r="BB132" i="1"/>
  <c r="AC132" i="5"/>
  <c r="BH71" i="1"/>
  <c r="BK71" i="1" s="1"/>
  <c r="CE71" i="1"/>
  <c r="N71" i="1"/>
  <c r="CD71" i="1"/>
  <c r="BN71" i="1"/>
  <c r="O71" i="1"/>
  <c r="S71" i="1"/>
  <c r="AI71" i="1"/>
  <c r="AJ71" i="1" s="1"/>
  <c r="CA71" i="1"/>
  <c r="AX71" i="1"/>
  <c r="CB71" i="1"/>
  <c r="BB71" i="1"/>
  <c r="CH71" i="1"/>
  <c r="BI71" i="1"/>
  <c r="CI71" i="1"/>
  <c r="CG71" i="1"/>
  <c r="AC71" i="5"/>
  <c r="CA14" i="1"/>
  <c r="BI14" i="1"/>
  <c r="CH14" i="1"/>
  <c r="CI14" i="1"/>
  <c r="O14" i="1"/>
  <c r="BB14" i="1"/>
  <c r="CG14" i="1"/>
  <c r="BH14" i="1"/>
  <c r="BK14" i="1" s="1"/>
  <c r="BN14" i="1"/>
  <c r="BP14" i="1" s="1"/>
  <c r="BM14" i="1" s="1"/>
  <c r="AI14" i="1"/>
  <c r="AJ14" i="1" s="1"/>
  <c r="N14" i="1"/>
  <c r="CB14" i="1"/>
  <c r="CD14" i="1"/>
  <c r="AZ14" i="1"/>
  <c r="AX14" i="1"/>
  <c r="CE14" i="1"/>
  <c r="S14" i="1"/>
  <c r="AC14" i="5"/>
  <c r="AQ26" i="3"/>
  <c r="BG26" i="3" s="1"/>
  <c r="N26" i="1"/>
  <c r="BB26" i="1"/>
  <c r="CE26" i="1"/>
  <c r="AI26" i="1"/>
  <c r="AJ26" i="1" s="1"/>
  <c r="BI26" i="1"/>
  <c r="CH26" i="1"/>
  <c r="CI26" i="1"/>
  <c r="O26" i="1"/>
  <c r="BN26" i="1"/>
  <c r="BP26" i="1" s="1"/>
  <c r="BM26" i="1" s="1"/>
  <c r="CA26" i="1"/>
  <c r="AX26" i="1"/>
  <c r="CB26" i="1"/>
  <c r="BH26" i="1"/>
  <c r="BK26" i="1" s="1"/>
  <c r="AZ26" i="1"/>
  <c r="CD26" i="1"/>
  <c r="CG26" i="1"/>
  <c r="AC26" i="5"/>
  <c r="AP34" i="3"/>
  <c r="BE34" i="3" s="1"/>
  <c r="AX34" i="1"/>
  <c r="CB34" i="1"/>
  <c r="CA34" i="1"/>
  <c r="CD34" i="1"/>
  <c r="BB34" i="1"/>
  <c r="BI34" i="1"/>
  <c r="CH34" i="1"/>
  <c r="CI34" i="1"/>
  <c r="BH34" i="1"/>
  <c r="BK34" i="1" s="1"/>
  <c r="BN34" i="1"/>
  <c r="BP34" i="1" s="1"/>
  <c r="BM34" i="1" s="1"/>
  <c r="CE34" i="1"/>
  <c r="S34" i="1"/>
  <c r="CG34" i="1"/>
  <c r="AI34" i="1"/>
  <c r="AJ34" i="1" s="1"/>
  <c r="Y34" i="5"/>
  <c r="X34" i="5"/>
  <c r="W34" i="5"/>
  <c r="BD34" i="3"/>
  <c r="AQ34" i="3"/>
  <c r="BG34" i="3" s="1"/>
  <c r="K34" i="1"/>
  <c r="BG34" i="1"/>
  <c r="AC34" i="5"/>
  <c r="AP34" i="1"/>
  <c r="AB34" i="5" s="1"/>
  <c r="AP85" i="3"/>
  <c r="BE85" i="3" s="1"/>
  <c r="N85" i="1"/>
  <c r="CE85" i="1"/>
  <c r="AX85" i="1"/>
  <c r="CA85" i="1"/>
  <c r="CB85" i="1"/>
  <c r="O85" i="1"/>
  <c r="BB85" i="1"/>
  <c r="CG85" i="1"/>
  <c r="BH85" i="1"/>
  <c r="BK85" i="1" s="1"/>
  <c r="CH85" i="1"/>
  <c r="BN85" i="1"/>
  <c r="BI85" i="1"/>
  <c r="S85" i="1"/>
  <c r="CD85" i="1"/>
  <c r="CI85" i="1"/>
  <c r="AC85" i="5"/>
  <c r="AZ85" i="1"/>
  <c r="X85" i="5"/>
  <c r="Y85" i="5"/>
  <c r="W85" i="5"/>
  <c r="AQ85" i="3"/>
  <c r="BG85" i="3" s="1"/>
  <c r="BO85" i="3" s="1"/>
  <c r="BS85" i="3" s="1"/>
  <c r="BD85" i="3"/>
  <c r="BG85" i="1"/>
  <c r="K85" i="1"/>
  <c r="AP85" i="1"/>
  <c r="AB85" i="5" s="1"/>
  <c r="AP72" i="3"/>
  <c r="BE72" i="3" s="1"/>
  <c r="AI72" i="1"/>
  <c r="AJ72" i="1" s="1"/>
  <c r="BN72" i="1"/>
  <c r="BP72" i="1" s="1"/>
  <c r="BM72" i="1" s="1"/>
  <c r="CI72" i="1"/>
  <c r="N72" i="1"/>
  <c r="BH72" i="1"/>
  <c r="BK72" i="1" s="1"/>
  <c r="O72" i="1"/>
  <c r="BI72" i="1"/>
  <c r="CG72" i="1"/>
  <c r="CH72" i="1"/>
  <c r="CD72" i="1"/>
  <c r="CA72" i="1"/>
  <c r="CE72" i="1"/>
  <c r="AX72" i="1"/>
  <c r="BB72" i="1"/>
  <c r="CB72" i="1"/>
  <c r="AC72" i="5"/>
  <c r="W72" i="5"/>
  <c r="Y72" i="5"/>
  <c r="X72" i="5"/>
  <c r="BD72" i="3"/>
  <c r="AQ72" i="3"/>
  <c r="BG72" i="3" s="1"/>
  <c r="BO72" i="3" s="1"/>
  <c r="BS72" i="3" s="1"/>
  <c r="AP72" i="1"/>
  <c r="AB72" i="5" s="1"/>
  <c r="K72" i="1"/>
  <c r="BG72" i="1"/>
  <c r="AY126" i="3"/>
  <c r="BK126" i="3" s="1"/>
  <c r="T126" i="1"/>
  <c r="G126" i="5"/>
  <c r="W126" i="1"/>
  <c r="U126" i="1"/>
  <c r="V126" i="1"/>
  <c r="BB28" i="1"/>
  <c r="CE28" i="1"/>
  <c r="AX28" i="1"/>
  <c r="CA28" i="1"/>
  <c r="CB28" i="1"/>
  <c r="S28" i="1"/>
  <c r="BN28" i="1"/>
  <c r="BP28" i="1" s="1"/>
  <c r="BM28" i="1" s="1"/>
  <c r="CD28" i="1"/>
  <c r="BH28" i="1"/>
  <c r="BK28" i="1" s="1"/>
  <c r="BI28" i="1"/>
  <c r="CI28" i="1"/>
  <c r="CG28" i="1"/>
  <c r="CH28" i="1"/>
  <c r="AZ28" i="1"/>
  <c r="AC28" i="5"/>
  <c r="S74" i="1"/>
  <c r="BI74" i="1"/>
  <c r="BN74" i="1"/>
  <c r="BP74" i="1" s="1"/>
  <c r="BM74" i="1" s="1"/>
  <c r="CI74" i="1"/>
  <c r="AX74" i="1"/>
  <c r="O74" i="1"/>
  <c r="BH74" i="1"/>
  <c r="BK74" i="1" s="1"/>
  <c r="CG74" i="1"/>
  <c r="AZ74" i="1"/>
  <c r="CH74" i="1"/>
  <c r="BB74" i="1"/>
  <c r="CA74" i="1"/>
  <c r="CD74" i="1"/>
  <c r="CE74" i="1"/>
  <c r="N74" i="1"/>
  <c r="CB74" i="1"/>
  <c r="AC74" i="5"/>
  <c r="O9" i="1"/>
  <c r="BB9" i="1"/>
  <c r="CE9" i="1"/>
  <c r="CA9" i="1"/>
  <c r="AX9" i="1"/>
  <c r="CB9" i="1"/>
  <c r="CG9" i="1"/>
  <c r="CH9" i="1"/>
  <c r="BH9" i="1"/>
  <c r="BK9" i="1" s="1"/>
  <c r="N9" i="1"/>
  <c r="BN9" i="1"/>
  <c r="BP9" i="1" s="1"/>
  <c r="BM9" i="1" s="1"/>
  <c r="BI9" i="1"/>
  <c r="S9" i="1"/>
  <c r="CD9" i="1"/>
  <c r="AI9" i="1"/>
  <c r="AJ9" i="1" s="1"/>
  <c r="CI9" i="1"/>
  <c r="AC9" i="5"/>
  <c r="CA30" i="1"/>
  <c r="CB30" i="1"/>
  <c r="O30" i="1"/>
  <c r="BH30" i="1"/>
  <c r="BK30" i="1" s="1"/>
  <c r="CE30" i="1"/>
  <c r="N30" i="1"/>
  <c r="BI30" i="1"/>
  <c r="CI30" i="1"/>
  <c r="BN30" i="1"/>
  <c r="BP30" i="1" s="1"/>
  <c r="BM30" i="1" s="1"/>
  <c r="AI30" i="1"/>
  <c r="AJ30" i="1" s="1"/>
  <c r="AX30" i="1"/>
  <c r="CH30" i="1"/>
  <c r="BB30" i="1"/>
  <c r="CD30" i="1"/>
  <c r="CG30" i="1"/>
  <c r="S30" i="1"/>
  <c r="AC30" i="5"/>
  <c r="S15" i="1"/>
  <c r="BH15" i="1"/>
  <c r="BK15" i="1" s="1"/>
  <c r="CE15" i="1"/>
  <c r="AX15" i="1"/>
  <c r="CA15" i="1"/>
  <c r="N15" i="1"/>
  <c r="CD15" i="1"/>
  <c r="CH15" i="1"/>
  <c r="BB15" i="1"/>
  <c r="CI15" i="1"/>
  <c r="AI15" i="1"/>
  <c r="AJ15" i="1" s="1"/>
  <c r="CB15" i="1"/>
  <c r="AZ15" i="1"/>
  <c r="CG15" i="1"/>
  <c r="BN15" i="1"/>
  <c r="BP15" i="1" s="1"/>
  <c r="BM15" i="1" s="1"/>
  <c r="O15" i="1"/>
  <c r="BI15" i="1"/>
  <c r="AC15" i="5"/>
  <c r="AP27" i="3"/>
  <c r="BE27" i="3" s="1"/>
  <c r="AQ27" i="3"/>
  <c r="BG27" i="3" s="1"/>
  <c r="BH27" i="1"/>
  <c r="BK27" i="1" s="1"/>
  <c r="CE27" i="1"/>
  <c r="BI27" i="1"/>
  <c r="AI27" i="1"/>
  <c r="AJ27" i="1" s="1"/>
  <c r="BN27" i="1"/>
  <c r="BP27" i="1" s="1"/>
  <c r="BM27" i="1" s="1"/>
  <c r="CH27" i="1"/>
  <c r="BB27" i="1"/>
  <c r="CA27" i="1"/>
  <c r="CB27" i="1"/>
  <c r="AX27" i="1"/>
  <c r="CD27" i="1"/>
  <c r="AZ27" i="1"/>
  <c r="CI27" i="1"/>
  <c r="CG27" i="1"/>
  <c r="AR27" i="3"/>
  <c r="BD27" i="3"/>
  <c r="BF27" i="3" s="1"/>
  <c r="K27" i="1"/>
  <c r="BG27" i="1"/>
  <c r="AP27" i="1"/>
  <c r="AB27" i="5" s="1"/>
  <c r="AC27" i="5"/>
  <c r="W27" i="5"/>
  <c r="Y27" i="5"/>
  <c r="X27" i="5"/>
  <c r="AP42" i="3"/>
  <c r="BE42" i="3" s="1"/>
  <c r="AQ42" i="3"/>
  <c r="BG42" i="3" s="1"/>
  <c r="CD42" i="1"/>
  <c r="AX42" i="1"/>
  <c r="CA42" i="1"/>
  <c r="CB42" i="1"/>
  <c r="BB42" i="1"/>
  <c r="N42" i="1"/>
  <c r="O42" i="1"/>
  <c r="BN42" i="1"/>
  <c r="BP42" i="1" s="1"/>
  <c r="BM42" i="1" s="1"/>
  <c r="CE42" i="1"/>
  <c r="AI42" i="1"/>
  <c r="AJ42" i="1" s="1"/>
  <c r="CG42" i="1"/>
  <c r="CH42" i="1"/>
  <c r="CI42" i="1"/>
  <c r="BH42" i="1"/>
  <c r="BK42" i="1" s="1"/>
  <c r="BI42" i="1"/>
  <c r="X42" i="5"/>
  <c r="AC42" i="5"/>
  <c r="W42" i="5"/>
  <c r="BD42" i="3"/>
  <c r="AP42" i="1"/>
  <c r="AB42" i="5" s="1"/>
  <c r="BG42" i="1"/>
  <c r="K42" i="1"/>
  <c r="Y42" i="5"/>
  <c r="AP36" i="3"/>
  <c r="BE36" i="3" s="1"/>
  <c r="CH36" i="1"/>
  <c r="CI36" i="1"/>
  <c r="AI36" i="1"/>
  <c r="AJ36" i="1" s="1"/>
  <c r="BN36" i="1"/>
  <c r="BP36" i="1" s="1"/>
  <c r="BM36" i="1" s="1"/>
  <c r="BI36" i="1"/>
  <c r="S36" i="1"/>
  <c r="AX36" i="1"/>
  <c r="CA36" i="1"/>
  <c r="CB36" i="1"/>
  <c r="CD36" i="1"/>
  <c r="CE36" i="1"/>
  <c r="CG36" i="1"/>
  <c r="BB36" i="1"/>
  <c r="O36" i="1"/>
  <c r="BH36" i="1"/>
  <c r="BK36" i="1" s="1"/>
  <c r="AZ36" i="1"/>
  <c r="AC36" i="5"/>
  <c r="N36" i="1"/>
  <c r="W36" i="5"/>
  <c r="Y36" i="5"/>
  <c r="AQ36" i="3"/>
  <c r="BG36" i="3" s="1"/>
  <c r="BO36" i="3" s="1"/>
  <c r="BS36" i="3" s="1"/>
  <c r="BD36" i="3"/>
  <c r="X36" i="5"/>
  <c r="K36" i="1"/>
  <c r="AP36" i="1"/>
  <c r="AB36" i="5" s="1"/>
  <c r="BG36" i="1"/>
  <c r="AP84" i="3"/>
  <c r="BE84" i="3" s="1"/>
  <c r="CA84" i="1"/>
  <c r="AZ84" i="1"/>
  <c r="CD84" i="1"/>
  <c r="CE84" i="1"/>
  <c r="N84" i="1"/>
  <c r="BB84" i="1"/>
  <c r="O84" i="1"/>
  <c r="BH84" i="1"/>
  <c r="BK84" i="1" s="1"/>
  <c r="CG84" i="1"/>
  <c r="BI84" i="1"/>
  <c r="CH84" i="1"/>
  <c r="BN84" i="1"/>
  <c r="BP84" i="1" s="1"/>
  <c r="BM84" i="1" s="1"/>
  <c r="AX84" i="1"/>
  <c r="CB84" i="1"/>
  <c r="S84" i="1"/>
  <c r="CI84" i="1"/>
  <c r="Y84" i="5"/>
  <c r="AC84" i="5"/>
  <c r="BD84" i="3"/>
  <c r="AQ84" i="3"/>
  <c r="BG84" i="3" s="1"/>
  <c r="BO84" i="3" s="1"/>
  <c r="BS84" i="3" s="1"/>
  <c r="BG84" i="1"/>
  <c r="AP84" i="1"/>
  <c r="AB84" i="5" s="1"/>
  <c r="K84" i="1"/>
  <c r="W84" i="5"/>
  <c r="X84" i="5"/>
  <c r="CI75" i="1"/>
  <c r="AZ75" i="1"/>
  <c r="CA75" i="1"/>
  <c r="CB75" i="1"/>
  <c r="BI75" i="1"/>
  <c r="BH75" i="1"/>
  <c r="BK75" i="1" s="1"/>
  <c r="N75" i="1"/>
  <c r="O75" i="1"/>
  <c r="BN75" i="1"/>
  <c r="BP75" i="1" s="1"/>
  <c r="BM75" i="1" s="1"/>
  <c r="S75" i="1"/>
  <c r="AX75" i="1"/>
  <c r="CD75" i="1"/>
  <c r="CG75" i="1"/>
  <c r="BB75" i="1"/>
  <c r="CH75" i="1"/>
  <c r="CE75" i="1"/>
  <c r="AC75" i="5"/>
  <c r="BL126" i="3"/>
  <c r="BI126" i="3"/>
  <c r="AQ33" i="1"/>
  <c r="BR33" i="1" s="1"/>
  <c r="BH126" i="3"/>
  <c r="F126" i="5" s="1"/>
  <c r="E126" i="5"/>
  <c r="AN126" i="1"/>
  <c r="BO126" i="1" a="1"/>
  <c r="BO126" i="1" s="1"/>
  <c r="BC12" i="3"/>
  <c r="BM12" i="3" a="1"/>
  <c r="BM12" i="3" s="1"/>
  <c r="BQ12" i="3" s="1"/>
  <c r="BC125" i="3"/>
  <c r="BM125" i="3" a="1"/>
  <c r="BM125" i="3" s="1"/>
  <c r="BC48" i="3"/>
  <c r="BM48" i="3" a="1"/>
  <c r="BM48" i="3" s="1"/>
  <c r="BC47" i="3"/>
  <c r="BM47" i="3" a="1"/>
  <c r="BM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C18" i="3"/>
  <c r="BC20" i="3"/>
  <c r="BC21" i="3"/>
  <c r="BM21" i="3" a="1"/>
  <c r="BM21" i="3" s="1"/>
  <c r="BQ21" i="3" s="1"/>
  <c r="BC22" i="3"/>
  <c r="BM22" i="3" a="1"/>
  <c r="BM22" i="3" s="1"/>
  <c r="BC23" i="3"/>
  <c r="BM23" i="3" a="1"/>
  <c r="BM23" i="3" s="1"/>
  <c r="BQ23" i="3" s="1"/>
  <c r="BC24" i="3"/>
  <c r="BM24" i="3" a="1"/>
  <c r="BM24" i="3" s="1"/>
  <c r="BQ24" i="3" s="1"/>
  <c r="BM25" i="3" a="1"/>
  <c r="BM25" i="3" s="1"/>
  <c r="BQ25" i="3" s="1"/>
  <c r="BN27" i="3"/>
  <c r="BC27" i="3"/>
  <c r="AZ27" i="3"/>
  <c r="BM27" i="3" a="1"/>
  <c r="BM27" i="3" s="1"/>
  <c r="BM30" i="3" a="1"/>
  <c r="BM30" i="3" s="1"/>
  <c r="BQ30" i="3" s="1"/>
  <c r="BC64" i="3"/>
  <c r="BM64" i="3" a="1"/>
  <c r="BM64" i="3" s="1"/>
  <c r="BQ64" i="3" s="1"/>
  <c r="BC32" i="3"/>
  <c r="BM32" i="3" a="1"/>
  <c r="BM32" i="3" s="1"/>
  <c r="BC42" i="3"/>
  <c r="BM42" i="3" a="1"/>
  <c r="BM42" i="3" s="1"/>
  <c r="BN44" i="3"/>
  <c r="BC44" i="3"/>
  <c r="AZ44" i="3" s="1"/>
  <c r="BM44" i="3" a="1"/>
  <c r="BM44" i="3" s="1"/>
  <c r="BF44" i="3"/>
  <c r="BN45" i="3"/>
  <c r="BC45" i="3"/>
  <c r="AZ45" i="3" s="1"/>
  <c r="BM45" i="3" a="1"/>
  <c r="BM45" i="3" s="1"/>
  <c r="BQ45" i="3" s="1"/>
  <c r="BN49" i="3"/>
  <c r="BC49" i="3"/>
  <c r="AZ49" i="3" s="1"/>
  <c r="BM49" i="3" a="1"/>
  <c r="BM49" i="3" s="1"/>
  <c r="BQ49" i="3" s="1"/>
  <c r="BN53" i="3"/>
  <c r="BC53" i="3"/>
  <c r="AZ53" i="3" s="1"/>
  <c r="BM53" i="3" a="1"/>
  <c r="BM53" i="3" s="1"/>
  <c r="BQ53" i="3" s="1"/>
  <c r="BC50" i="3"/>
  <c r="AZ50" i="3"/>
  <c r="BF50" i="3"/>
  <c r="BM50" i="3" a="1"/>
  <c r="BM50" i="3" s="1"/>
  <c r="BQ50" i="3" s="1"/>
  <c r="BC96" i="3"/>
  <c r="BM96" i="3" a="1"/>
  <c r="BM96" i="3" s="1"/>
  <c r="BC97" i="3"/>
  <c r="BM97" i="3" a="1"/>
  <c r="BM97" i="3" s="1"/>
  <c r="BC54" i="3"/>
  <c r="BM54" i="3" a="1"/>
  <c r="BM54" i="3" s="1"/>
  <c r="BC34" i="3"/>
  <c r="BM34" i="3" a="1"/>
  <c r="BM34" i="3" s="1"/>
  <c r="BQ34" i="3" s="1"/>
  <c r="BC36" i="3"/>
  <c r="BM36" i="3" a="1"/>
  <c r="BM36" i="3" s="1"/>
  <c r="BQ36" i="3" s="1"/>
  <c r="BC37" i="3"/>
  <c r="BM37" i="3" a="1"/>
  <c r="BM37" i="3" s="1"/>
  <c r="BQ37" i="3" s="1"/>
  <c r="BC38" i="3"/>
  <c r="BL38" i="3" s="1"/>
  <c r="BM38" i="3" a="1"/>
  <c r="BM38" i="3" s="1"/>
  <c r="BQ38" i="3" s="1"/>
  <c r="BC40" i="3"/>
  <c r="BM40" i="3" a="1"/>
  <c r="BM40" i="3" s="1"/>
  <c r="BQ40" i="3" s="1"/>
  <c r="BC66" i="3"/>
  <c r="BM66" i="3" a="1"/>
  <c r="BM66" i="3" s="1"/>
  <c r="BQ66" i="3" s="1"/>
  <c r="BC29" i="3"/>
  <c r="BM29" i="3" a="1"/>
  <c r="BM29" i="3" s="1"/>
  <c r="BQ29" i="3" s="1"/>
  <c r="BC85" i="3"/>
  <c r="BM85" i="3" a="1"/>
  <c r="BM85" i="3" s="1"/>
  <c r="BC84" i="3"/>
  <c r="BC83" i="3"/>
  <c r="BM83" i="3" a="1"/>
  <c r="BM83" i="3" s="1"/>
  <c r="BC68" i="3"/>
  <c r="BM68" i="3" a="1"/>
  <c r="BM68" i="3" s="1"/>
  <c r="BQ68" i="3" s="1"/>
  <c r="BC67" i="3"/>
  <c r="BM67" i="3" a="1"/>
  <c r="BM67" i="3" s="1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M72" i="3" a="1"/>
  <c r="BM72" i="3" s="1"/>
  <c r="BQ72" i="3" s="1"/>
  <c r="BM9" i="3" a="1"/>
  <c r="BM9" i="3" s="1"/>
  <c r="BQ9" i="3" s="1"/>
  <c r="BM10" i="3" a="1"/>
  <c r="BM10" i="3" s="1"/>
  <c r="BQ10" i="3" s="1"/>
  <c r="BC10" i="3"/>
  <c r="BM129" i="3" a="1"/>
  <c r="BM129" i="3" s="1"/>
  <c r="BQ129" i="3" s="1"/>
  <c r="BC129" i="3"/>
  <c r="BM78" i="3" a="1"/>
  <c r="BM78" i="3" s="1"/>
  <c r="BQ78" i="3" s="1"/>
  <c r="BC95" i="3"/>
  <c r="BM95" i="3" a="1"/>
  <c r="BM95" i="3" s="1"/>
  <c r="BQ95" i="3" s="1"/>
  <c r="BM39" i="3" a="1"/>
  <c r="BM39" i="3" s="1"/>
  <c r="BQ39" i="3" s="1"/>
  <c r="BN88" i="3"/>
  <c r="BC88" i="3"/>
  <c r="AZ88" i="3" s="1"/>
  <c r="BM88" i="3" a="1"/>
  <c r="BM88" i="3" s="1"/>
  <c r="BQ88" i="3" s="1"/>
  <c r="BC87" i="3"/>
  <c r="BM87" i="3" a="1"/>
  <c r="BM87" i="3" s="1"/>
  <c r="BQ87" i="3" s="1"/>
  <c r="BM86" i="3" a="1"/>
  <c r="BM86" i="3" s="1"/>
  <c r="BQ86" i="3" s="1"/>
  <c r="BC41" i="3"/>
  <c r="BM41" i="3" a="1"/>
  <c r="BM41" i="3" s="1"/>
  <c r="BQ41" i="3" s="1"/>
  <c r="BC35" i="3"/>
  <c r="BM35" i="3" a="1"/>
  <c r="BM35" i="3" s="1"/>
  <c r="BQ35" i="3" s="1"/>
  <c r="BC61" i="3"/>
  <c r="BM61" i="3" a="1"/>
  <c r="BM61" i="3" s="1"/>
  <c r="BQ61" i="3" s="1"/>
  <c r="BC121" i="3"/>
  <c r="BM121" i="3" a="1"/>
  <c r="BM121" i="3" s="1"/>
  <c r="BQ121" i="3" s="1"/>
  <c r="BC82" i="3"/>
  <c r="BM82" i="3" a="1"/>
  <c r="BM82" i="3" s="1"/>
  <c r="BQ82" i="3" s="1"/>
  <c r="P43" i="5"/>
  <c r="Q43" i="5"/>
  <c r="R43" i="5"/>
  <c r="AD126" i="1"/>
  <c r="O126" i="5" s="1"/>
  <c r="AU43" i="3"/>
  <c r="AH43" i="1"/>
  <c r="AF43" i="1"/>
  <c r="AE43" i="1"/>
  <c r="AG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D62" i="1" s="1"/>
  <c r="O62" i="5" s="1"/>
  <c r="AU128" i="3"/>
  <c r="AD128" i="1" s="1"/>
  <c r="O128" i="5" s="1"/>
  <c r="AT130" i="3"/>
  <c r="AT160" i="3"/>
  <c r="AT158" i="3"/>
  <c r="AT150" i="3"/>
  <c r="AS119" i="3"/>
  <c r="BQ119" i="1" s="1"/>
  <c r="AS116" i="3"/>
  <c r="BQ116" i="1" s="1"/>
  <c r="AS77" i="3"/>
  <c r="BQ77" i="1" s="1"/>
  <c r="AS146" i="3"/>
  <c r="AS134" i="3"/>
  <c r="AS79" i="3"/>
  <c r="AS99" i="3"/>
  <c r="AS93" i="3"/>
  <c r="AS57" i="3"/>
  <c r="BQ57" i="1" s="1"/>
  <c r="AS149" i="3"/>
  <c r="AS150" i="3"/>
  <c r="AS131" i="3"/>
  <c r="AS115" i="3"/>
  <c r="AS76" i="3"/>
  <c r="BQ76" i="1" s="1"/>
  <c r="AS123" i="3"/>
  <c r="AS109" i="3"/>
  <c r="BQ109" i="1" s="1"/>
  <c r="AS59" i="3"/>
  <c r="AS158" i="3"/>
  <c r="AS142" i="3"/>
  <c r="AS137" i="3"/>
  <c r="AS120" i="3"/>
  <c r="AS111" i="3"/>
  <c r="AS89" i="3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BQ196" i="1" s="1"/>
  <c r="AS60" i="3"/>
  <c r="AS58" i="3"/>
  <c r="AS56" i="3"/>
  <c r="BQ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BG97" i="3" l="1"/>
  <c r="AD188" i="1"/>
  <c r="O188" i="5" s="1"/>
  <c r="BE97" i="3"/>
  <c r="S188" i="1"/>
  <c r="G188" i="5" s="1"/>
  <c r="BE96" i="3"/>
  <c r="S187" i="1"/>
  <c r="G187" i="5" s="1"/>
  <c r="BG96" i="3"/>
  <c r="AD187" i="1"/>
  <c r="O187" i="5" s="1"/>
  <c r="BG88" i="3"/>
  <c r="AD195" i="1"/>
  <c r="O195" i="5" s="1"/>
  <c r="BG87" i="3"/>
  <c r="BO87" i="3" s="1"/>
  <c r="BS87" i="3" s="1"/>
  <c r="BY15" i="1"/>
  <c r="BE67" i="3"/>
  <c r="S182" i="1"/>
  <c r="G182" i="5" s="1"/>
  <c r="AR67" i="3"/>
  <c r="AD182" i="1"/>
  <c r="O182" i="5" s="1"/>
  <c r="BV196" i="1"/>
  <c r="BZ61" i="1"/>
  <c r="BY16" i="1"/>
  <c r="BV109" i="1"/>
  <c r="BV77" i="1"/>
  <c r="BV116" i="1"/>
  <c r="BV76" i="1"/>
  <c r="BV119" i="1"/>
  <c r="BV57" i="1"/>
  <c r="BV56" i="1"/>
  <c r="BQ89" i="1"/>
  <c r="BQ190" i="1"/>
  <c r="BJ112" i="1"/>
  <c r="BY112" i="1"/>
  <c r="BJ42" i="1"/>
  <c r="BY42" i="1"/>
  <c r="BJ25" i="1"/>
  <c r="BY25" i="1"/>
  <c r="BJ39" i="1"/>
  <c r="BY39" i="1"/>
  <c r="BJ69" i="1"/>
  <c r="BY69" i="1"/>
  <c r="BJ96" i="1"/>
  <c r="BY96" i="1"/>
  <c r="BJ63" i="1"/>
  <c r="BY63" i="1"/>
  <c r="BZ63" i="1" s="1"/>
  <c r="BJ10" i="1"/>
  <c r="BY10" i="1"/>
  <c r="BJ95" i="1"/>
  <c r="BY95" i="1"/>
  <c r="BJ6" i="1"/>
  <c r="BY6" i="1"/>
  <c r="BJ46" i="1"/>
  <c r="BY46" i="1"/>
  <c r="BJ27" i="1"/>
  <c r="BY27" i="1"/>
  <c r="BZ27" i="1" s="1"/>
  <c r="BY74" i="1"/>
  <c r="BY14" i="1"/>
  <c r="BJ50" i="1"/>
  <c r="BY50" i="1"/>
  <c r="BJ22" i="1"/>
  <c r="BY22" i="1"/>
  <c r="BJ29" i="1"/>
  <c r="BY29" i="1"/>
  <c r="BZ29" i="1" s="1"/>
  <c r="BJ26" i="1"/>
  <c r="BY26" i="1"/>
  <c r="BJ23" i="1"/>
  <c r="BY23" i="1"/>
  <c r="BJ12" i="1"/>
  <c r="BY12" i="1"/>
  <c r="BY19" i="1"/>
  <c r="BJ13" i="1"/>
  <c r="BY13" i="1"/>
  <c r="BJ64" i="1"/>
  <c r="BY64" i="1"/>
  <c r="BJ84" i="1"/>
  <c r="BY84" i="1"/>
  <c r="BJ72" i="1"/>
  <c r="BY72" i="1"/>
  <c r="BJ54" i="1"/>
  <c r="BY54" i="1"/>
  <c r="BJ32" i="1"/>
  <c r="BY32" i="1"/>
  <c r="BZ32" i="1" s="1"/>
  <c r="BJ37" i="1"/>
  <c r="BY37" i="1"/>
  <c r="BJ97" i="1"/>
  <c r="BY97" i="1"/>
  <c r="BJ40" i="1"/>
  <c r="BY40" i="1"/>
  <c r="BY75" i="1"/>
  <c r="BJ71" i="1"/>
  <c r="BY71" i="1"/>
  <c r="BJ47" i="1"/>
  <c r="BY47" i="1"/>
  <c r="BZ47" i="1" s="1"/>
  <c r="BJ87" i="1"/>
  <c r="BY87" i="1"/>
  <c r="BJ49" i="1"/>
  <c r="BY49" i="1"/>
  <c r="BJ20" i="1"/>
  <c r="BY20" i="1"/>
  <c r="BJ38" i="1"/>
  <c r="BY38" i="1"/>
  <c r="BY86" i="1"/>
  <c r="BJ31" i="1"/>
  <c r="BY31" i="1"/>
  <c r="BJ44" i="1"/>
  <c r="BY44" i="1"/>
  <c r="BZ48" i="1"/>
  <c r="BJ121" i="1"/>
  <c r="BY121" i="1"/>
  <c r="BJ68" i="1"/>
  <c r="BY68" i="1"/>
  <c r="BJ18" i="1"/>
  <c r="BY18" i="1"/>
  <c r="BJ85" i="1"/>
  <c r="BY85" i="1"/>
  <c r="BJ125" i="1"/>
  <c r="BY125" i="1"/>
  <c r="BJ28" i="1"/>
  <c r="BY28" i="1"/>
  <c r="BJ34" i="1"/>
  <c r="BY34" i="1"/>
  <c r="BY90" i="1"/>
  <c r="BJ129" i="1"/>
  <c r="BY129" i="1"/>
  <c r="BJ21" i="1"/>
  <c r="BY21" i="1"/>
  <c r="BJ78" i="1"/>
  <c r="BY78" i="1"/>
  <c r="BJ41" i="1"/>
  <c r="BY41" i="1"/>
  <c r="BZ41" i="1" s="1"/>
  <c r="BJ83" i="1"/>
  <c r="BY83" i="1"/>
  <c r="BJ36" i="1"/>
  <c r="BY36" i="1"/>
  <c r="BJ30" i="1"/>
  <c r="BY30" i="1"/>
  <c r="BJ9" i="1"/>
  <c r="BY9" i="1"/>
  <c r="BY132" i="1"/>
  <c r="BJ70" i="1"/>
  <c r="BY70" i="1"/>
  <c r="BJ24" i="1"/>
  <c r="BY24" i="1"/>
  <c r="BJ82" i="1"/>
  <c r="BY82" i="1"/>
  <c r="BJ67" i="1"/>
  <c r="BY67" i="1"/>
  <c r="BY124" i="1"/>
  <c r="BJ53" i="1"/>
  <c r="BY53" i="1"/>
  <c r="BJ17" i="1"/>
  <c r="BY17" i="1"/>
  <c r="BJ66" i="1"/>
  <c r="BY66" i="1"/>
  <c r="BJ88" i="1"/>
  <c r="BY88" i="1"/>
  <c r="BJ52" i="1"/>
  <c r="BY52" i="1"/>
  <c r="BJ35" i="1"/>
  <c r="BY35" i="1"/>
  <c r="BZ35" i="1" s="1"/>
  <c r="BJ45" i="1"/>
  <c r="BY45" i="1"/>
  <c r="AZ69" i="1"/>
  <c r="AZ48" i="1"/>
  <c r="AZ21" i="1"/>
  <c r="AZ129" i="1"/>
  <c r="AZ49" i="1"/>
  <c r="AZ10" i="1"/>
  <c r="AZ45" i="1"/>
  <c r="AZ125" i="1"/>
  <c r="AZ44" i="1"/>
  <c r="AZ12" i="1"/>
  <c r="AZ97" i="1"/>
  <c r="BQ97" i="3"/>
  <c r="BQ96" i="3"/>
  <c r="BQ22" i="3"/>
  <c r="BQ125" i="3"/>
  <c r="BQ85" i="3"/>
  <c r="BI41" i="3"/>
  <c r="BI53" i="3"/>
  <c r="S45" i="1"/>
  <c r="W45" i="1" s="1"/>
  <c r="AY45" i="3"/>
  <c r="BQ83" i="3"/>
  <c r="BQ42" i="3"/>
  <c r="BQ32" i="3"/>
  <c r="BQ54" i="3"/>
  <c r="BQ67" i="3"/>
  <c r="BQ44" i="3"/>
  <c r="BQ27" i="3"/>
  <c r="BQ47" i="3"/>
  <c r="BQ48" i="3"/>
  <c r="S54" i="1"/>
  <c r="G54" i="5" s="1"/>
  <c r="S27" i="1"/>
  <c r="T27" i="1" s="1"/>
  <c r="S125" i="1"/>
  <c r="T125" i="1" s="1"/>
  <c r="AS165" i="3"/>
  <c r="AS162" i="3"/>
  <c r="AY50" i="3"/>
  <c r="BL50" i="3"/>
  <c r="S66" i="1"/>
  <c r="W66" i="1" s="1"/>
  <c r="AY85" i="3"/>
  <c r="S67" i="1"/>
  <c r="U67" i="1" s="1"/>
  <c r="BI17" i="3"/>
  <c r="BT45" i="1"/>
  <c r="S44" i="1"/>
  <c r="U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BK34" i="3" s="1"/>
  <c r="AR49" i="3"/>
  <c r="BT48" i="1"/>
  <c r="S42" i="1"/>
  <c r="U42" i="1" s="1"/>
  <c r="AR121" i="3"/>
  <c r="AR129" i="3"/>
  <c r="AR10" i="3"/>
  <c r="AY36" i="3"/>
  <c r="AY42" i="3"/>
  <c r="S97" i="1"/>
  <c r="W97" i="1" s="1"/>
  <c r="AR24" i="3"/>
  <c r="AI82" i="1"/>
  <c r="AR12" i="3"/>
  <c r="AY83" i="3"/>
  <c r="BI125" i="3"/>
  <c r="AY21" i="3"/>
  <c r="AR84" i="3"/>
  <c r="AI85" i="1"/>
  <c r="AJ85" i="1" s="1"/>
  <c r="AI32" i="1"/>
  <c r="AY121" i="3"/>
  <c r="AR68" i="3"/>
  <c r="AR21" i="3"/>
  <c r="AY32" i="3"/>
  <c r="BK32" i="3" s="1"/>
  <c r="BT44" i="1"/>
  <c r="BT12" i="1"/>
  <c r="AR35" i="3"/>
  <c r="AR54" i="3"/>
  <c r="AR69" i="3"/>
  <c r="S49" i="1"/>
  <c r="AY12" i="3"/>
  <c r="AY38" i="3"/>
  <c r="BK38" i="3" s="1"/>
  <c r="S47" i="1"/>
  <c r="AR82" i="3"/>
  <c r="AY69" i="3"/>
  <c r="AY129" i="3"/>
  <c r="AR42" i="3"/>
  <c r="AR32" i="3"/>
  <c r="AY82" i="3"/>
  <c r="AY87" i="3"/>
  <c r="AY95" i="3"/>
  <c r="BK95" i="3" s="1"/>
  <c r="BJ45" i="3"/>
  <c r="BR45" i="3"/>
  <c r="BS27" i="3"/>
  <c r="BO27" i="3"/>
  <c r="AN9" i="1"/>
  <c r="AL34" i="1"/>
  <c r="S34" i="5"/>
  <c r="AK34" i="1"/>
  <c r="AM34" i="1"/>
  <c r="AN26" i="1"/>
  <c r="AL14" i="1"/>
  <c r="S14" i="5"/>
  <c r="AM14" i="1"/>
  <c r="AK14" i="1"/>
  <c r="BT54" i="1"/>
  <c r="BE54" i="1"/>
  <c r="BF54" i="1"/>
  <c r="BO54" i="1" s="1" a="1"/>
  <c r="BO54" i="1" s="1"/>
  <c r="CC54" i="1"/>
  <c r="AN25" i="1"/>
  <c r="BE47" i="1"/>
  <c r="BF47" i="1"/>
  <c r="CC47" i="1"/>
  <c r="AN32" i="1"/>
  <c r="E37" i="5"/>
  <c r="BH37" i="3"/>
  <c r="F37" i="5" s="1"/>
  <c r="BO44" i="3"/>
  <c r="BS44" i="3"/>
  <c r="H33" i="5"/>
  <c r="I33" i="5"/>
  <c r="J33" i="5"/>
  <c r="BH97" i="3"/>
  <c r="F97" i="5" s="1"/>
  <c r="E97" i="5"/>
  <c r="AN97" i="1"/>
  <c r="S125" i="5"/>
  <c r="AK125" i="1"/>
  <c r="AL125" i="1"/>
  <c r="AM125" i="1"/>
  <c r="V41" i="1"/>
  <c r="G41" i="5"/>
  <c r="W41" i="1"/>
  <c r="U41" i="1"/>
  <c r="T41" i="1"/>
  <c r="BL41" i="3"/>
  <c r="BH121" i="3"/>
  <c r="F121" i="5" s="1"/>
  <c r="E121" i="5"/>
  <c r="AK121" i="1"/>
  <c r="AL121" i="1"/>
  <c r="AM121" i="1"/>
  <c r="S121" i="5"/>
  <c r="BL121" i="3"/>
  <c r="BI121" i="3"/>
  <c r="AN67" i="1"/>
  <c r="BH22" i="3"/>
  <c r="F22" i="5" s="1"/>
  <c r="E22" i="5"/>
  <c r="AL87" i="1"/>
  <c r="S87" i="5"/>
  <c r="AM87" i="1"/>
  <c r="AK87" i="1"/>
  <c r="AN49" i="1"/>
  <c r="BT29" i="1"/>
  <c r="BE29" i="1"/>
  <c r="BF29" i="1"/>
  <c r="BO29" i="1" s="1" a="1"/>
  <c r="BO29" i="1" s="1"/>
  <c r="CC29" i="1"/>
  <c r="E21" i="5"/>
  <c r="BH21" i="3"/>
  <c r="F21" i="5" s="1"/>
  <c r="AQ12" i="1"/>
  <c r="BR12" i="1" s="1"/>
  <c r="BF17" i="1"/>
  <c r="CC17" i="1"/>
  <c r="BE17" i="1"/>
  <c r="U86" i="1"/>
  <c r="G86" i="5"/>
  <c r="V86" i="1"/>
  <c r="T86" i="1"/>
  <c r="W86" i="1"/>
  <c r="BF64" i="1"/>
  <c r="BO64" i="1" s="1" a="1"/>
  <c r="BO64" i="1" s="1"/>
  <c r="BT64" i="1"/>
  <c r="BE64" i="1"/>
  <c r="CC64" i="1"/>
  <c r="V33" i="5"/>
  <c r="T33" i="5"/>
  <c r="U33" i="5"/>
  <c r="S46" i="5"/>
  <c r="AM46" i="1"/>
  <c r="AL46" i="1"/>
  <c r="AK46" i="1"/>
  <c r="AQ18" i="1"/>
  <c r="BR18" i="1" s="1"/>
  <c r="AL36" i="1"/>
  <c r="S36" i="5"/>
  <c r="AM36" i="1"/>
  <c r="AK36" i="1"/>
  <c r="BI27" i="3"/>
  <c r="BL27" i="3"/>
  <c r="AN72" i="1"/>
  <c r="BT85" i="1"/>
  <c r="BF85" i="1"/>
  <c r="BO85" i="1" s="1" a="1"/>
  <c r="BO85" i="1" s="1"/>
  <c r="CC85" i="1"/>
  <c r="BE85" i="1"/>
  <c r="AQ85" i="1"/>
  <c r="BR85" i="1" s="1"/>
  <c r="BF34" i="1"/>
  <c r="BO34" i="1" s="1" a="1"/>
  <c r="BO34" i="1" s="1"/>
  <c r="BE34" i="1"/>
  <c r="CC34" i="1"/>
  <c r="BT34" i="1"/>
  <c r="AQ34" i="1"/>
  <c r="BR34" i="1" s="1"/>
  <c r="S26" i="5"/>
  <c r="AK26" i="1"/>
  <c r="AM26" i="1"/>
  <c r="AL26" i="1"/>
  <c r="BO37" i="3"/>
  <c r="BS37" i="3" s="1"/>
  <c r="AY44" i="3"/>
  <c r="BI44" i="3"/>
  <c r="BL44" i="3"/>
  <c r="AN24" i="1"/>
  <c r="BE82" i="1"/>
  <c r="BT82" i="1"/>
  <c r="BF82" i="1"/>
  <c r="BO82" i="1" s="1" a="1"/>
  <c r="BO82" i="1" s="1"/>
  <c r="CC82" i="1"/>
  <c r="AQ69" i="1"/>
  <c r="BR69" i="1" s="1"/>
  <c r="BI96" i="3"/>
  <c r="BL96" i="3"/>
  <c r="AN50" i="1"/>
  <c r="S13" i="5"/>
  <c r="AL13" i="1"/>
  <c r="AK13" i="1"/>
  <c r="AM13" i="1"/>
  <c r="BI87" i="3"/>
  <c r="BL87" i="3"/>
  <c r="BO112" i="3"/>
  <c r="BS112" i="3"/>
  <c r="BS49" i="3"/>
  <c r="BO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C21" i="1"/>
  <c r="BE21" i="1"/>
  <c r="BF21" i="1"/>
  <c r="BO21" i="1" s="1" a="1"/>
  <c r="BO21" i="1" s="1"/>
  <c r="S21" i="5"/>
  <c r="AL21" i="1"/>
  <c r="AK21" i="1"/>
  <c r="AM21" i="1"/>
  <c r="AQ53" i="1"/>
  <c r="BR53" i="1" s="1"/>
  <c r="BH38" i="3"/>
  <c r="F38" i="5" s="1"/>
  <c r="E38" i="5"/>
  <c r="AY17" i="3"/>
  <c r="BL17" i="3"/>
  <c r="BH83" i="3"/>
  <c r="F83" i="5" s="1"/>
  <c r="E83" i="5"/>
  <c r="T83" i="1"/>
  <c r="V83" i="1"/>
  <c r="W83" i="1"/>
  <c r="G83" i="5"/>
  <c r="U83" i="1"/>
  <c r="CC88" i="1"/>
  <c r="BE88" i="1"/>
  <c r="BF88" i="1"/>
  <c r="BO88" i="1" s="1" a="1"/>
  <c r="BO88" i="1" s="1"/>
  <c r="BT88" i="1"/>
  <c r="G18" i="5"/>
  <c r="V18" i="1"/>
  <c r="T18" i="1"/>
  <c r="U18" i="1"/>
  <c r="W18" i="1"/>
  <c r="AL42" i="1"/>
  <c r="S42" i="5"/>
  <c r="AM42" i="1"/>
  <c r="AK42" i="1"/>
  <c r="BS42" i="3"/>
  <c r="BO42" i="3"/>
  <c r="AQ27" i="1"/>
  <c r="BR27" i="1" s="1"/>
  <c r="AN30" i="1"/>
  <c r="S72" i="1"/>
  <c r="G34" i="5"/>
  <c r="V34" i="1"/>
  <c r="U34" i="1"/>
  <c r="W34" i="1"/>
  <c r="T34" i="1"/>
  <c r="AQ54" i="1"/>
  <c r="BR54" i="1" s="1"/>
  <c r="AM54" i="1"/>
  <c r="S54" i="5"/>
  <c r="AK54" i="1"/>
  <c r="AL54" i="1"/>
  <c r="BH47" i="3"/>
  <c r="F47" i="5" s="1"/>
  <c r="E47" i="5"/>
  <c r="AY37" i="3"/>
  <c r="BK37" i="3" s="1"/>
  <c r="BL37" i="3"/>
  <c r="BI37" i="3"/>
  <c r="BF44" i="1"/>
  <c r="CC44" i="1"/>
  <c r="BE44" i="1"/>
  <c r="BT24" i="1"/>
  <c r="BE24" i="1"/>
  <c r="BF24" i="1" s="1"/>
  <c r="BO24" i="1" s="1" a="1"/>
  <c r="BO24" i="1" s="1"/>
  <c r="CC24" i="1"/>
  <c r="S48" i="1"/>
  <c r="AN48" i="1"/>
  <c r="AQ82" i="1"/>
  <c r="BR82" i="1" s="1"/>
  <c r="S69" i="5"/>
  <c r="AK69" i="1"/>
  <c r="AM69" i="1"/>
  <c r="AL69" i="1"/>
  <c r="BS96" i="3"/>
  <c r="BO96" i="3"/>
  <c r="G23" i="5"/>
  <c r="U23" i="1"/>
  <c r="W23" i="1"/>
  <c r="T23" i="1"/>
  <c r="V23" i="1"/>
  <c r="AQ23" i="1"/>
  <c r="BR23" i="1" s="1"/>
  <c r="S22" i="1"/>
  <c r="BH87" i="3"/>
  <c r="F87" i="5" s="1"/>
  <c r="E87" i="5"/>
  <c r="BH129" i="3"/>
  <c r="F129" i="5" s="1"/>
  <c r="E129" i="5"/>
  <c r="BI49" i="3"/>
  <c r="BL49" i="3"/>
  <c r="AK63" i="1"/>
  <c r="S63" i="5"/>
  <c r="AM63" i="1"/>
  <c r="AL63" i="1"/>
  <c r="AY10" i="3"/>
  <c r="BK10" i="3" s="1"/>
  <c r="AQ10" i="1"/>
  <c r="BR10" i="1" s="1"/>
  <c r="BI10" i="3"/>
  <c r="BL10" i="3"/>
  <c r="AM16" i="1"/>
  <c r="S16" i="5"/>
  <c r="AK16" i="1"/>
  <c r="AL16" i="1"/>
  <c r="V16" i="1"/>
  <c r="G16" i="5"/>
  <c r="U16" i="1"/>
  <c r="T16" i="1"/>
  <c r="W16" i="1"/>
  <c r="AR95" i="3"/>
  <c r="AM95" i="1"/>
  <c r="S95" i="5"/>
  <c r="AK95" i="1"/>
  <c r="AL95" i="1"/>
  <c r="BL68" i="3"/>
  <c r="BI68" i="3"/>
  <c r="BI29" i="3"/>
  <c r="BL29" i="3"/>
  <c r="AN21" i="1"/>
  <c r="S53" i="1"/>
  <c r="AK53" i="1"/>
  <c r="AM53" i="1"/>
  <c r="AL53" i="1"/>
  <c r="S53" i="5"/>
  <c r="AR20" i="3"/>
  <c r="BE35" i="1"/>
  <c r="BF35" i="1" s="1"/>
  <c r="BO35" i="1" s="1" a="1"/>
  <c r="BO35" i="1" s="1"/>
  <c r="BT35" i="1"/>
  <c r="CC35" i="1"/>
  <c r="AQ35" i="1"/>
  <c r="BR35" i="1" s="1"/>
  <c r="AN66" i="1"/>
  <c r="AQ64" i="1"/>
  <c r="BR64" i="1" s="1"/>
  <c r="BH88" i="3"/>
  <c r="F88" i="5" s="1"/>
  <c r="E88" i="5"/>
  <c r="BL88" i="3"/>
  <c r="BI88" i="3"/>
  <c r="E40" i="5"/>
  <c r="BH40" i="3"/>
  <c r="F40" i="5" s="1"/>
  <c r="BL40" i="3"/>
  <c r="BI40" i="3"/>
  <c r="AN46" i="1"/>
  <c r="BE18" i="1"/>
  <c r="CC18" i="1"/>
  <c r="BF18" i="1"/>
  <c r="BO18" i="1" s="1" a="1"/>
  <c r="BO18" i="1" s="1"/>
  <c r="BT18" i="1"/>
  <c r="BJ53" i="3"/>
  <c r="BR53" i="3"/>
  <c r="V84" i="1"/>
  <c r="G84" i="5"/>
  <c r="U84" i="1"/>
  <c r="T84" i="1"/>
  <c r="W84" i="1"/>
  <c r="BL42" i="3"/>
  <c r="BI42" i="3"/>
  <c r="W74" i="1"/>
  <c r="T74" i="1"/>
  <c r="G74" i="5"/>
  <c r="U74" i="1"/>
  <c r="V74" i="1"/>
  <c r="BO34" i="3"/>
  <c r="BS34" i="3" s="1"/>
  <c r="BI34" i="3"/>
  <c r="BL34" i="3"/>
  <c r="U132" i="1"/>
  <c r="T132" i="1"/>
  <c r="W132" i="1"/>
  <c r="G132" i="5"/>
  <c r="V132" i="1"/>
  <c r="BI54" i="3"/>
  <c r="BL54" i="3"/>
  <c r="AY47" i="3"/>
  <c r="BK47" i="3" s="1"/>
  <c r="S47" i="5"/>
  <c r="AM47" i="1"/>
  <c r="AL47" i="1"/>
  <c r="AK47" i="1"/>
  <c r="S32" i="5"/>
  <c r="AM32" i="1"/>
  <c r="AL24" i="1"/>
  <c r="S24" i="5"/>
  <c r="AK24" i="1"/>
  <c r="AM24" i="1"/>
  <c r="AN96" i="1"/>
  <c r="AR96" i="3"/>
  <c r="X187" i="1" s="1"/>
  <c r="K187" i="5" s="1"/>
  <c r="AY125" i="3"/>
  <c r="BL125" i="3"/>
  <c r="AN121" i="1"/>
  <c r="T124" i="1"/>
  <c r="U124" i="1"/>
  <c r="G124" i="5"/>
  <c r="V124" i="1"/>
  <c r="W124" i="1"/>
  <c r="BO10" i="3"/>
  <c r="BS10" i="3" s="1"/>
  <c r="AN10" i="1"/>
  <c r="AY61" i="3"/>
  <c r="BK61" i="3" s="1"/>
  <c r="AN61" i="1"/>
  <c r="BO95" i="3"/>
  <c r="BS95" i="3" s="1"/>
  <c r="S52" i="5"/>
  <c r="AM52" i="1"/>
  <c r="AK52" i="1"/>
  <c r="AL52" i="1"/>
  <c r="BT21" i="1"/>
  <c r="BH12" i="3"/>
  <c r="F12" i="5" s="1"/>
  <c r="E12" i="5"/>
  <c r="AN20" i="1"/>
  <c r="BH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R88" i="3"/>
  <c r="X195" i="1" s="1"/>
  <c r="K195" i="5" s="1"/>
  <c r="AQ84" i="1"/>
  <c r="BR84" i="1" s="1"/>
  <c r="BH36" i="3"/>
  <c r="F36" i="5" s="1"/>
  <c r="E36" i="5"/>
  <c r="BL36" i="3"/>
  <c r="BI36" i="3"/>
  <c r="E42" i="5"/>
  <c r="BH42" i="3"/>
  <c r="F42" i="5" s="1"/>
  <c r="BJ27" i="3"/>
  <c r="BR27" i="3"/>
  <c r="BE27" i="1"/>
  <c r="BT27" i="1"/>
  <c r="BF27" i="1"/>
  <c r="BO27" i="1" s="1" a="1"/>
  <c r="BO27" i="1" s="1"/>
  <c r="CC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R47" i="1" s="1"/>
  <c r="AQ32" i="1"/>
  <c r="BR32" i="1" s="1"/>
  <c r="AQ97" i="1"/>
  <c r="BR97" i="1" s="1"/>
  <c r="BL69" i="3"/>
  <c r="BI69" i="3"/>
  <c r="BI23" i="3"/>
  <c r="BL23" i="3"/>
  <c r="AQ125" i="1"/>
  <c r="BR125" i="1" s="1"/>
  <c r="BT50" i="1"/>
  <c r="BE50" i="1"/>
  <c r="BF50" i="1"/>
  <c r="BO50" i="1" s="1" a="1"/>
  <c r="BO50" i="1" s="1"/>
  <c r="CC50" i="1"/>
  <c r="U87" i="1"/>
  <c r="G87" i="5"/>
  <c r="V87" i="1"/>
  <c r="W87" i="1"/>
  <c r="T87" i="1"/>
  <c r="AK129" i="1"/>
  <c r="S129" i="5"/>
  <c r="AM129" i="1"/>
  <c r="AL129" i="1"/>
  <c r="E10" i="5"/>
  <c r="BH10" i="3"/>
  <c r="F10" i="5" s="1"/>
  <c r="BL61" i="3"/>
  <c r="BI61" i="3"/>
  <c r="BE95" i="1"/>
  <c r="BF95" i="1"/>
  <c r="BO95" i="1" s="1" a="1"/>
  <c r="BO95" i="1" s="1"/>
  <c r="CC95" i="1"/>
  <c r="T95" i="1"/>
  <c r="W95" i="1"/>
  <c r="G95" i="5"/>
  <c r="V95" i="1"/>
  <c r="U95" i="1"/>
  <c r="CC68" i="1"/>
  <c r="BT68" i="1"/>
  <c r="BF68" i="1"/>
  <c r="BO68" i="1" s="1" a="1"/>
  <c r="BO68" i="1" s="1"/>
  <c r="BE68" i="1"/>
  <c r="AZ29" i="1"/>
  <c r="AQ29" i="1"/>
  <c r="BR29" i="1" s="1"/>
  <c r="G20" i="5"/>
  <c r="T20" i="1"/>
  <c r="W20" i="1"/>
  <c r="V20" i="1"/>
  <c r="U20" i="1"/>
  <c r="BO17" i="3"/>
  <c r="BS17" i="3" s="1"/>
  <c r="BT66" i="1"/>
  <c r="CC66" i="1"/>
  <c r="BE66" i="1"/>
  <c r="BF66" i="1"/>
  <c r="BO66" i="1" s="1" a="1"/>
  <c r="BO66" i="1" s="1"/>
  <c r="AQ66" i="1"/>
  <c r="BR66" i="1" s="1"/>
  <c r="BL64" i="3"/>
  <c r="BI64" i="3"/>
  <c r="V19" i="1"/>
  <c r="G19" i="5"/>
  <c r="T19" i="1"/>
  <c r="U19" i="1"/>
  <c r="W19" i="1"/>
  <c r="V88" i="1"/>
  <c r="G88" i="5"/>
  <c r="W88" i="1"/>
  <c r="U88" i="1"/>
  <c r="T88" i="1"/>
  <c r="BS88" i="3"/>
  <c r="BO88" i="3"/>
  <c r="AY40" i="3"/>
  <c r="BG40" i="3"/>
  <c r="BR88" i="3"/>
  <c r="BJ88" i="3"/>
  <c r="E27" i="5"/>
  <c r="BH27" i="3"/>
  <c r="F27" i="5" s="1"/>
  <c r="AR72" i="3"/>
  <c r="AQ72" i="1"/>
  <c r="BR72" i="1" s="1"/>
  <c r="E85" i="5"/>
  <c r="BH85" i="3"/>
  <c r="F85" i="5" s="1"/>
  <c r="AN85" i="1"/>
  <c r="AR34" i="3"/>
  <c r="BS54" i="3"/>
  <c r="BO54" i="3"/>
  <c r="G25" i="5"/>
  <c r="W25" i="1"/>
  <c r="V25" i="1"/>
  <c r="T25" i="1"/>
  <c r="U25" i="1"/>
  <c r="AZ47" i="1"/>
  <c r="U32" i="1"/>
  <c r="V32" i="1"/>
  <c r="G32" i="5"/>
  <c r="W32" i="1"/>
  <c r="T32" i="1"/>
  <c r="BL32" i="3"/>
  <c r="BI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H24" i="3"/>
  <c r="F24" i="5" s="1"/>
  <c r="E24" i="5"/>
  <c r="BL48" i="3"/>
  <c r="BI48" i="3"/>
  <c r="AN69" i="1"/>
  <c r="BH96" i="3"/>
  <c r="F96" i="5" s="1"/>
  <c r="E96" i="5"/>
  <c r="AQ96" i="1"/>
  <c r="BR96" i="1" s="1"/>
  <c r="AR23" i="3"/>
  <c r="BH125" i="3"/>
  <c r="F125" i="5" s="1"/>
  <c r="E125" i="5"/>
  <c r="AY41" i="3"/>
  <c r="BK41" i="3" s="1"/>
  <c r="AQ41" i="1"/>
  <c r="BR41" i="1" s="1"/>
  <c r="V67" i="1"/>
  <c r="T67" i="1"/>
  <c r="AR22" i="3"/>
  <c r="AQ22" i="1"/>
  <c r="BR22" i="1" s="1"/>
  <c r="AN95" i="1"/>
  <c r="BL95" i="3"/>
  <c r="BI95" i="3"/>
  <c r="BH68" i="3"/>
  <c r="F68" i="5" s="1"/>
  <c r="E68" i="5"/>
  <c r="AN52" i="1"/>
  <c r="AK12" i="1"/>
  <c r="AM12" i="1"/>
  <c r="AL12" i="1"/>
  <c r="S12" i="5"/>
  <c r="BH53" i="3"/>
  <c r="F53" i="5" s="1"/>
  <c r="E53" i="5"/>
  <c r="CC20" i="1"/>
  <c r="BE20" i="1"/>
  <c r="BF20" i="1" s="1"/>
  <c r="BO20" i="1" s="1" a="1"/>
  <c r="BO20" i="1" s="1"/>
  <c r="BT20" i="1"/>
  <c r="BL20" i="3"/>
  <c r="BI20" i="3"/>
  <c r="BH35" i="3"/>
  <c r="F35" i="5" s="1"/>
  <c r="E35" i="5"/>
  <c r="AN35" i="1"/>
  <c r="S78" i="5"/>
  <c r="AL78" i="1"/>
  <c r="AM78" i="1"/>
  <c r="AK78" i="1"/>
  <c r="BO46" i="3"/>
  <c r="BS46" i="3"/>
  <c r="AL45" i="1"/>
  <c r="S45" i="5"/>
  <c r="AK45" i="1"/>
  <c r="AM45" i="1"/>
  <c r="BJ50" i="3"/>
  <c r="AY27" i="3"/>
  <c r="S15" i="5"/>
  <c r="AM15" i="1"/>
  <c r="AK15" i="1"/>
  <c r="AL15" i="1"/>
  <c r="BL85" i="3"/>
  <c r="BI85" i="3"/>
  <c r="BH34" i="3"/>
  <c r="F34" i="5" s="1"/>
  <c r="E34" i="5"/>
  <c r="BS26" i="3"/>
  <c r="BO26" i="3"/>
  <c r="S71" i="5"/>
  <c r="AM71" i="1"/>
  <c r="AK71" i="1"/>
  <c r="AL71" i="1"/>
  <c r="AY54" i="3"/>
  <c r="BO44" i="1" a="1"/>
  <c r="BO44" i="1" s="1"/>
  <c r="AN44" i="1"/>
  <c r="AY24" i="3"/>
  <c r="BK24" i="3" s="1"/>
  <c r="AQ48" i="1"/>
  <c r="BR48" i="1" s="1"/>
  <c r="V82" i="1"/>
  <c r="T82" i="1"/>
  <c r="G82" i="5"/>
  <c r="W82" i="1"/>
  <c r="U82" i="1"/>
  <c r="BH69" i="3"/>
  <c r="F69" i="5" s="1"/>
  <c r="E69" i="5"/>
  <c r="AY23" i="3"/>
  <c r="BK23" i="3" s="1"/>
  <c r="AR41" i="3"/>
  <c r="AR50" i="3"/>
  <c r="BE49" i="1"/>
  <c r="BT49" i="1"/>
  <c r="BF49" i="1"/>
  <c r="BO49" i="1" s="1" a="1"/>
  <c r="BO49" i="1" s="1"/>
  <c r="CC49" i="1"/>
  <c r="S49" i="5"/>
  <c r="AK49" i="1"/>
  <c r="AL49" i="1"/>
  <c r="AM49" i="1"/>
  <c r="BH95" i="3"/>
  <c r="F95" i="5" s="1"/>
  <c r="E95" i="5"/>
  <c r="AY29" i="3"/>
  <c r="AZ29" i="3" s="1"/>
  <c r="BF53" i="1"/>
  <c r="BO53" i="1" s="1" a="1"/>
  <c r="BO53" i="1" s="1"/>
  <c r="CC53" i="1"/>
  <c r="BT53" i="1"/>
  <c r="BE53" i="1"/>
  <c r="AR53" i="3"/>
  <c r="AY20" i="3"/>
  <c r="S38" i="5"/>
  <c r="AL38" i="1"/>
  <c r="AM38" i="1"/>
  <c r="AK38" i="1"/>
  <c r="U126" i="5"/>
  <c r="T126" i="5"/>
  <c r="V126" i="5"/>
  <c r="AY35" i="3"/>
  <c r="BL35" i="3"/>
  <c r="BI35" i="3"/>
  <c r="AN83" i="1"/>
  <c r="AK66" i="1"/>
  <c r="S66" i="5"/>
  <c r="AM66" i="1"/>
  <c r="AL66" i="1"/>
  <c r="BO64" i="3"/>
  <c r="BS64" i="3" s="1"/>
  <c r="AN88" i="1"/>
  <c r="S40" i="5"/>
  <c r="AM40" i="1"/>
  <c r="AK40" i="1"/>
  <c r="AL40" i="1"/>
  <c r="AN18" i="1"/>
  <c r="BE45" i="1"/>
  <c r="BF45" i="1"/>
  <c r="BO45" i="1" s="1" a="1"/>
  <c r="BO45" i="1" s="1"/>
  <c r="CC45" i="1"/>
  <c r="AN45" i="1"/>
  <c r="AQ45" i="1"/>
  <c r="BR45" i="1" s="1"/>
  <c r="BI84" i="3"/>
  <c r="BL84" i="3"/>
  <c r="AQ36" i="1"/>
  <c r="BR36" i="1" s="1"/>
  <c r="AK27" i="1"/>
  <c r="S27" i="5"/>
  <c r="AM27" i="1"/>
  <c r="AL27" i="1"/>
  <c r="AN28" i="1"/>
  <c r="AY72" i="3"/>
  <c r="BK72" i="3" s="1"/>
  <c r="G71" i="5"/>
  <c r="T71" i="1"/>
  <c r="V71" i="1"/>
  <c r="W71" i="1"/>
  <c r="U71" i="1"/>
  <c r="AZ54" i="1"/>
  <c r="BH54" i="3"/>
  <c r="F54" i="5" s="1"/>
  <c r="E54" i="5"/>
  <c r="BT47" i="1"/>
  <c r="AN47" i="1"/>
  <c r="BO47" i="1" a="1"/>
  <c r="BO47" i="1" s="1"/>
  <c r="CC32" i="1"/>
  <c r="BE32" i="1"/>
  <c r="BF32" i="1"/>
  <c r="BO32" i="1" s="1" a="1"/>
  <c r="BO32" i="1" s="1"/>
  <c r="BT32" i="1"/>
  <c r="AN37" i="1"/>
  <c r="T39" i="1"/>
  <c r="G39" i="5"/>
  <c r="V39" i="1"/>
  <c r="W39" i="1"/>
  <c r="U39" i="1"/>
  <c r="BL24" i="3"/>
  <c r="BI24" i="3"/>
  <c r="S48" i="5"/>
  <c r="AL48" i="1"/>
  <c r="AK48" i="1"/>
  <c r="AM48" i="1"/>
  <c r="BH82" i="3"/>
  <c r="F82" i="5" s="1"/>
  <c r="E82" i="5"/>
  <c r="BL82" i="3"/>
  <c r="BI82" i="3"/>
  <c r="CC96" i="1"/>
  <c r="BE96" i="1"/>
  <c r="BF96" i="1"/>
  <c r="BO96" i="1" s="1" a="1"/>
  <c r="BO96" i="1" s="1"/>
  <c r="BT96" i="1"/>
  <c r="BE23" i="1"/>
  <c r="BF23" i="1" s="1"/>
  <c r="BO23" i="1" s="1" a="1"/>
  <c r="BO23" i="1" s="1"/>
  <c r="CC23" i="1"/>
  <c r="BT23" i="1"/>
  <c r="AL23" i="1"/>
  <c r="S23" i="5"/>
  <c r="AM23" i="1"/>
  <c r="AK23" i="1"/>
  <c r="CC41" i="1"/>
  <c r="BE41" i="1"/>
  <c r="BF41" i="1" s="1"/>
  <c r="BO41" i="1" s="1" a="1"/>
  <c r="BO41" i="1" s="1"/>
  <c r="BT41" i="1"/>
  <c r="BF121" i="1"/>
  <c r="BO121" i="1" s="1" a="1"/>
  <c r="BO121" i="1" s="1"/>
  <c r="CC121" i="1"/>
  <c r="BT121" i="1"/>
  <c r="BE121" i="1"/>
  <c r="BS50" i="3"/>
  <c r="BO50" i="3"/>
  <c r="S22" i="5"/>
  <c r="AM22" i="1"/>
  <c r="AL22" i="1"/>
  <c r="AK22" i="1"/>
  <c r="AN63" i="1"/>
  <c r="AN68" i="1"/>
  <c r="BF29" i="3"/>
  <c r="BR29" i="3" s="1"/>
  <c r="BO29" i="3"/>
  <c r="BS29" i="3" s="1"/>
  <c r="BS52" i="3"/>
  <c r="BO52" i="3"/>
  <c r="BO53" i="3"/>
  <c r="BS53" i="3"/>
  <c r="BT38" i="1"/>
  <c r="BE38" i="1"/>
  <c r="BF38" i="1" s="1"/>
  <c r="BO38" i="1" s="1" a="1"/>
  <c r="BO38" i="1" s="1"/>
  <c r="CC38" i="1"/>
  <c r="U78" i="1"/>
  <c r="G78" i="5"/>
  <c r="W78" i="1"/>
  <c r="T78" i="1"/>
  <c r="V78" i="1"/>
  <c r="BI66" i="3"/>
  <c r="BL66" i="3"/>
  <c r="BH64" i="3"/>
  <c r="F64" i="5" s="1"/>
  <c r="E64" i="5"/>
  <c r="E45" i="5"/>
  <c r="BH45" i="3"/>
  <c r="F45" i="5" s="1"/>
  <c r="BT84" i="1"/>
  <c r="BF84" i="1"/>
  <c r="BO84" i="1" s="1" a="1"/>
  <c r="BO84" i="1" s="1"/>
  <c r="BE84" i="1"/>
  <c r="CC84" i="1"/>
  <c r="AN84" i="1"/>
  <c r="BT36" i="1"/>
  <c r="BE36" i="1"/>
  <c r="BF36" i="1" s="1"/>
  <c r="BO36" i="1" s="1" a="1"/>
  <c r="BO36" i="1" s="1"/>
  <c r="CC36" i="1"/>
  <c r="S72" i="5"/>
  <c r="AK72" i="1"/>
  <c r="AM72" i="1"/>
  <c r="AL72" i="1"/>
  <c r="AZ34" i="1"/>
  <c r="AN34" i="1"/>
  <c r="AN54" i="1"/>
  <c r="BI47" i="3"/>
  <c r="BL47" i="3"/>
  <c r="E32" i="5"/>
  <c r="BH32" i="3"/>
  <c r="F32" i="5" s="1"/>
  <c r="AN70" i="1"/>
  <c r="S97" i="5"/>
  <c r="AL97" i="1"/>
  <c r="AK97" i="1"/>
  <c r="AM97" i="1"/>
  <c r="AR97" i="3"/>
  <c r="X188" i="1" s="1"/>
  <c r="K188" i="5" s="1"/>
  <c r="BH48" i="3"/>
  <c r="F48" i="5" s="1"/>
  <c r="E48" i="5"/>
  <c r="S96" i="1"/>
  <c r="W90" i="1"/>
  <c r="G90" i="5"/>
  <c r="U90" i="1"/>
  <c r="V90" i="1"/>
  <c r="T90" i="1"/>
  <c r="E23" i="5"/>
  <c r="BH23" i="3"/>
  <c r="F23" i="5" s="1"/>
  <c r="S41" i="5"/>
  <c r="AK41" i="1"/>
  <c r="AL41" i="1"/>
  <c r="AM41" i="1"/>
  <c r="S67" i="5"/>
  <c r="AL67" i="1"/>
  <c r="AM67" i="1"/>
  <c r="AK67" i="1"/>
  <c r="BI67" i="3"/>
  <c r="BL67" i="3"/>
  <c r="AY22" i="3"/>
  <c r="AN129" i="1"/>
  <c r="T68" i="1"/>
  <c r="G68" i="5"/>
  <c r="V68" i="1"/>
  <c r="W68" i="1"/>
  <c r="U68" i="1"/>
  <c r="BH29" i="3"/>
  <c r="F29" i="5" s="1"/>
  <c r="E29" i="5"/>
  <c r="S6" i="5"/>
  <c r="AL6" i="1"/>
  <c r="AM6" i="1"/>
  <c r="AK6" i="1"/>
  <c r="AN6" i="1"/>
  <c r="S21" i="1"/>
  <c r="S12" i="1"/>
  <c r="AN12" i="1"/>
  <c r="BL53" i="3"/>
  <c r="E20" i="5"/>
  <c r="BH20" i="3"/>
  <c r="F20" i="5" s="1"/>
  <c r="BT17" i="1"/>
  <c r="AQ17" i="1"/>
  <c r="BR17" i="1" s="1"/>
  <c r="S86" i="5"/>
  <c r="AL86" i="1"/>
  <c r="AK86" i="1"/>
  <c r="AM86" i="1"/>
  <c r="AI83" i="1"/>
  <c r="AJ83" i="1" s="1"/>
  <c r="AR64" i="3"/>
  <c r="AQ88" i="1"/>
  <c r="BR88" i="1" s="1"/>
  <c r="BE40" i="1"/>
  <c r="BF40" i="1" s="1"/>
  <c r="BO40" i="1" s="1" a="1"/>
  <c r="BO40" i="1" s="1"/>
  <c r="CC40" i="1"/>
  <c r="BT40" i="1"/>
  <c r="V40" i="1"/>
  <c r="G40" i="5"/>
  <c r="W40" i="1"/>
  <c r="T40" i="1"/>
  <c r="U40" i="1"/>
  <c r="AN31" i="1"/>
  <c r="BL18" i="3"/>
  <c r="BI18" i="3"/>
  <c r="AR45" i="3"/>
  <c r="AN42" i="1"/>
  <c r="AQ42" i="1"/>
  <c r="BR42" i="1" s="1"/>
  <c r="AN27" i="1"/>
  <c r="AL9" i="1"/>
  <c r="S9" i="5"/>
  <c r="AM9" i="1"/>
  <c r="AK9" i="1"/>
  <c r="BT72" i="1"/>
  <c r="BF72" i="1"/>
  <c r="BO72" i="1" s="1" a="1"/>
  <c r="BO72" i="1" s="1"/>
  <c r="CC72" i="1"/>
  <c r="BE72" i="1"/>
  <c r="BL72" i="3"/>
  <c r="BI72" i="3"/>
  <c r="J184" i="5" s="1"/>
  <c r="T37" i="1"/>
  <c r="G37" i="5"/>
  <c r="U37" i="1"/>
  <c r="W37" i="1"/>
  <c r="V37" i="1"/>
  <c r="CC97" i="1"/>
  <c r="BF97" i="1"/>
  <c r="BO97" i="1" s="1" a="1"/>
  <c r="BO97" i="1" s="1"/>
  <c r="BE97" i="1"/>
  <c r="BT97" i="1"/>
  <c r="BO97" i="3"/>
  <c r="BS97" i="3"/>
  <c r="AQ24" i="1"/>
  <c r="BR24" i="1" s="1"/>
  <c r="AY48" i="3"/>
  <c r="BG48" i="3"/>
  <c r="AN82" i="1"/>
  <c r="BE69" i="1"/>
  <c r="BF69" i="1"/>
  <c r="BO69" i="1" s="1" a="1"/>
  <c r="BO69" i="1" s="1"/>
  <c r="CC69" i="1"/>
  <c r="BT69" i="1"/>
  <c r="T69" i="1"/>
  <c r="G69" i="5"/>
  <c r="U69" i="1"/>
  <c r="V69" i="1"/>
  <c r="W69" i="1"/>
  <c r="S96" i="5"/>
  <c r="AL96" i="1"/>
  <c r="AK96" i="1"/>
  <c r="AM96" i="1"/>
  <c r="BO23" i="3"/>
  <c r="BS23" i="3" s="1"/>
  <c r="AN125" i="1"/>
  <c r="BO41" i="3"/>
  <c r="BS41" i="3" s="1"/>
  <c r="CC67" i="1"/>
  <c r="BT67" i="1"/>
  <c r="BF67" i="1"/>
  <c r="BO67" i="1" s="1" a="1"/>
  <c r="BO67" i="1" s="1"/>
  <c r="BE67" i="1"/>
  <c r="AQ67" i="1"/>
  <c r="BR67" i="1" s="1"/>
  <c r="AZ50" i="1"/>
  <c r="AQ50" i="1"/>
  <c r="BR50" i="1" s="1"/>
  <c r="CC22" i="1"/>
  <c r="BF22" i="1"/>
  <c r="BO22" i="1" s="1" a="1"/>
  <c r="BO22" i="1" s="1"/>
  <c r="BE22" i="1"/>
  <c r="BT22" i="1"/>
  <c r="AQ87" i="1"/>
  <c r="BR87" i="1" s="1"/>
  <c r="U129" i="1"/>
  <c r="G129" i="5"/>
  <c r="V129" i="1"/>
  <c r="W129" i="1"/>
  <c r="T129" i="1"/>
  <c r="BH49" i="3"/>
  <c r="F49" i="5" s="1"/>
  <c r="E49" i="5"/>
  <c r="AQ49" i="1"/>
  <c r="BR49" i="1" s="1"/>
  <c r="BE10" i="1"/>
  <c r="BT10" i="1"/>
  <c r="BF10" i="1"/>
  <c r="BO10" i="1" s="1" a="1"/>
  <c r="BO10" i="1" s="1"/>
  <c r="CC10" i="1"/>
  <c r="T61" i="1"/>
  <c r="G61" i="5"/>
  <c r="U61" i="1"/>
  <c r="V61" i="1"/>
  <c r="W61" i="1"/>
  <c r="BT95" i="1"/>
  <c r="AN29" i="1"/>
  <c r="BE12" i="1"/>
  <c r="BF12" i="1"/>
  <c r="BO12" i="1" s="1" a="1"/>
  <c r="BO12" i="1" s="1"/>
  <c r="CC12" i="1"/>
  <c r="BL12" i="3"/>
  <c r="BI12" i="3"/>
  <c r="AN38" i="1"/>
  <c r="AN17" i="1"/>
  <c r="BO17" i="1" a="1"/>
  <c r="BO17" i="1" s="1"/>
  <c r="AK35" i="1"/>
  <c r="S35" i="5"/>
  <c r="AL35" i="1"/>
  <c r="AM35" i="1"/>
  <c r="AN78" i="1"/>
  <c r="AQ83" i="1"/>
  <c r="BR83" i="1" s="1"/>
  <c r="BI83" i="3"/>
  <c r="BL83" i="3"/>
  <c r="E66" i="5"/>
  <c r="BH66" i="3"/>
  <c r="F66" i="5" s="1"/>
  <c r="AN40" i="1"/>
  <c r="G31" i="5"/>
  <c r="U31" i="1"/>
  <c r="W31" i="1"/>
  <c r="T31" i="1"/>
  <c r="V31" i="1"/>
  <c r="BS45" i="3"/>
  <c r="BO45" i="3"/>
  <c r="BJ44" i="3"/>
  <c r="BR44" i="3"/>
  <c r="G75" i="5"/>
  <c r="U75" i="1"/>
  <c r="V75" i="1"/>
  <c r="T75" i="1"/>
  <c r="W75" i="1"/>
  <c r="AY84" i="3"/>
  <c r="T36" i="1"/>
  <c r="W36" i="1"/>
  <c r="G36" i="5"/>
  <c r="V36" i="1"/>
  <c r="U36" i="1"/>
  <c r="BE42" i="1"/>
  <c r="BF42" i="1"/>
  <c r="BO42" i="1" s="1" a="1"/>
  <c r="BO42" i="1" s="1"/>
  <c r="CC42" i="1"/>
  <c r="BT42" i="1"/>
  <c r="H126" i="5"/>
  <c r="I126" i="5"/>
  <c r="J126" i="5"/>
  <c r="AL85" i="1"/>
  <c r="S25" i="5"/>
  <c r="AM25" i="1"/>
  <c r="AL25" i="1"/>
  <c r="AK25" i="1"/>
  <c r="AR47" i="3"/>
  <c r="AR37" i="3"/>
  <c r="AQ37" i="1"/>
  <c r="BR37" i="1" s="1"/>
  <c r="BH44" i="3"/>
  <c r="F44" i="5" s="1"/>
  <c r="E44" i="5"/>
  <c r="AQ44" i="1"/>
  <c r="BR44" i="1" s="1"/>
  <c r="U70" i="1"/>
  <c r="T70" i="1"/>
  <c r="G70" i="5"/>
  <c r="W70" i="1"/>
  <c r="V70" i="1"/>
  <c r="BL97" i="3"/>
  <c r="BI97" i="3"/>
  <c r="AN23" i="1"/>
  <c r="BF125" i="1"/>
  <c r="BO125" i="1" s="1" a="1"/>
  <c r="BO125" i="1" s="1"/>
  <c r="CC125" i="1"/>
  <c r="BT125" i="1"/>
  <c r="BE125" i="1"/>
  <c r="BH41" i="3"/>
  <c r="F41" i="5" s="1"/>
  <c r="E41" i="5"/>
  <c r="AN41" i="1"/>
  <c r="E67" i="5"/>
  <c r="BH67" i="3"/>
  <c r="F67" i="5" s="1"/>
  <c r="AL50" i="1"/>
  <c r="S50" i="5"/>
  <c r="AM50" i="1"/>
  <c r="AK50" i="1"/>
  <c r="AN22" i="1"/>
  <c r="BL22" i="3"/>
  <c r="BI22" i="3"/>
  <c r="AR87" i="3"/>
  <c r="AN87" i="1"/>
  <c r="BF129" i="1"/>
  <c r="BO129" i="1" s="1" a="1"/>
  <c r="BO129" i="1" s="1"/>
  <c r="BT129" i="1"/>
  <c r="CC129" i="1"/>
  <c r="BE129" i="1"/>
  <c r="BI129" i="3"/>
  <c r="BL129" i="3"/>
  <c r="AY49" i="3"/>
  <c r="W49" i="1"/>
  <c r="G49" i="5"/>
  <c r="U49" i="1"/>
  <c r="T49" i="1"/>
  <c r="V49" i="1"/>
  <c r="G10" i="5"/>
  <c r="T10" i="1"/>
  <c r="V10" i="1"/>
  <c r="U10" i="1"/>
  <c r="W10" i="1"/>
  <c r="BH61" i="3"/>
  <c r="F61" i="5" s="1"/>
  <c r="E61" i="5"/>
  <c r="AQ68" i="1"/>
  <c r="BR68" i="1" s="1"/>
  <c r="BI21" i="3"/>
  <c r="BL21" i="3"/>
  <c r="AR38" i="3"/>
  <c r="AQ38" i="1"/>
  <c r="BR38" i="1" s="1"/>
  <c r="U38" i="1"/>
  <c r="G38" i="5"/>
  <c r="W38" i="1"/>
  <c r="T38" i="1"/>
  <c r="V38" i="1"/>
  <c r="BO66" i="3"/>
  <c r="BS66" i="3" s="1"/>
  <c r="S64" i="1"/>
  <c r="AL64" i="1"/>
  <c r="S64" i="5"/>
  <c r="AM64" i="1"/>
  <c r="AK64" i="1"/>
  <c r="S88" i="5"/>
  <c r="AK88" i="1"/>
  <c r="AL88" i="1"/>
  <c r="AM88" i="1"/>
  <c r="AQ40" i="1"/>
  <c r="BR40" i="1" s="1"/>
  <c r="AY18" i="3"/>
  <c r="BG18" i="3"/>
  <c r="BO18" i="3" s="1"/>
  <c r="BS18" i="3" s="1"/>
  <c r="E84" i="5"/>
  <c r="BH84" i="3"/>
  <c r="F84" i="5" s="1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H72" i="3"/>
  <c r="F72" i="5" s="1"/>
  <c r="AN71" i="1"/>
  <c r="CC37" i="1"/>
  <c r="BT37" i="1"/>
  <c r="BE37" i="1"/>
  <c r="BF37" i="1" s="1"/>
  <c r="BO37" i="1" s="1" a="1"/>
  <c r="BO37" i="1" s="1"/>
  <c r="S44" i="5"/>
  <c r="AL44" i="1"/>
  <c r="AM44" i="1"/>
  <c r="AK44" i="1"/>
  <c r="AR44" i="3"/>
  <c r="AN39" i="1"/>
  <c r="V24" i="1"/>
  <c r="G24" i="5"/>
  <c r="T24" i="1"/>
  <c r="W24" i="1"/>
  <c r="U24" i="1"/>
  <c r="BF48" i="1"/>
  <c r="BO48" i="1" s="1" a="1"/>
  <c r="BO48" i="1" s="1"/>
  <c r="BE48" i="1"/>
  <c r="CC48" i="1"/>
  <c r="AQ121" i="1"/>
  <c r="BR121" i="1" s="1"/>
  <c r="G121" i="5"/>
  <c r="V121" i="1"/>
  <c r="W121" i="1"/>
  <c r="U121" i="1"/>
  <c r="T121" i="1"/>
  <c r="AY67" i="3"/>
  <c r="BG67" i="3"/>
  <c r="S50" i="1"/>
  <c r="E50" i="5"/>
  <c r="BH50" i="3"/>
  <c r="F50" i="5" s="1"/>
  <c r="AN13" i="1"/>
  <c r="BE87" i="1"/>
  <c r="BF87" i="1" s="1"/>
  <c r="BO87" i="1" s="1" a="1"/>
  <c r="BO87" i="1" s="1"/>
  <c r="CC87" i="1"/>
  <c r="BT87" i="1"/>
  <c r="AQ129" i="1"/>
  <c r="BR129" i="1" s="1"/>
  <c r="AN112" i="1"/>
  <c r="S112" i="5"/>
  <c r="AK112" i="1"/>
  <c r="AL112" i="1"/>
  <c r="AM112" i="1"/>
  <c r="BJ49" i="3"/>
  <c r="BR49" i="3"/>
  <c r="CC61" i="1"/>
  <c r="BE61" i="1"/>
  <c r="BF61" i="1" s="1"/>
  <c r="BO61" i="1" s="1" a="1"/>
  <c r="BO61" i="1" s="1"/>
  <c r="BT61" i="1"/>
  <c r="AQ61" i="1"/>
  <c r="BR61" i="1" s="1"/>
  <c r="AQ95" i="1"/>
  <c r="BR95" i="1" s="1"/>
  <c r="AK68" i="1"/>
  <c r="S68" i="5"/>
  <c r="AM68" i="1"/>
  <c r="AL68" i="1"/>
  <c r="T29" i="1"/>
  <c r="G29" i="5"/>
  <c r="U29" i="1"/>
  <c r="V29" i="1"/>
  <c r="W29" i="1"/>
  <c r="AQ21" i="1"/>
  <c r="BR21" i="1" s="1"/>
  <c r="AN53" i="1"/>
  <c r="AQ20" i="1"/>
  <c r="BR20" i="1" s="1"/>
  <c r="BO38" i="3"/>
  <c r="BS38" i="3" s="1"/>
  <c r="AR17" i="3"/>
  <c r="CC83" i="1"/>
  <c r="BE83" i="1"/>
  <c r="BF83" i="1" s="1"/>
  <c r="BO83" i="1" s="1" a="1"/>
  <c r="BO83" i="1" s="1"/>
  <c r="BT83" i="1"/>
  <c r="BH18" i="3"/>
  <c r="F18" i="5" s="1"/>
  <c r="E18" i="5"/>
  <c r="BL45" i="3"/>
  <c r="BI45" i="3"/>
  <c r="R62" i="5"/>
  <c r="P62" i="5"/>
  <c r="Q62" i="5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O72" i="5" s="1"/>
  <c r="AD52" i="1"/>
  <c r="O52" i="5" s="1"/>
  <c r="AD49" i="1"/>
  <c r="O49" i="5" s="1"/>
  <c r="AE62" i="1"/>
  <c r="AF62" i="1"/>
  <c r="AG62" i="1"/>
  <c r="AH62" i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BK87" i="3" s="1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V42" i="3"/>
  <c r="BK42" i="3" s="1"/>
  <c r="V82" i="3"/>
  <c r="BK82" i="3" s="1"/>
  <c r="AS85" i="3"/>
  <c r="BQ193" i="1" s="1"/>
  <c r="AS96" i="3"/>
  <c r="AS45" i="3"/>
  <c r="AS121" i="3"/>
  <c r="AS53" i="3"/>
  <c r="AS74" i="3"/>
  <c r="BQ185" i="1" s="1"/>
  <c r="AS87" i="3"/>
  <c r="AS61" i="3"/>
  <c r="AS9" i="3"/>
  <c r="AS17" i="3"/>
  <c r="AS132" i="3"/>
  <c r="AS52" i="3"/>
  <c r="AS36" i="3"/>
  <c r="AS88" i="3"/>
  <c r="AS86" i="3"/>
  <c r="AS95" i="3"/>
  <c r="AS43" i="3"/>
  <c r="AS68" i="3"/>
  <c r="BQ183" i="1" s="1"/>
  <c r="AS70" i="3"/>
  <c r="AS23" i="3"/>
  <c r="AS13" i="3"/>
  <c r="AS10" i="3"/>
  <c r="AS42" i="3"/>
  <c r="AS46" i="3"/>
  <c r="AS31" i="3"/>
  <c r="AS16" i="3"/>
  <c r="AS37" i="3"/>
  <c r="AS65" i="3"/>
  <c r="AS78" i="3"/>
  <c r="BQ192" i="1" s="1"/>
  <c r="AS41" i="3"/>
  <c r="AS75" i="3"/>
  <c r="AS14" i="3"/>
  <c r="AS33" i="3"/>
  <c r="AS112" i="3"/>
  <c r="AS25" i="3"/>
  <c r="AS48" i="3"/>
  <c r="AS15" i="3"/>
  <c r="AS12" i="3"/>
  <c r="AS72" i="3"/>
  <c r="BQ184" i="1" s="1"/>
  <c r="AS83" i="3"/>
  <c r="AS66" i="3"/>
  <c r="AS40" i="3"/>
  <c r="AS38" i="3"/>
  <c r="AS49" i="3"/>
  <c r="AS18" i="3"/>
  <c r="AS24" i="3"/>
  <c r="AS69" i="3"/>
  <c r="AS47" i="3"/>
  <c r="AS44" i="3"/>
  <c r="AS30" i="3"/>
  <c r="AS73" i="3"/>
  <c r="AS50" i="3"/>
  <c r="AS84" i="3"/>
  <c r="AS67" i="3"/>
  <c r="AS63" i="3"/>
  <c r="AS125" i="3"/>
  <c r="AS29" i="3"/>
  <c r="AS124" i="3"/>
  <c r="AS82" i="3"/>
  <c r="AS32" i="3"/>
  <c r="AS90" i="3"/>
  <c r="AS97" i="3"/>
  <c r="AS129" i="3"/>
  <c r="AS54" i="3"/>
  <c r="AS35" i="3"/>
  <c r="AS71" i="3"/>
  <c r="AS22" i="3"/>
  <c r="AS19" i="3"/>
  <c r="AS20" i="3"/>
  <c r="AS39" i="3"/>
  <c r="AS6" i="3"/>
  <c r="AS21" i="3"/>
  <c r="AS26" i="3"/>
  <c r="AS135" i="3"/>
  <c r="I20" i="17"/>
  <c r="H20" i="17"/>
  <c r="E11" i="3"/>
  <c r="CF11" i="1" s="1"/>
  <c r="E8" i="3"/>
  <c r="CF8" i="1" s="1"/>
  <c r="E7" i="3"/>
  <c r="CF7" i="1" s="1"/>
  <c r="E5" i="3"/>
  <c r="CF5" i="1" s="1"/>
  <c r="I45" i="17"/>
  <c r="H45" i="17"/>
  <c r="E4" i="3"/>
  <c r="CF4" i="1" s="1"/>
  <c r="E3" i="3"/>
  <c r="CF3" i="1" s="1"/>
  <c r="E2" i="3"/>
  <c r="CF2" i="1" s="1"/>
  <c r="K60" i="17"/>
  <c r="I60" i="17"/>
  <c r="H60" i="17"/>
  <c r="I38" i="17"/>
  <c r="Y2" i="1"/>
  <c r="AC2" i="1"/>
  <c r="I51" i="17"/>
  <c r="H51" i="17"/>
  <c r="I50" i="17"/>
  <c r="H50" i="17"/>
  <c r="W137" i="3"/>
  <c r="W112" i="3"/>
  <c r="W97" i="3"/>
  <c r="W96" i="3"/>
  <c r="W54" i="3"/>
  <c r="W51" i="3"/>
  <c r="W42" i="3"/>
  <c r="I21" i="17"/>
  <c r="H21" i="17"/>
  <c r="I35" i="17"/>
  <c r="H35" i="17"/>
  <c r="I52" i="17"/>
  <c r="H52" i="17"/>
  <c r="A28" i="1"/>
  <c r="AT28" i="1" s="1"/>
  <c r="AU28" i="1" s="1"/>
  <c r="A27" i="1"/>
  <c r="AT27" i="1" s="1"/>
  <c r="AU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D68" i="1" s="1"/>
  <c r="O68" i="5" s="1"/>
  <c r="P68" i="5" s="1"/>
  <c r="V66" i="3"/>
  <c r="V65" i="3"/>
  <c r="V39" i="3"/>
  <c r="V36" i="3"/>
  <c r="AU36" i="3" s="1"/>
  <c r="AD36" i="1" s="1"/>
  <c r="O36" i="5" s="1"/>
  <c r="V35" i="3"/>
  <c r="AU35" i="3" s="1"/>
  <c r="AD35" i="1" s="1"/>
  <c r="O35" i="5" s="1"/>
  <c r="P35" i="5" s="1"/>
  <c r="V33" i="3"/>
  <c r="V25" i="3"/>
  <c r="V22" i="3"/>
  <c r="AU22" i="3" s="1"/>
  <c r="AD22" i="1" s="1"/>
  <c r="O22" i="5" s="1"/>
  <c r="V21" i="3"/>
  <c r="V13" i="3"/>
  <c r="V12" i="3"/>
  <c r="AU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P2" i="1"/>
  <c r="BZ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4" i="17"/>
  <c r="H34" i="17"/>
  <c r="I59" i="17"/>
  <c r="H59" i="17"/>
  <c r="I11" i="17"/>
  <c r="H11" i="17"/>
  <c r="I17" i="17"/>
  <c r="H17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D62" i="5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D67" i="5" s="1"/>
  <c r="AM67" i="3"/>
  <c r="AL68" i="3"/>
  <c r="BP68" i="3" s="1"/>
  <c r="D68" i="5" s="1"/>
  <c r="AM68" i="3"/>
  <c r="AL69" i="3"/>
  <c r="BP69" i="3" s="1"/>
  <c r="D69" i="5" s="1"/>
  <c r="AM69" i="3"/>
  <c r="AL72" i="3"/>
  <c r="BP72" i="3" s="1"/>
  <c r="D72" i="5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D84" i="5" s="1"/>
  <c r="AL85" i="3"/>
  <c r="BP85" i="3" s="1"/>
  <c r="D85" i="5" s="1"/>
  <c r="AL87" i="3"/>
  <c r="BP87" i="3" s="1"/>
  <c r="D87" i="5" s="1"/>
  <c r="AM87" i="3"/>
  <c r="AL88" i="3"/>
  <c r="BP88" i="3" s="1"/>
  <c r="D88" i="5" s="1"/>
  <c r="AM88" i="3"/>
  <c r="AL89" i="3"/>
  <c r="BP89" i="3" s="1"/>
  <c r="D89" i="5" s="1"/>
  <c r="AM89" i="3"/>
  <c r="AL93" i="3"/>
  <c r="BP93" i="3" s="1"/>
  <c r="D93" i="5" s="1"/>
  <c r="AM93" i="3"/>
  <c r="AL94" i="3"/>
  <c r="BP94" i="3" s="1"/>
  <c r="D94" i="5" s="1"/>
  <c r="AM94" i="3"/>
  <c r="AL95" i="3"/>
  <c r="BP95" i="3" s="1"/>
  <c r="D95" i="5" s="1"/>
  <c r="AM95" i="3"/>
  <c r="AL96" i="3"/>
  <c r="BP96" i="3" s="1"/>
  <c r="D96" i="5" s="1"/>
  <c r="AM96" i="3"/>
  <c r="AL97" i="3"/>
  <c r="BP97" i="3" s="1"/>
  <c r="D97" i="5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4" i="17"/>
  <c r="AM82" i="3" s="1"/>
  <c r="K11" i="17"/>
  <c r="AM60" i="3" s="1"/>
  <c r="K17" i="17"/>
  <c r="K59" i="17"/>
  <c r="I19" i="17"/>
  <c r="H19" i="17"/>
  <c r="I58" i="17"/>
  <c r="J58" i="17"/>
  <c r="I15" i="17"/>
  <c r="H15" i="17"/>
  <c r="H53" i="17"/>
  <c r="I53" i="17"/>
  <c r="I29" i="17"/>
  <c r="H29" i="17"/>
  <c r="I54" i="17"/>
  <c r="I13" i="17"/>
  <c r="I2" i="17"/>
  <c r="I14" i="17"/>
  <c r="I49" i="17"/>
  <c r="H49" i="17"/>
  <c r="I47" i="17"/>
  <c r="H47" i="17"/>
  <c r="I42" i="17"/>
  <c r="H42" i="17"/>
  <c r="I40" i="17"/>
  <c r="H40" i="17"/>
  <c r="I39" i="17"/>
  <c r="I37" i="17"/>
  <c r="H37" i="17"/>
  <c r="I28" i="17"/>
  <c r="H28" i="17"/>
  <c r="I27" i="17"/>
  <c r="H27" i="17"/>
  <c r="I26" i="17"/>
  <c r="H26" i="17"/>
  <c r="I23" i="17"/>
  <c r="H23" i="17"/>
  <c r="I16" i="17"/>
  <c r="H16" i="17"/>
  <c r="G119" i="3"/>
  <c r="AT119" i="1" s="1"/>
  <c r="AU119" i="1" s="1"/>
  <c r="F44" i="3"/>
  <c r="AS44" i="1" s="1"/>
  <c r="F41" i="3"/>
  <c r="AS41" i="1" s="1"/>
  <c r="L138" i="3"/>
  <c r="I138" i="1" s="1"/>
  <c r="BQ138" i="1" s="1"/>
  <c r="L134" i="3"/>
  <c r="I134" i="1" s="1"/>
  <c r="BQ134" i="1" s="1"/>
  <c r="L133" i="3"/>
  <c r="I133" i="1" s="1"/>
  <c r="BQ133" i="1" s="1"/>
  <c r="L131" i="3"/>
  <c r="I131" i="1" s="1"/>
  <c r="BQ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Q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BL118" i="1" s="1"/>
  <c r="L117" i="3"/>
  <c r="I117" i="1" s="1"/>
  <c r="BQ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Q100" i="1" s="1"/>
  <c r="L99" i="3"/>
  <c r="I99" i="1" s="1"/>
  <c r="BQ99" i="1" s="1"/>
  <c r="L97" i="3"/>
  <c r="L95" i="3"/>
  <c r="I95" i="1" s="1"/>
  <c r="L94" i="3"/>
  <c r="I94" i="1" s="1"/>
  <c r="BQ94" i="1" s="1"/>
  <c r="L93" i="3"/>
  <c r="I93" i="1" s="1"/>
  <c r="BQ93" i="1" s="1"/>
  <c r="L82" i="3"/>
  <c r="I82" i="1" s="1"/>
  <c r="L83" i="3"/>
  <c r="I83" i="1" s="1"/>
  <c r="L84" i="3"/>
  <c r="I84" i="1" s="1"/>
  <c r="L85" i="3"/>
  <c r="I85" i="1" s="1"/>
  <c r="BL85" i="1" s="1"/>
  <c r="L81" i="3"/>
  <c r="I81" i="1" s="1"/>
  <c r="C92" i="3"/>
  <c r="C91" i="3"/>
  <c r="L61" i="3"/>
  <c r="I61" i="1" s="1"/>
  <c r="C79" i="3"/>
  <c r="C78" i="3"/>
  <c r="C75" i="3"/>
  <c r="C74" i="3"/>
  <c r="C70" i="3"/>
  <c r="C63" i="3"/>
  <c r="F61" i="3"/>
  <c r="AS61" i="1" s="1"/>
  <c r="L59" i="3"/>
  <c r="I59" i="1" s="1"/>
  <c r="BQ59" i="1" s="1"/>
  <c r="L60" i="3"/>
  <c r="I60" i="1" s="1"/>
  <c r="BQ60" i="1" s="1"/>
  <c r="L58" i="3"/>
  <c r="I58" i="1" s="1"/>
  <c r="BQ58" i="1" s="1"/>
  <c r="L55" i="3"/>
  <c r="I55" i="1" s="1"/>
  <c r="BQ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AT62" i="1" s="1"/>
  <c r="AU62" i="1" s="1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L40" i="1" s="1"/>
  <c r="C43" i="3"/>
  <c r="C39" i="3"/>
  <c r="C31" i="3"/>
  <c r="C30" i="3"/>
  <c r="C28" i="3"/>
  <c r="C26" i="3"/>
  <c r="G23" i="3"/>
  <c r="G16" i="3"/>
  <c r="G15" i="3"/>
  <c r="L20" i="3"/>
  <c r="I20" i="1" s="1"/>
  <c r="C16" i="3"/>
  <c r="C15" i="3"/>
  <c r="C14" i="3"/>
  <c r="C13" i="3"/>
  <c r="C11" i="3"/>
  <c r="C9" i="3"/>
  <c r="C6" i="3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T113" i="1" s="1"/>
  <c r="AU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P195" i="5" l="1"/>
  <c r="R195" i="5"/>
  <c r="Q195" i="5"/>
  <c r="L188" i="5"/>
  <c r="M188" i="5"/>
  <c r="R187" i="5"/>
  <c r="P187" i="5"/>
  <c r="Q187" i="5"/>
  <c r="H187" i="5"/>
  <c r="I187" i="5"/>
  <c r="J187" i="5"/>
  <c r="R182" i="5"/>
  <c r="P182" i="5"/>
  <c r="Q182" i="5"/>
  <c r="H188" i="5"/>
  <c r="I188" i="5"/>
  <c r="J188" i="5"/>
  <c r="L187" i="5"/>
  <c r="M187" i="5"/>
  <c r="M195" i="5"/>
  <c r="L195" i="5"/>
  <c r="N195" i="5"/>
  <c r="H182" i="5"/>
  <c r="I182" i="5"/>
  <c r="J182" i="5"/>
  <c r="Q188" i="5"/>
  <c r="P188" i="5"/>
  <c r="R188" i="5"/>
  <c r="I97" i="1"/>
  <c r="I188" i="1"/>
  <c r="AA188" i="1"/>
  <c r="Z188" i="1"/>
  <c r="Y188" i="1"/>
  <c r="AB188" i="1"/>
  <c r="W188" i="1"/>
  <c r="V188" i="1"/>
  <c r="T188" i="1"/>
  <c r="U188" i="1"/>
  <c r="AE188" i="1"/>
  <c r="AH188" i="1"/>
  <c r="AF188" i="1"/>
  <c r="AG188" i="1"/>
  <c r="AA187" i="1"/>
  <c r="Z187" i="1"/>
  <c r="Y187" i="1"/>
  <c r="AB187" i="1"/>
  <c r="AH187" i="1"/>
  <c r="AE187" i="1"/>
  <c r="AG187" i="1"/>
  <c r="AF187" i="1"/>
  <c r="W187" i="1"/>
  <c r="V187" i="1"/>
  <c r="U187" i="1"/>
  <c r="T187" i="1"/>
  <c r="Y195" i="1"/>
  <c r="BQ195" i="1" s="1"/>
  <c r="Z195" i="1"/>
  <c r="AB195" i="1"/>
  <c r="AA195" i="1"/>
  <c r="AH195" i="1"/>
  <c r="AE195" i="1"/>
  <c r="AG195" i="1"/>
  <c r="AF195" i="1"/>
  <c r="BQ130" i="1"/>
  <c r="BV130" i="1" s="1"/>
  <c r="BL130" i="1"/>
  <c r="AH182" i="1"/>
  <c r="AF182" i="1"/>
  <c r="AG182" i="1"/>
  <c r="AE182" i="1"/>
  <c r="W182" i="1"/>
  <c r="U182" i="1"/>
  <c r="T182" i="1"/>
  <c r="V182" i="1"/>
  <c r="BV193" i="1"/>
  <c r="BV192" i="1"/>
  <c r="BV183" i="1"/>
  <c r="BV184" i="1"/>
  <c r="BV60" i="1"/>
  <c r="BV93" i="1"/>
  <c r="BV94" i="1"/>
  <c r="BV117" i="1"/>
  <c r="BV58" i="1"/>
  <c r="BV99" i="1"/>
  <c r="BV140" i="1"/>
  <c r="BV100" i="1"/>
  <c r="BV131" i="1"/>
  <c r="BV55" i="1"/>
  <c r="BV134" i="1"/>
  <c r="BV138" i="1"/>
  <c r="BV89" i="1"/>
  <c r="BV133" i="1"/>
  <c r="BV59" i="1"/>
  <c r="BV190" i="1"/>
  <c r="BV185" i="1"/>
  <c r="W67" i="1"/>
  <c r="G67" i="5"/>
  <c r="J67" i="5" s="1"/>
  <c r="U45" i="1"/>
  <c r="T45" i="1"/>
  <c r="G45" i="5"/>
  <c r="I45" i="5" s="1"/>
  <c r="V45" i="1"/>
  <c r="BK85" i="3"/>
  <c r="AL32" i="1"/>
  <c r="AJ32" i="1"/>
  <c r="S82" i="5"/>
  <c r="T82" i="5" s="1"/>
  <c r="AJ82" i="1"/>
  <c r="G47" i="5"/>
  <c r="H47" i="5" s="1"/>
  <c r="AK32" i="1"/>
  <c r="J5" i="1"/>
  <c r="BB5" i="3"/>
  <c r="J8" i="1"/>
  <c r="BB8" i="3"/>
  <c r="J4" i="1"/>
  <c r="BB4" i="3"/>
  <c r="AA166" i="5"/>
  <c r="Z166" i="5"/>
  <c r="W27" i="1"/>
  <c r="W125" i="1"/>
  <c r="V27" i="1"/>
  <c r="U27" i="1"/>
  <c r="W54" i="1"/>
  <c r="G27" i="5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K121" i="3"/>
  <c r="BQ162" i="1"/>
  <c r="BQ165" i="1"/>
  <c r="BQ62" i="1"/>
  <c r="BQ126" i="1"/>
  <c r="BQ128" i="1"/>
  <c r="BK20" i="3"/>
  <c r="W44" i="1"/>
  <c r="BK17" i="3"/>
  <c r="AM85" i="1"/>
  <c r="AK85" i="1"/>
  <c r="G97" i="5"/>
  <c r="J97" i="5" s="1"/>
  <c r="S85" i="5"/>
  <c r="U85" i="5" s="1"/>
  <c r="AM18" i="3"/>
  <c r="AM161" i="3"/>
  <c r="AN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K29" i="3"/>
  <c r="R29" i="5" s="1"/>
  <c r="AT16" i="1"/>
  <c r="AU16" i="1" s="1"/>
  <c r="AT23" i="1"/>
  <c r="AU23" i="1" s="1"/>
  <c r="AT15" i="1"/>
  <c r="AU15" i="1" s="1"/>
  <c r="BK84" i="3"/>
  <c r="O67" i="5"/>
  <c r="P67" i="5" s="1"/>
  <c r="AO11" i="3"/>
  <c r="BD11" i="3" s="1"/>
  <c r="AO11" i="1"/>
  <c r="AX11" i="3"/>
  <c r="AO75" i="3"/>
  <c r="BD75" i="3" s="1"/>
  <c r="AO75" i="1"/>
  <c r="BJ75" i="1" s="1"/>
  <c r="AX75" i="3"/>
  <c r="W75" i="5"/>
  <c r="AP75" i="3"/>
  <c r="AQ75" i="3"/>
  <c r="Y75" i="5"/>
  <c r="X75" i="5"/>
  <c r="AO115" i="3"/>
  <c r="BD115" i="3" s="1"/>
  <c r="AP115" i="3"/>
  <c r="AO115" i="1"/>
  <c r="Y115" i="5"/>
  <c r="AX115" i="3"/>
  <c r="W115" i="5"/>
  <c r="X115" i="5"/>
  <c r="AQ115" i="3"/>
  <c r="AP146" i="3"/>
  <c r="BE146" i="3" s="1"/>
  <c r="AO146" i="3"/>
  <c r="BD146" i="3" s="1"/>
  <c r="AO146" i="1"/>
  <c r="BJ146" i="1" s="1"/>
  <c r="W146" i="5"/>
  <c r="AX146" i="3"/>
  <c r="X146" i="5"/>
  <c r="AQ146" i="3"/>
  <c r="Y146" i="5"/>
  <c r="AV74" i="3"/>
  <c r="BM74" i="3" a="1"/>
  <c r="BM74" i="3" s="1"/>
  <c r="BM154" i="3" a="1"/>
  <c r="BM154" i="3" s="1"/>
  <c r="AV154" i="3"/>
  <c r="AU13" i="3"/>
  <c r="BK73" i="3"/>
  <c r="AU73" i="3"/>
  <c r="AD73" i="1" s="1"/>
  <c r="O73" i="5" s="1"/>
  <c r="Q73" i="5" s="1"/>
  <c r="AP3" i="3"/>
  <c r="BE3" i="3" s="1"/>
  <c r="N3" i="1"/>
  <c r="CA3" i="1"/>
  <c r="AX3" i="1"/>
  <c r="CB3" i="1"/>
  <c r="BN3" i="1"/>
  <c r="BP3" i="1" s="1"/>
  <c r="BM3" i="1" s="1"/>
  <c r="AZ3" i="1"/>
  <c r="CD3" i="1"/>
  <c r="BH3" i="1"/>
  <c r="BK3" i="1" s="1"/>
  <c r="CI3" i="1"/>
  <c r="BI3" i="1"/>
  <c r="O3" i="1"/>
  <c r="S3" i="1"/>
  <c r="CG3" i="1"/>
  <c r="CE3" i="1"/>
  <c r="CH3" i="1"/>
  <c r="BB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O13" i="1"/>
  <c r="AX13" i="3"/>
  <c r="W13" i="5"/>
  <c r="Y13" i="5"/>
  <c r="X13" i="5"/>
  <c r="BM13" i="3" a="1"/>
  <c r="BM13" i="3" s="1"/>
  <c r="AQ13" i="3"/>
  <c r="AP13" i="3"/>
  <c r="AO78" i="3"/>
  <c r="BD78" i="3" s="1"/>
  <c r="AO78" i="1"/>
  <c r="AX78" i="3"/>
  <c r="X78" i="5"/>
  <c r="Y78" i="5"/>
  <c r="AQ78" i="3"/>
  <c r="AP78" i="3"/>
  <c r="BE78" i="3" s="1"/>
  <c r="W78" i="5"/>
  <c r="AP120" i="3"/>
  <c r="AO120" i="3"/>
  <c r="BD120" i="3" s="1"/>
  <c r="AO120" i="1"/>
  <c r="BJ120" i="1" s="1"/>
  <c r="AX120" i="3"/>
  <c r="AQ120" i="3"/>
  <c r="X120" i="5"/>
  <c r="Y120" i="5"/>
  <c r="W120" i="5"/>
  <c r="AP147" i="3"/>
  <c r="BE147" i="3" s="1"/>
  <c r="AO147" i="3"/>
  <c r="BD147" i="3" s="1"/>
  <c r="AO147" i="1"/>
  <c r="BJ147" i="1" s="1"/>
  <c r="X147" i="5"/>
  <c r="Y147" i="5"/>
  <c r="AX147" i="3"/>
  <c r="AQ147" i="3"/>
  <c r="W147" i="5"/>
  <c r="AO151" i="3"/>
  <c r="BD151" i="3" s="1"/>
  <c r="AP151" i="3"/>
  <c r="Y151" i="5"/>
  <c r="AX151" i="3"/>
  <c r="AO151" i="1"/>
  <c r="BJ151" i="1" s="1"/>
  <c r="W151" i="5"/>
  <c r="X151" i="5"/>
  <c r="AQ151" i="3"/>
  <c r="AV75" i="3"/>
  <c r="BM75" i="3" a="1"/>
  <c r="BM75" i="3" s="1"/>
  <c r="BM155" i="3" a="1"/>
  <c r="BM155" i="3" s="1"/>
  <c r="AV155" i="3"/>
  <c r="BK21" i="3"/>
  <c r="AU21" i="3"/>
  <c r="AD21" i="1" s="1"/>
  <c r="O21" i="5" s="1"/>
  <c r="AP4" i="3"/>
  <c r="BE4" i="3" s="1"/>
  <c r="S4" i="1"/>
  <c r="BI4" i="1"/>
  <c r="CG4" i="1"/>
  <c r="O4" i="1"/>
  <c r="BH4" i="1"/>
  <c r="BK4" i="1" s="1"/>
  <c r="CH4" i="1"/>
  <c r="CI4" i="1"/>
  <c r="BB4" i="1"/>
  <c r="N4" i="1"/>
  <c r="CB4" i="1"/>
  <c r="AX4" i="1"/>
  <c r="CD4" i="1"/>
  <c r="BN4" i="1"/>
  <c r="BP4" i="1" s="1"/>
  <c r="BM4" i="1" s="1"/>
  <c r="CE4" i="1"/>
  <c r="AZ4" i="1"/>
  <c r="AC4" i="5"/>
  <c r="CA4" i="1"/>
  <c r="X4" i="5"/>
  <c r="Y4" i="5"/>
  <c r="W4" i="5"/>
  <c r="K4" i="1"/>
  <c r="BD4" i="3"/>
  <c r="AQ4" i="3"/>
  <c r="BG4" i="3" s="1"/>
  <c r="BO4" i="3" s="1"/>
  <c r="BS4" i="3" s="1"/>
  <c r="BG4" i="1"/>
  <c r="AP4" i="1"/>
  <c r="AB4" i="5" s="1"/>
  <c r="H121" i="5"/>
  <c r="I121" i="5"/>
  <c r="J121" i="5"/>
  <c r="V64" i="5"/>
  <c r="T64" i="5"/>
  <c r="U64" i="5"/>
  <c r="H10" i="5"/>
  <c r="I10" i="5"/>
  <c r="J10" i="5"/>
  <c r="AO132" i="3"/>
  <c r="BD132" i="3" s="1"/>
  <c r="AO132" i="1"/>
  <c r="BJ132" i="1" s="1"/>
  <c r="AX132" i="3"/>
  <c r="AQ132" i="3"/>
  <c r="W132" i="5"/>
  <c r="AP132" i="3"/>
  <c r="Y132" i="5"/>
  <c r="X132" i="5"/>
  <c r="AO26" i="3"/>
  <c r="BD26" i="3" s="1"/>
  <c r="AO26" i="1"/>
  <c r="AX26" i="3"/>
  <c r="BN26" i="3"/>
  <c r="Y26" i="5"/>
  <c r="X26" i="5"/>
  <c r="BM26" i="3" a="1"/>
  <c r="BM26" i="3" s="1"/>
  <c r="AP26" i="3"/>
  <c r="W26" i="5"/>
  <c r="AO90" i="3"/>
  <c r="BD90" i="3" s="1"/>
  <c r="AO90" i="1"/>
  <c r="BJ90" i="1" s="1"/>
  <c r="AX90" i="3"/>
  <c r="Y90" i="5"/>
  <c r="BM90" i="3" a="1"/>
  <c r="BM90" i="3" s="1"/>
  <c r="AQ90" i="3"/>
  <c r="AP90" i="3"/>
  <c r="W90" i="5"/>
  <c r="X90" i="5"/>
  <c r="AO135" i="3"/>
  <c r="BD135" i="3" s="1"/>
  <c r="AO135" i="1"/>
  <c r="AX135" i="3"/>
  <c r="AP135" i="3"/>
  <c r="Y135" i="5"/>
  <c r="BM135" i="3" a="1"/>
  <c r="BM135" i="3" s="1"/>
  <c r="X135" i="5"/>
  <c r="W135" i="5"/>
  <c r="AQ135" i="3"/>
  <c r="AP155" i="3"/>
  <c r="AO155" i="3"/>
  <c r="BD155" i="3" s="1"/>
  <c r="AO155" i="1"/>
  <c r="BJ155" i="1" s="1"/>
  <c r="AX155" i="3"/>
  <c r="W155" i="5"/>
  <c r="Y155" i="5"/>
  <c r="AQ155" i="3"/>
  <c r="X155" i="5"/>
  <c r="BM120" i="3" a="1"/>
  <c r="BM120" i="3" s="1"/>
  <c r="AV120" i="3"/>
  <c r="BM159" i="3" a="1"/>
  <c r="BM159" i="3" s="1"/>
  <c r="AV159" i="3"/>
  <c r="BK129" i="3"/>
  <c r="AU129" i="3"/>
  <c r="AD129" i="1" s="1"/>
  <c r="O129" i="5" s="1"/>
  <c r="P129" i="5" s="1"/>
  <c r="AP7" i="3"/>
  <c r="BE7" i="3" s="1"/>
  <c r="BN7" i="1"/>
  <c r="BP7" i="1" s="1"/>
  <c r="BM7" i="1" s="1"/>
  <c r="CH7" i="1"/>
  <c r="AX7" i="1"/>
  <c r="CA7" i="1"/>
  <c r="CD7" i="1"/>
  <c r="BB7" i="1"/>
  <c r="CI7" i="1"/>
  <c r="BH7" i="1"/>
  <c r="BK7" i="1" s="1"/>
  <c r="O7" i="1"/>
  <c r="N7" i="1"/>
  <c r="CB7" i="1"/>
  <c r="CG7" i="1"/>
  <c r="CE7" i="1"/>
  <c r="AI7" i="1"/>
  <c r="AJ7" i="1" s="1"/>
  <c r="BI7" i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O19" i="1"/>
  <c r="BJ19" i="1" s="1"/>
  <c r="AX19" i="3"/>
  <c r="AP19" i="3"/>
  <c r="Y19" i="5"/>
  <c r="W19" i="5"/>
  <c r="X19" i="5"/>
  <c r="AQ19" i="3"/>
  <c r="AO28" i="3"/>
  <c r="BD28" i="3" s="1"/>
  <c r="AO28" i="1"/>
  <c r="AX28" i="3"/>
  <c r="AQ28" i="3"/>
  <c r="W28" i="5"/>
  <c r="AP28" i="3"/>
  <c r="X28" i="5"/>
  <c r="Y28" i="5"/>
  <c r="AO91" i="3"/>
  <c r="BD91" i="3" s="1"/>
  <c r="AP91" i="3"/>
  <c r="BE91" i="3" s="1"/>
  <c r="AO91" i="1"/>
  <c r="BJ91" i="1" s="1"/>
  <c r="X91" i="5"/>
  <c r="W91" i="5"/>
  <c r="AX91" i="3"/>
  <c r="AQ91" i="3"/>
  <c r="Y91" i="5"/>
  <c r="AP136" i="3"/>
  <c r="BE136" i="3" s="1"/>
  <c r="AO136" i="3"/>
  <c r="BD136" i="3" s="1"/>
  <c r="AO136" i="1"/>
  <c r="BJ136" i="1" s="1"/>
  <c r="AX136" i="3"/>
  <c r="X136" i="5"/>
  <c r="Y136" i="5"/>
  <c r="AQ136" i="3"/>
  <c r="W136" i="5"/>
  <c r="AP139" i="3"/>
  <c r="BE139" i="3" s="1"/>
  <c r="AO139" i="3"/>
  <c r="BD139" i="3" s="1"/>
  <c r="AO139" i="1"/>
  <c r="BJ139" i="1" s="1"/>
  <c r="AX139" i="3"/>
  <c r="W139" i="5"/>
  <c r="AQ139" i="3"/>
  <c r="X139" i="5"/>
  <c r="Y139" i="5"/>
  <c r="AP156" i="3"/>
  <c r="AO156" i="3"/>
  <c r="BD156" i="3" s="1"/>
  <c r="AO156" i="1"/>
  <c r="BJ156" i="1" s="1"/>
  <c r="AX156" i="3"/>
  <c r="AQ156" i="3"/>
  <c r="X156" i="5"/>
  <c r="W156" i="5"/>
  <c r="Y156" i="5"/>
  <c r="BM123" i="3" a="1"/>
  <c r="BM123" i="3" s="1"/>
  <c r="BQ123" i="3" s="1"/>
  <c r="AV123" i="3"/>
  <c r="AI123" i="1" s="1"/>
  <c r="AJ123" i="1" s="1"/>
  <c r="AU6" i="3"/>
  <c r="AP8" i="3"/>
  <c r="BE8" i="3" s="1"/>
  <c r="CH8" i="1"/>
  <c r="BN8" i="1"/>
  <c r="BP8" i="1" s="1"/>
  <c r="BM8" i="1" s="1"/>
  <c r="CI8" i="1"/>
  <c r="CD8" i="1"/>
  <c r="CE8" i="1"/>
  <c r="O8" i="1"/>
  <c r="BH8" i="1"/>
  <c r="BK8" i="1" s="1"/>
  <c r="CG8" i="1"/>
  <c r="CA8" i="1"/>
  <c r="CB8" i="1"/>
  <c r="AX8" i="1"/>
  <c r="BB8" i="1"/>
  <c r="N8" i="1"/>
  <c r="AI8" i="1"/>
  <c r="AJ8" i="1" s="1"/>
  <c r="BI8" i="1"/>
  <c r="W8" i="5"/>
  <c r="K8" i="1"/>
  <c r="X8" i="5"/>
  <c r="BD8" i="3"/>
  <c r="AQ8" i="3"/>
  <c r="BG8" i="3" s="1"/>
  <c r="AP8" i="1"/>
  <c r="AB8" i="5" s="1"/>
  <c r="AC8" i="5"/>
  <c r="BG8" i="1"/>
  <c r="Y8" i="5"/>
  <c r="BK48" i="3"/>
  <c r="BO48" i="3"/>
  <c r="BS48" i="3" s="1"/>
  <c r="V21" i="1"/>
  <c r="T21" i="1"/>
  <c r="G21" i="5"/>
  <c r="W21" i="1"/>
  <c r="U21" i="1"/>
  <c r="T129" i="5"/>
  <c r="V129" i="5"/>
  <c r="U129" i="5"/>
  <c r="BC2" i="3"/>
  <c r="AX2" i="3"/>
  <c r="BA2" i="3"/>
  <c r="AO30" i="3"/>
  <c r="BD30" i="3" s="1"/>
  <c r="AO30" i="1"/>
  <c r="AX30" i="3"/>
  <c r="Y30" i="5"/>
  <c r="W30" i="5"/>
  <c r="AP30" i="3"/>
  <c r="BE30" i="3" s="1"/>
  <c r="X30" i="5"/>
  <c r="AQ30" i="3"/>
  <c r="AO92" i="3"/>
  <c r="BD92" i="3" s="1"/>
  <c r="AP92" i="3"/>
  <c r="BE92" i="3" s="1"/>
  <c r="AO92" i="1"/>
  <c r="AX92" i="3"/>
  <c r="Y92" i="5"/>
  <c r="AQ92" i="3"/>
  <c r="W92" i="5"/>
  <c r="X92" i="5"/>
  <c r="AO137" i="3"/>
  <c r="BD137" i="3" s="1"/>
  <c r="AP137" i="3"/>
  <c r="AO137" i="1"/>
  <c r="AX137" i="3"/>
  <c r="X137" i="5"/>
  <c r="Y137" i="5"/>
  <c r="W137" i="5"/>
  <c r="AP141" i="3"/>
  <c r="BE141" i="3" s="1"/>
  <c r="AO141" i="3"/>
  <c r="BD141" i="3" s="1"/>
  <c r="AO141" i="1"/>
  <c r="BJ141" i="1" s="1"/>
  <c r="AX141" i="3"/>
  <c r="AQ141" i="3"/>
  <c r="W141" i="5"/>
  <c r="Y141" i="5"/>
  <c r="X141" i="5"/>
  <c r="AO157" i="3"/>
  <c r="BD157" i="3" s="1"/>
  <c r="AP157" i="3"/>
  <c r="AO157" i="1"/>
  <c r="BJ157" i="1" s="1"/>
  <c r="W157" i="5"/>
  <c r="AX157" i="3"/>
  <c r="X157" i="5"/>
  <c r="AQ157" i="3"/>
  <c r="Y157" i="5"/>
  <c r="AV17" i="3"/>
  <c r="AI17" i="1" s="1"/>
  <c r="AJ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X11" i="1"/>
  <c r="CA11" i="1"/>
  <c r="CB11" i="1"/>
  <c r="N11" i="1"/>
  <c r="BH11" i="1"/>
  <c r="BK11" i="1" s="1"/>
  <c r="CE11" i="1"/>
  <c r="BB11" i="1"/>
  <c r="CH11" i="1"/>
  <c r="BI11" i="1"/>
  <c r="CI11" i="1"/>
  <c r="BN11" i="1"/>
  <c r="BP11" i="1" s="1"/>
  <c r="BM11" i="1" s="1"/>
  <c r="CG11" i="1"/>
  <c r="AI11" i="1"/>
  <c r="AJ11" i="1" s="1"/>
  <c r="O11" i="1"/>
  <c r="CD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O3" i="3"/>
  <c r="BD3" i="3" s="1"/>
  <c r="AO3" i="1"/>
  <c r="AX3" i="3"/>
  <c r="AO31" i="3"/>
  <c r="BD31" i="3" s="1"/>
  <c r="AO31" i="1"/>
  <c r="AX31" i="3"/>
  <c r="AP31" i="3"/>
  <c r="BM31" i="3" a="1"/>
  <c r="BM31" i="3" s="1"/>
  <c r="W31" i="5"/>
  <c r="X31" i="5"/>
  <c r="AQ31" i="3"/>
  <c r="Y31" i="5"/>
  <c r="AO51" i="3"/>
  <c r="BD51" i="3" s="1"/>
  <c r="AO51" i="1"/>
  <c r="AX51" i="3"/>
  <c r="X51" i="5"/>
  <c r="BM51" i="3" a="1"/>
  <c r="BM51" i="3" s="1"/>
  <c r="AP51" i="3"/>
  <c r="W51" i="5"/>
  <c r="Y51" i="5"/>
  <c r="AO63" i="3"/>
  <c r="BD63" i="3" s="1"/>
  <c r="AO63" i="1"/>
  <c r="AX63" i="3"/>
  <c r="X63" i="5"/>
  <c r="AQ63" i="3"/>
  <c r="BM63" i="3" a="1"/>
  <c r="BM63" i="3" s="1"/>
  <c r="W63" i="5"/>
  <c r="AP63" i="3"/>
  <c r="Y63" i="5"/>
  <c r="AP110" i="3"/>
  <c r="AO110" i="3"/>
  <c r="BD110" i="3" s="1"/>
  <c r="AO110" i="1"/>
  <c r="AX110" i="3"/>
  <c r="W110" i="5"/>
  <c r="X110" i="5"/>
  <c r="Y110" i="5"/>
  <c r="AO142" i="3"/>
  <c r="BD142" i="3" s="1"/>
  <c r="AP142" i="3"/>
  <c r="BE142" i="3" s="1"/>
  <c r="AO142" i="1"/>
  <c r="BJ142" i="1" s="1"/>
  <c r="Y142" i="5"/>
  <c r="AX142" i="3"/>
  <c r="W142" i="5"/>
  <c r="X142" i="5"/>
  <c r="AQ142" i="3"/>
  <c r="AO159" i="3"/>
  <c r="BD159" i="3" s="1"/>
  <c r="AP159" i="3"/>
  <c r="W159" i="5"/>
  <c r="X159" i="5"/>
  <c r="Y159" i="5"/>
  <c r="AO159" i="1"/>
  <c r="BJ159" i="1" s="1"/>
  <c r="AX159" i="3"/>
  <c r="AQ159" i="3"/>
  <c r="AV18" i="3"/>
  <c r="AI18" i="1" s="1"/>
  <c r="AJ18" i="1" s="1"/>
  <c r="BM18" i="3" a="1"/>
  <c r="BM18" i="3" s="1"/>
  <c r="BQ18" i="3" s="1"/>
  <c r="BM150" i="3" a="1"/>
  <c r="BM150" i="3" s="1"/>
  <c r="BQ150" i="3" s="1"/>
  <c r="AV150" i="3"/>
  <c r="AI150" i="1" s="1"/>
  <c r="AJ150" i="1" s="1"/>
  <c r="BK65" i="3"/>
  <c r="AU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K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O6" i="1"/>
  <c r="AX6" i="3"/>
  <c r="AP6" i="3"/>
  <c r="Y6" i="5"/>
  <c r="X6" i="5"/>
  <c r="AQ6" i="3"/>
  <c r="W6" i="5"/>
  <c r="AO39" i="3"/>
  <c r="BD39" i="3" s="1"/>
  <c r="AO39" i="1"/>
  <c r="AX39" i="3"/>
  <c r="Y39" i="5"/>
  <c r="AQ39" i="3"/>
  <c r="AP39" i="3"/>
  <c r="BE39" i="3" s="1"/>
  <c r="X39" i="5"/>
  <c r="W39" i="5"/>
  <c r="AO52" i="3"/>
  <c r="BD52" i="3" s="1"/>
  <c r="AO52" i="1"/>
  <c r="AX52" i="3"/>
  <c r="BM52" i="3" a="1"/>
  <c r="BM52" i="3" s="1"/>
  <c r="AP52" i="3"/>
  <c r="W52" i="5"/>
  <c r="X52" i="5"/>
  <c r="Y52" i="5"/>
  <c r="AO70" i="3"/>
  <c r="BD70" i="3" s="1"/>
  <c r="AO70" i="1"/>
  <c r="AX70" i="3"/>
  <c r="AP70" i="3"/>
  <c r="BE70" i="3" s="1"/>
  <c r="AQ70" i="3"/>
  <c r="Y70" i="5"/>
  <c r="W70" i="5"/>
  <c r="X70" i="5"/>
  <c r="AO111" i="3"/>
  <c r="BD111" i="3" s="1"/>
  <c r="AO111" i="1"/>
  <c r="AX111" i="3"/>
  <c r="AQ111" i="3"/>
  <c r="AP111" i="3"/>
  <c r="BM111" i="3" a="1"/>
  <c r="BM111" i="3" s="1"/>
  <c r="W111" i="5"/>
  <c r="X111" i="5"/>
  <c r="Y111" i="5"/>
  <c r="AP143" i="3"/>
  <c r="BE143" i="3" s="1"/>
  <c r="AO143" i="3"/>
  <c r="BD143" i="3" s="1"/>
  <c r="AO143" i="1"/>
  <c r="BJ143" i="1" s="1"/>
  <c r="AX143" i="3"/>
  <c r="X143" i="5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O7" i="3"/>
  <c r="BD7" i="3" s="1"/>
  <c r="AO7" i="1"/>
  <c r="AX7" i="3"/>
  <c r="AO43" i="3"/>
  <c r="BD43" i="3" s="1"/>
  <c r="AO43" i="1"/>
  <c r="AX43" i="3"/>
  <c r="AP43" i="3"/>
  <c r="Y43" i="5"/>
  <c r="BN43" i="3"/>
  <c r="X43" i="5"/>
  <c r="BM43" i="3" a="1"/>
  <c r="BM43" i="3" s="1"/>
  <c r="W43" i="5"/>
  <c r="AO71" i="3"/>
  <c r="AO71" i="1"/>
  <c r="AX71" i="3"/>
  <c r="W71" i="5"/>
  <c r="AQ71" i="3"/>
  <c r="AD191" i="1" s="1"/>
  <c r="O191" i="5" s="1"/>
  <c r="X71" i="5"/>
  <c r="AP71" i="3"/>
  <c r="BE71" i="3" s="1"/>
  <c r="Y71" i="5"/>
  <c r="AO112" i="3"/>
  <c r="BD112" i="3" s="1"/>
  <c r="AO112" i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O144" i="1"/>
  <c r="BJ144" i="1" s="1"/>
  <c r="X144" i="5"/>
  <c r="AQ144" i="3"/>
  <c r="Y144" i="5"/>
  <c r="AV20" i="3"/>
  <c r="AI20" i="1" s="1"/>
  <c r="AJ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O9" i="1"/>
  <c r="AX9" i="3"/>
  <c r="W9" i="5"/>
  <c r="X9" i="5"/>
  <c r="Y9" i="5"/>
  <c r="AQ9" i="3"/>
  <c r="AP9" i="3"/>
  <c r="BE9" i="3" s="1"/>
  <c r="AO46" i="3"/>
  <c r="BD46" i="3" s="1"/>
  <c r="AO46" i="1"/>
  <c r="AX46" i="3"/>
  <c r="Y46" i="5"/>
  <c r="AP46" i="3"/>
  <c r="W46" i="5"/>
  <c r="X46" i="5"/>
  <c r="BN46" i="3"/>
  <c r="BM46" i="3" a="1"/>
  <c r="BM46" i="3" s="1"/>
  <c r="AO74" i="3"/>
  <c r="BD74" i="3" s="1"/>
  <c r="AO74" i="1"/>
  <c r="BJ74" i="1" s="1"/>
  <c r="AX74" i="3"/>
  <c r="AQ74" i="3"/>
  <c r="W74" i="5"/>
  <c r="AP74" i="3"/>
  <c r="X74" i="5"/>
  <c r="Y74" i="5"/>
  <c r="AO113" i="3"/>
  <c r="BD113" i="3" s="1"/>
  <c r="AP113" i="3"/>
  <c r="BE113" i="3" s="1"/>
  <c r="AO113" i="1"/>
  <c r="BJ113" i="1" s="1"/>
  <c r="W113" i="5"/>
  <c r="X113" i="5"/>
  <c r="Y113" i="5"/>
  <c r="AX113" i="3"/>
  <c r="AQ113" i="3"/>
  <c r="AO145" i="3"/>
  <c r="BD145" i="3" s="1"/>
  <c r="AP145" i="3"/>
  <c r="BE145" i="3" s="1"/>
  <c r="AO145" i="1"/>
  <c r="BJ145" i="1" s="1"/>
  <c r="W145" i="5"/>
  <c r="X145" i="5"/>
  <c r="Y145" i="5"/>
  <c r="AX145" i="3"/>
  <c r="AQ145" i="3"/>
  <c r="AV28" i="3"/>
  <c r="BM28" i="3" a="1"/>
  <c r="BM28" i="3" s="1"/>
  <c r="BM153" i="3" a="1"/>
  <c r="BM153" i="3" s="1"/>
  <c r="AV153" i="3"/>
  <c r="BK69" i="3"/>
  <c r="AU69" i="3"/>
  <c r="AD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O14" i="3"/>
  <c r="BD14" i="3" s="1"/>
  <c r="AO14" i="1"/>
  <c r="BJ14" i="1" s="1"/>
  <c r="AX14" i="3"/>
  <c r="AP14" i="3"/>
  <c r="BE14" i="3" s="1"/>
  <c r="AQ14" i="3"/>
  <c r="W14" i="5"/>
  <c r="X14" i="5"/>
  <c r="Y14" i="5"/>
  <c r="AP79" i="3"/>
  <c r="AO79" i="3"/>
  <c r="BD79" i="3" s="1"/>
  <c r="AO79" i="1"/>
  <c r="W79" i="5"/>
  <c r="Y79" i="5"/>
  <c r="AX79" i="3"/>
  <c r="X79" i="5"/>
  <c r="AO124" i="3"/>
  <c r="BD124" i="3" s="1"/>
  <c r="AO124" i="1"/>
  <c r="BJ124" i="1" s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O148" i="1"/>
  <c r="BJ148" i="1" s="1"/>
  <c r="AX148" i="3"/>
  <c r="W148" i="5"/>
  <c r="AQ148" i="3"/>
  <c r="X148" i="5"/>
  <c r="Y148" i="5"/>
  <c r="AP152" i="3"/>
  <c r="AO152" i="3"/>
  <c r="BD152" i="3" s="1"/>
  <c r="AO152" i="1"/>
  <c r="BJ152" i="1" s="1"/>
  <c r="AX152" i="3"/>
  <c r="Y152" i="5"/>
  <c r="AQ152" i="3"/>
  <c r="X152" i="5"/>
  <c r="W152" i="5"/>
  <c r="AV84" i="3"/>
  <c r="AI84" i="1" s="1"/>
  <c r="AJ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H27" i="5"/>
  <c r="J27" i="5"/>
  <c r="I27" i="5"/>
  <c r="T112" i="5"/>
  <c r="V112" i="5"/>
  <c r="U112" i="5"/>
  <c r="T50" i="5"/>
  <c r="U50" i="5"/>
  <c r="V50" i="5"/>
  <c r="H45" i="5"/>
  <c r="J45" i="5"/>
  <c r="AO15" i="3"/>
  <c r="BD15" i="3" s="1"/>
  <c r="AO15" i="1"/>
  <c r="BJ15" i="1" s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O149" i="1"/>
  <c r="BJ149" i="1" s="1"/>
  <c r="AX149" i="3"/>
  <c r="AQ149" i="3"/>
  <c r="AP153" i="3"/>
  <c r="AO153" i="3"/>
  <c r="BD153" i="3" s="1"/>
  <c r="AO153" i="1"/>
  <c r="BJ153" i="1" s="1"/>
  <c r="AX153" i="3"/>
  <c r="W153" i="5"/>
  <c r="Y153" i="5"/>
  <c r="X153" i="5"/>
  <c r="AQ153" i="3"/>
  <c r="AV6" i="3"/>
  <c r="BM6" i="3" a="1"/>
  <c r="BM6" i="3" s="1"/>
  <c r="BM114" i="3" a="1"/>
  <c r="BM114" i="3" s="1"/>
  <c r="BQ114" i="3" s="1"/>
  <c r="AV114" i="3"/>
  <c r="AI114" i="1" s="1"/>
  <c r="AJ114" i="1" s="1"/>
  <c r="BM157" i="3" a="1"/>
  <c r="BM157" i="3" s="1"/>
  <c r="AV157" i="3"/>
  <c r="AU25" i="3"/>
  <c r="BF42" i="3"/>
  <c r="BP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O16" i="1"/>
  <c r="BJ16" i="1" s="1"/>
  <c r="AX16" i="3"/>
  <c r="Y16" i="5"/>
  <c r="X16" i="5"/>
  <c r="W16" i="5"/>
  <c r="AP16" i="3"/>
  <c r="BE16" i="3" s="1"/>
  <c r="AQ16" i="3"/>
  <c r="AO25" i="3"/>
  <c r="AO25" i="1"/>
  <c r="AX25" i="3"/>
  <c r="AP25" i="3"/>
  <c r="BE25" i="3" s="1"/>
  <c r="AQ25" i="3"/>
  <c r="W25" i="5"/>
  <c r="X25" i="5"/>
  <c r="Y25" i="5"/>
  <c r="AO86" i="3"/>
  <c r="BD86" i="3" s="1"/>
  <c r="AO86" i="1"/>
  <c r="BJ86" i="1" s="1"/>
  <c r="AX86" i="3"/>
  <c r="Y86" i="5"/>
  <c r="AP86" i="3"/>
  <c r="BE86" i="3" s="1"/>
  <c r="AQ86" i="3"/>
  <c r="W86" i="5"/>
  <c r="X86" i="5"/>
  <c r="AO154" i="3"/>
  <c r="BD154" i="3" s="1"/>
  <c r="AP154" i="3"/>
  <c r="AX154" i="3"/>
  <c r="AO154" i="1"/>
  <c r="BJ154" i="1" s="1"/>
  <c r="AQ154" i="3"/>
  <c r="X154" i="5"/>
  <c r="W154" i="5"/>
  <c r="Y154" i="5"/>
  <c r="BM118" i="3" a="1"/>
  <c r="BM118" i="3" s="1"/>
  <c r="BQ118" i="3" s="1"/>
  <c r="AV118" i="3"/>
  <c r="S118" i="1" s="1"/>
  <c r="BM158" i="3" a="1"/>
  <c r="BM158" i="3" s="1"/>
  <c r="BQ158" i="3" s="1"/>
  <c r="AV158" i="3"/>
  <c r="AI158" i="1" s="1"/>
  <c r="AJ158" i="1" s="1"/>
  <c r="BK33" i="3"/>
  <c r="AU33" i="3"/>
  <c r="AD33" i="1" s="1"/>
  <c r="BK125" i="3"/>
  <c r="AU125" i="3"/>
  <c r="AD125" i="1" s="1"/>
  <c r="O125" i="5" s="1"/>
  <c r="P125" i="5" s="1"/>
  <c r="AP5" i="3"/>
  <c r="BE5" i="3" s="1"/>
  <c r="AX5" i="1"/>
  <c r="CA5" i="1"/>
  <c r="BB5" i="1"/>
  <c r="CD5" i="1"/>
  <c r="BI5" i="1"/>
  <c r="CH5" i="1"/>
  <c r="N5" i="1"/>
  <c r="CI5" i="1"/>
  <c r="AI5" i="1"/>
  <c r="AJ5" i="1" s="1"/>
  <c r="CB5" i="1"/>
  <c r="CE5" i="1"/>
  <c r="CG5" i="1"/>
  <c r="BH5" i="1"/>
  <c r="BK5" i="1" s="1"/>
  <c r="BN5" i="1"/>
  <c r="BP5" i="1" s="1"/>
  <c r="BM5" i="1" s="1"/>
  <c r="O5" i="1"/>
  <c r="Y5" i="5"/>
  <c r="BD5" i="3"/>
  <c r="AQ5" i="3"/>
  <c r="BG5" i="3" s="1"/>
  <c r="W5" i="5"/>
  <c r="AC5" i="5"/>
  <c r="BG5" i="1"/>
  <c r="X5" i="5"/>
  <c r="K5" i="1"/>
  <c r="AP5" i="1"/>
  <c r="AB5" i="5" s="1"/>
  <c r="I69" i="5"/>
  <c r="H69" i="5"/>
  <c r="J69" i="5"/>
  <c r="BK22" i="3"/>
  <c r="R22" i="5" s="1"/>
  <c r="V72" i="5"/>
  <c r="U72" i="5"/>
  <c r="T72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J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C5" i="3"/>
  <c r="BM5" i="3" a="1"/>
  <c r="BM5" i="3" s="1"/>
  <c r="BM7" i="3" a="1"/>
  <c r="BM7" i="3" s="1"/>
  <c r="BQ7" i="3" s="1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P72" i="5"/>
  <c r="Q72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U84" i="3"/>
  <c r="AD84" i="1" s="1"/>
  <c r="O84" i="5" s="1"/>
  <c r="AU54" i="3"/>
  <c r="AU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U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U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U50" i="3"/>
  <c r="AU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U49" i="3"/>
  <c r="AU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U111" i="3"/>
  <c r="AU7" i="3"/>
  <c r="AU5" i="3"/>
  <c r="AU121" i="3"/>
  <c r="AD121" i="1" s="1"/>
  <c r="O121" i="5" s="1"/>
  <c r="AU8" i="3"/>
  <c r="AU11" i="3"/>
  <c r="S2" i="1"/>
  <c r="G2" i="5" s="1"/>
  <c r="AU112" i="3"/>
  <c r="AU113" i="3"/>
  <c r="AU85" i="3"/>
  <c r="AD85" i="1" s="1"/>
  <c r="O85" i="5" s="1"/>
  <c r="AU17" i="3"/>
  <c r="AD17" i="1" s="1"/>
  <c r="O17" i="5" s="1"/>
  <c r="AU83" i="3"/>
  <c r="AD83" i="1" s="1"/>
  <c r="O83" i="5" s="1"/>
  <c r="P83" i="5" s="1"/>
  <c r="AU82" i="3"/>
  <c r="AD82" i="1" s="1"/>
  <c r="O82" i="5" s="1"/>
  <c r="AU45" i="3"/>
  <c r="AU53" i="3"/>
  <c r="AU88" i="3"/>
  <c r="AU42" i="3"/>
  <c r="AU20" i="3"/>
  <c r="AD20" i="1" s="1"/>
  <c r="O20" i="5" s="1"/>
  <c r="AU87" i="3"/>
  <c r="AU96" i="3"/>
  <c r="AU26" i="3"/>
  <c r="CI2" i="1"/>
  <c r="CH2" i="1"/>
  <c r="X27" i="1"/>
  <c r="X88" i="1"/>
  <c r="X53" i="1"/>
  <c r="X50" i="1"/>
  <c r="X49" i="1"/>
  <c r="X45" i="1"/>
  <c r="X44" i="1"/>
  <c r="AW25" i="3"/>
  <c r="AW29" i="3"/>
  <c r="X29" i="1" s="1"/>
  <c r="AB29" i="1" s="1"/>
  <c r="AW42" i="3"/>
  <c r="X42" i="1" s="1"/>
  <c r="AW51" i="3"/>
  <c r="AW54" i="3"/>
  <c r="X54" i="1" s="1"/>
  <c r="AW96" i="3"/>
  <c r="X96" i="1" s="1"/>
  <c r="AW97" i="3"/>
  <c r="X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G2" i="1"/>
  <c r="CB2" i="1"/>
  <c r="CE2" i="1"/>
  <c r="CA2" i="1"/>
  <c r="CD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N2" i="1"/>
  <c r="AZ2" i="1"/>
  <c r="AX2" i="1"/>
  <c r="O2" i="1"/>
  <c r="AM4" i="3"/>
  <c r="AN4" i="3" s="1"/>
  <c r="Z4" i="5" s="1"/>
  <c r="AM8" i="3"/>
  <c r="AN8" i="3" s="1"/>
  <c r="Z8" i="5" s="1"/>
  <c r="BN2" i="1"/>
  <c r="BP2" i="1" s="1"/>
  <c r="BI2" i="1"/>
  <c r="BH2" i="1"/>
  <c r="L153" i="3"/>
  <c r="I153" i="1" s="1"/>
  <c r="L139" i="3"/>
  <c r="I139" i="1" s="1"/>
  <c r="L141" i="3"/>
  <c r="I141" i="1" s="1"/>
  <c r="AO2" i="1"/>
  <c r="L144" i="3"/>
  <c r="I144" i="1" s="1"/>
  <c r="L145" i="3"/>
  <c r="I145" i="1" s="1"/>
  <c r="L152" i="3"/>
  <c r="I152" i="1" s="1"/>
  <c r="L147" i="3"/>
  <c r="I147" i="1" s="1"/>
  <c r="AL14" i="3"/>
  <c r="L149" i="3"/>
  <c r="I149" i="1" s="1"/>
  <c r="BB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M121" i="3"/>
  <c r="AN121" i="3" s="1"/>
  <c r="AM59" i="3"/>
  <c r="AN59" i="3" s="1"/>
  <c r="Z59" i="5" s="1"/>
  <c r="AM158" i="3"/>
  <c r="AN158" i="3" s="1"/>
  <c r="Z158" i="5" s="1"/>
  <c r="AM99" i="3"/>
  <c r="AN99" i="3" s="1"/>
  <c r="Z99" i="5" s="1"/>
  <c r="AM83" i="3"/>
  <c r="AN83" i="3" s="1"/>
  <c r="AM123" i="3"/>
  <c r="AN123" i="3" s="1"/>
  <c r="Z123" i="5" s="1"/>
  <c r="AM150" i="3"/>
  <c r="AN150" i="3" s="1"/>
  <c r="Z150" i="5" s="1"/>
  <c r="AM114" i="3"/>
  <c r="AN114" i="3" s="1"/>
  <c r="Z114" i="5" s="1"/>
  <c r="AM62" i="3"/>
  <c r="AN62" i="3" s="1"/>
  <c r="Z62" i="5" s="1"/>
  <c r="AM20" i="3"/>
  <c r="AN20" i="3" s="1"/>
  <c r="Z20" i="5" s="1"/>
  <c r="AM109" i="3"/>
  <c r="AN109" i="3" s="1"/>
  <c r="Z109" i="5" s="1"/>
  <c r="AM138" i="3"/>
  <c r="AN138" i="3" s="1"/>
  <c r="Z138" i="5" s="1"/>
  <c r="AM128" i="3"/>
  <c r="AN128" i="3" s="1"/>
  <c r="Z128" i="5" s="1"/>
  <c r="AM17" i="3"/>
  <c r="AN17" i="3" s="1"/>
  <c r="Z17" i="5" s="1"/>
  <c r="AM85" i="3"/>
  <c r="AN85" i="3" s="1"/>
  <c r="AM100" i="3"/>
  <c r="AN100" i="3" s="1"/>
  <c r="Z100" i="5" s="1"/>
  <c r="AM84" i="3"/>
  <c r="AN84" i="3" s="1"/>
  <c r="Z84" i="5" s="1"/>
  <c r="AM58" i="3"/>
  <c r="AN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Z36" i="5" s="1"/>
  <c r="AN27" i="3"/>
  <c r="AN48" i="3"/>
  <c r="Z48" i="5" s="1"/>
  <c r="AN33" i="3"/>
  <c r="AN69" i="3"/>
  <c r="AM140" i="3"/>
  <c r="AN140" i="3" s="1"/>
  <c r="Z140" i="5" s="1"/>
  <c r="AM57" i="3"/>
  <c r="AN57" i="3" s="1"/>
  <c r="Z57" i="5" s="1"/>
  <c r="AM56" i="3"/>
  <c r="AN56" i="3" s="1"/>
  <c r="Z56" i="5" s="1"/>
  <c r="AM119" i="3"/>
  <c r="AN119" i="3" s="1"/>
  <c r="Z119" i="5" s="1"/>
  <c r="AM55" i="3"/>
  <c r="AN55" i="3" s="1"/>
  <c r="Z55" i="5" s="1"/>
  <c r="AN131" i="3"/>
  <c r="Z131" i="5" s="1"/>
  <c r="AN125" i="3"/>
  <c r="Z125" i="5" s="1"/>
  <c r="AN117" i="3"/>
  <c r="Z117" i="5" s="1"/>
  <c r="AN118" i="3"/>
  <c r="Z118" i="5" s="1"/>
  <c r="AN107" i="3"/>
  <c r="Z107" i="5" s="1"/>
  <c r="AN95" i="3"/>
  <c r="Z95" i="5" s="1"/>
  <c r="AN73" i="3"/>
  <c r="AN65" i="3"/>
  <c r="AN50" i="3"/>
  <c r="Z50" i="5" s="1"/>
  <c r="AN24" i="3"/>
  <c r="Z24" i="5" s="1"/>
  <c r="AN12" i="3"/>
  <c r="Z12" i="5" s="1"/>
  <c r="AN89" i="3"/>
  <c r="AN82" i="3"/>
  <c r="AN49" i="3"/>
  <c r="Z49" i="5" s="1"/>
  <c r="AN41" i="3"/>
  <c r="AP2" i="3"/>
  <c r="BE2" i="3" s="1"/>
  <c r="AN23" i="3"/>
  <c r="Z23" i="5" s="1"/>
  <c r="AN61" i="3"/>
  <c r="AM156" i="3"/>
  <c r="AN67" i="3"/>
  <c r="AN60" i="3"/>
  <c r="Z60" i="5" s="1"/>
  <c r="AN54" i="3"/>
  <c r="Z54" i="5" s="1"/>
  <c r="AN37" i="3"/>
  <c r="Z37" i="5" s="1"/>
  <c r="AN29" i="3"/>
  <c r="Z29" i="5" s="1"/>
  <c r="AL143" i="3"/>
  <c r="AN130" i="3"/>
  <c r="Z130" i="5" s="1"/>
  <c r="AN116" i="3"/>
  <c r="Z116" i="5" s="1"/>
  <c r="AN76" i="3"/>
  <c r="Z76" i="5" s="1"/>
  <c r="AN129" i="3"/>
  <c r="AN122" i="3"/>
  <c r="Z122" i="5" s="1"/>
  <c r="AN104" i="3"/>
  <c r="Z104" i="5" s="1"/>
  <c r="AN98" i="3"/>
  <c r="Z98" i="5" s="1"/>
  <c r="AL90" i="3"/>
  <c r="AN35" i="3"/>
  <c r="AN34" i="3"/>
  <c r="Z34" i="5" s="1"/>
  <c r="AN10" i="3"/>
  <c r="AN64" i="3"/>
  <c r="AL137" i="3"/>
  <c r="AN22" i="3"/>
  <c r="Z22" i="5" s="1"/>
  <c r="AN134" i="3"/>
  <c r="Z134" i="5" s="1"/>
  <c r="AN127" i="3"/>
  <c r="AN88" i="3"/>
  <c r="Z88" i="5" s="1"/>
  <c r="AN87" i="3"/>
  <c r="Z87" i="5" s="1"/>
  <c r="AN68" i="3"/>
  <c r="AN47" i="3"/>
  <c r="Z47" i="5" s="1"/>
  <c r="AN38" i="3"/>
  <c r="Z38" i="5" s="1"/>
  <c r="AN32" i="3"/>
  <c r="AN101" i="3"/>
  <c r="Z101" i="5" s="1"/>
  <c r="AL124" i="3"/>
  <c r="AL78" i="3"/>
  <c r="AN18" i="3"/>
  <c r="Z18" i="5" s="1"/>
  <c r="AM139" i="3"/>
  <c r="AN106" i="3"/>
  <c r="Z106" i="5" s="1"/>
  <c r="AN94" i="3"/>
  <c r="Z94" i="5" s="1"/>
  <c r="AN77" i="3"/>
  <c r="Z77" i="5" s="1"/>
  <c r="AN40" i="3"/>
  <c r="Z40" i="5" s="1"/>
  <c r="AL139" i="3"/>
  <c r="AM157" i="3"/>
  <c r="AN105" i="3"/>
  <c r="Z105" i="5" s="1"/>
  <c r="AN93" i="3"/>
  <c r="Z93" i="5" s="1"/>
  <c r="AL46" i="3"/>
  <c r="AL157" i="3"/>
  <c r="AN66" i="3"/>
  <c r="AN53" i="3"/>
  <c r="Z53" i="5" s="1"/>
  <c r="AN45" i="3"/>
  <c r="AL30" i="3"/>
  <c r="AN21" i="3"/>
  <c r="Z21" i="5" s="1"/>
  <c r="AL155" i="3"/>
  <c r="AM113" i="3"/>
  <c r="AL52" i="3"/>
  <c r="BN52" i="3" s="1"/>
  <c r="AL151" i="3"/>
  <c r="AL120" i="3"/>
  <c r="AN103" i="3"/>
  <c r="Z103" i="5" s="1"/>
  <c r="AN97" i="3"/>
  <c r="Z97" i="5" s="1"/>
  <c r="AN72" i="3"/>
  <c r="AL28" i="3"/>
  <c r="AN133" i="3"/>
  <c r="Z133" i="5" s="1"/>
  <c r="AN126" i="3"/>
  <c r="AN81" i="3"/>
  <c r="Z81" i="5" s="1"/>
  <c r="AN42" i="3"/>
  <c r="AN108" i="3"/>
  <c r="Z108" i="5" s="1"/>
  <c r="AN102" i="3"/>
  <c r="Z102" i="5" s="1"/>
  <c r="AN96" i="3"/>
  <c r="Z96" i="5" s="1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S28" i="1" s="1"/>
  <c r="L14" i="3"/>
  <c r="I14" i="1" s="1"/>
  <c r="L15" i="3"/>
  <c r="I15" i="1" s="1"/>
  <c r="L16" i="3"/>
  <c r="I16" i="1" s="1"/>
  <c r="L132" i="3"/>
  <c r="I132" i="1" s="1"/>
  <c r="I67" i="5" l="1"/>
  <c r="H67" i="5"/>
  <c r="P191" i="5"/>
  <c r="R191" i="5"/>
  <c r="Q191" i="5"/>
  <c r="BQ188" i="1"/>
  <c r="BV188" i="1" s="1"/>
  <c r="H93" i="1"/>
  <c r="BQ187" i="1"/>
  <c r="BV187" i="1" s="1"/>
  <c r="H99" i="1"/>
  <c r="H138" i="1"/>
  <c r="H192" i="1"/>
  <c r="H55" i="1"/>
  <c r="H183" i="1"/>
  <c r="H190" i="1"/>
  <c r="H130" i="1"/>
  <c r="H59" i="1"/>
  <c r="H185" i="1"/>
  <c r="H133" i="1"/>
  <c r="H117" i="1"/>
  <c r="H134" i="1"/>
  <c r="H58" i="1"/>
  <c r="H128" i="1"/>
  <c r="H187" i="1"/>
  <c r="H94" i="1"/>
  <c r="H126" i="1"/>
  <c r="H184" i="1"/>
  <c r="H193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4" i="1"/>
  <c r="H175" i="1"/>
  <c r="H177" i="1"/>
  <c r="H195" i="1"/>
  <c r="BV195" i="1"/>
  <c r="AD87" i="1"/>
  <c r="O87" i="5" s="1"/>
  <c r="AD194" i="1"/>
  <c r="O194" i="5" s="1"/>
  <c r="BQ182" i="1"/>
  <c r="BV182" i="1" s="1"/>
  <c r="AH191" i="1"/>
  <c r="AF191" i="1"/>
  <c r="AE191" i="1"/>
  <c r="AG191" i="1"/>
  <c r="BD71" i="3"/>
  <c r="Q191" i="1"/>
  <c r="BY2" i="1"/>
  <c r="BY3" i="1"/>
  <c r="BV128" i="1"/>
  <c r="BV62" i="1"/>
  <c r="BV165" i="1"/>
  <c r="BV126" i="1"/>
  <c r="BV162" i="1"/>
  <c r="BJ7" i="1"/>
  <c r="BY7" i="1"/>
  <c r="BJ11" i="1"/>
  <c r="BY11" i="1"/>
  <c r="BJ4" i="1"/>
  <c r="BY4" i="1"/>
  <c r="BZ4" i="1" s="1"/>
  <c r="BJ5" i="1"/>
  <c r="BY5" i="1"/>
  <c r="BJ8" i="1"/>
  <c r="BY8" i="1"/>
  <c r="AZ8" i="1"/>
  <c r="BJ3" i="1"/>
  <c r="V82" i="5"/>
  <c r="BC86" i="1"/>
  <c r="BD86" i="1"/>
  <c r="BC148" i="1"/>
  <c r="BD148" i="1"/>
  <c r="BC51" i="1"/>
  <c r="BD51" i="1"/>
  <c r="BB3" i="3"/>
  <c r="BI3" i="3" s="1"/>
  <c r="BC3" i="1"/>
  <c r="BD3" i="1"/>
  <c r="BC74" i="1"/>
  <c r="BD74" i="1"/>
  <c r="BB52" i="3"/>
  <c r="BC52" i="1"/>
  <c r="BD52" i="1"/>
  <c r="BB30" i="3"/>
  <c r="BI30" i="3" s="1"/>
  <c r="BC30" i="1"/>
  <c r="BD30" i="1"/>
  <c r="BC90" i="1"/>
  <c r="BD90" i="1"/>
  <c r="BC120" i="1"/>
  <c r="BD120" i="1"/>
  <c r="BC154" i="1"/>
  <c r="BD154" i="1"/>
  <c r="BC14" i="1"/>
  <c r="BD14" i="1"/>
  <c r="BC157" i="1"/>
  <c r="BD157" i="1"/>
  <c r="BC156" i="1"/>
  <c r="BD156" i="1"/>
  <c r="BB28" i="3"/>
  <c r="BC28" i="1"/>
  <c r="BD28" i="1"/>
  <c r="BC115" i="1"/>
  <c r="BD115" i="1"/>
  <c r="J11" i="1"/>
  <c r="BC11" i="1"/>
  <c r="BD11" i="1"/>
  <c r="BB2" i="3"/>
  <c r="BC2" i="1"/>
  <c r="BD2" i="1"/>
  <c r="BC152" i="1"/>
  <c r="BD152" i="1"/>
  <c r="BB43" i="3"/>
  <c r="BC43" i="1"/>
  <c r="BD43" i="1"/>
  <c r="BB63" i="3"/>
  <c r="BC63" i="1"/>
  <c r="BD63" i="1"/>
  <c r="BC16" i="1"/>
  <c r="BD16" i="1"/>
  <c r="BC113" i="1"/>
  <c r="BD113" i="1"/>
  <c r="BB92" i="3"/>
  <c r="BI92" i="3" s="1"/>
  <c r="BC92" i="1"/>
  <c r="BD92" i="1"/>
  <c r="BB135" i="3"/>
  <c r="BC135" i="1"/>
  <c r="BD135" i="1"/>
  <c r="BC147" i="1"/>
  <c r="BD147" i="1"/>
  <c r="BC153" i="1"/>
  <c r="BD153" i="1"/>
  <c r="BB79" i="3"/>
  <c r="BC79" i="1"/>
  <c r="BD79" i="1"/>
  <c r="BB71" i="3"/>
  <c r="BI71" i="3" s="1"/>
  <c r="BC71" i="1"/>
  <c r="BD71" i="1"/>
  <c r="BC70" i="1"/>
  <c r="BD70" i="1"/>
  <c r="BB6" i="3"/>
  <c r="BC6" i="1"/>
  <c r="BD6" i="1"/>
  <c r="BB110" i="3"/>
  <c r="BC110" i="1"/>
  <c r="BD110" i="1"/>
  <c r="BC91" i="1"/>
  <c r="BD91" i="1"/>
  <c r="BC155" i="1"/>
  <c r="BD155" i="1"/>
  <c r="BC151" i="1"/>
  <c r="BD151" i="1"/>
  <c r="BC146" i="1"/>
  <c r="BD146" i="1"/>
  <c r="BB9" i="3"/>
  <c r="BI9" i="3" s="1"/>
  <c r="BC9" i="1"/>
  <c r="BD9" i="1"/>
  <c r="BB7" i="3"/>
  <c r="BI7" i="3" s="1"/>
  <c r="BC7" i="1"/>
  <c r="BD7" i="1"/>
  <c r="BC132" i="1"/>
  <c r="BD132" i="1"/>
  <c r="BC145" i="1"/>
  <c r="BD145" i="1"/>
  <c r="BC137" i="1"/>
  <c r="BD137" i="1"/>
  <c r="BB13" i="3"/>
  <c r="BC13" i="1"/>
  <c r="BD13" i="1"/>
  <c r="BB25" i="3"/>
  <c r="BI25" i="3" s="1"/>
  <c r="BC25" i="1"/>
  <c r="BD25" i="1"/>
  <c r="BC136" i="1"/>
  <c r="BD136" i="1"/>
  <c r="BB112" i="3"/>
  <c r="BC112" i="1"/>
  <c r="BD112" i="1"/>
  <c r="BB111" i="3"/>
  <c r="BC111" i="1"/>
  <c r="BD111" i="1"/>
  <c r="BB39" i="3"/>
  <c r="BI39" i="3" s="1"/>
  <c r="BC39" i="1"/>
  <c r="BD39" i="1"/>
  <c r="BC159" i="1"/>
  <c r="BD159" i="1"/>
  <c r="BC142" i="1"/>
  <c r="BD142" i="1"/>
  <c r="BC31" i="1"/>
  <c r="BD31" i="1"/>
  <c r="BC124" i="1"/>
  <c r="BD124" i="1"/>
  <c r="BB46" i="3"/>
  <c r="BC46" i="1"/>
  <c r="BD46" i="1"/>
  <c r="BC144" i="1"/>
  <c r="BD144" i="1"/>
  <c r="BC143" i="1"/>
  <c r="BD143" i="1"/>
  <c r="BC19" i="1"/>
  <c r="BD19" i="1"/>
  <c r="BB26" i="3"/>
  <c r="BC26" i="1"/>
  <c r="BD26" i="1"/>
  <c r="BB78" i="3"/>
  <c r="BI78" i="3" s="1"/>
  <c r="BC78" i="1"/>
  <c r="BD78" i="1"/>
  <c r="BC149" i="1"/>
  <c r="BD149" i="1"/>
  <c r="BC15" i="1"/>
  <c r="BD15" i="1"/>
  <c r="BC141" i="1"/>
  <c r="BD141" i="1"/>
  <c r="BC139" i="1"/>
  <c r="BD139" i="1"/>
  <c r="BC75" i="1"/>
  <c r="BD75" i="1"/>
  <c r="U82" i="5"/>
  <c r="I125" i="5"/>
  <c r="I47" i="5"/>
  <c r="J47" i="5"/>
  <c r="BB75" i="3"/>
  <c r="BB14" i="3"/>
  <c r="BI14" i="3" s="1"/>
  <c r="BB90" i="3"/>
  <c r="BB124" i="3"/>
  <c r="BB74" i="3"/>
  <c r="BB19" i="3"/>
  <c r="BB86" i="3"/>
  <c r="BI86" i="3" s="1"/>
  <c r="BB154" i="3"/>
  <c r="BB153" i="3"/>
  <c r="BB149" i="3"/>
  <c r="BI149" i="3" s="1"/>
  <c r="BB152" i="3"/>
  <c r="BB145" i="3"/>
  <c r="BI145" i="3" s="1"/>
  <c r="BB113" i="3"/>
  <c r="BI113" i="3" s="1"/>
  <c r="BB144" i="3"/>
  <c r="BI144" i="3" s="1"/>
  <c r="BB143" i="3"/>
  <c r="BI143" i="3" s="1"/>
  <c r="BB159" i="3"/>
  <c r="BB142" i="3"/>
  <c r="BI142" i="3" s="1"/>
  <c r="BB157" i="3"/>
  <c r="BB141" i="3"/>
  <c r="BI141" i="3" s="1"/>
  <c r="BB139" i="3"/>
  <c r="BI139" i="3" s="1"/>
  <c r="BB136" i="3"/>
  <c r="BI136" i="3" s="1"/>
  <c r="BB91" i="3"/>
  <c r="BI91" i="3" s="1"/>
  <c r="BB155" i="3"/>
  <c r="BB151" i="3"/>
  <c r="BB147" i="3"/>
  <c r="BI147" i="3" s="1"/>
  <c r="BB146" i="3"/>
  <c r="BI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J16" i="1"/>
  <c r="BB16" i="3"/>
  <c r="BI16" i="3" s="1"/>
  <c r="Z72" i="5"/>
  <c r="AA72" i="5"/>
  <c r="Z66" i="5"/>
  <c r="AA66" i="5"/>
  <c r="Z41" i="5"/>
  <c r="AA41" i="5"/>
  <c r="Z83" i="5"/>
  <c r="AA83" i="5"/>
  <c r="J51" i="1"/>
  <c r="BB51" i="3"/>
  <c r="J132" i="1"/>
  <c r="BB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J70" i="1"/>
  <c r="BB70" i="3"/>
  <c r="BI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J156" i="1"/>
  <c r="BB156" i="3"/>
  <c r="AA131" i="5"/>
  <c r="AA134" i="5"/>
  <c r="AA60" i="5"/>
  <c r="J15" i="1"/>
  <c r="BB15" i="3"/>
  <c r="BI15" i="3" s="1"/>
  <c r="AA23" i="5"/>
  <c r="AA114" i="5"/>
  <c r="AA104" i="5"/>
  <c r="AA50" i="5"/>
  <c r="BB11" i="3"/>
  <c r="BI11" i="3" s="1"/>
  <c r="AA8" i="5"/>
  <c r="AA133" i="5"/>
  <c r="AA55" i="5"/>
  <c r="AA119" i="5"/>
  <c r="J148" i="1"/>
  <c r="BB148" i="3"/>
  <c r="BI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J137" i="1"/>
  <c r="BB137" i="3"/>
  <c r="J120" i="1"/>
  <c r="BB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J31" i="1"/>
  <c r="BB31" i="3"/>
  <c r="AA98" i="5"/>
  <c r="AA107" i="5"/>
  <c r="AA62" i="5"/>
  <c r="AA140" i="5"/>
  <c r="AA138" i="5"/>
  <c r="Z45" i="5"/>
  <c r="AA45" i="5"/>
  <c r="Z127" i="5"/>
  <c r="AA127" i="5"/>
  <c r="Z129" i="5"/>
  <c r="AA129" i="5"/>
  <c r="J115" i="1"/>
  <c r="BB115" i="3"/>
  <c r="AA96" i="5"/>
  <c r="AA76" i="5"/>
  <c r="AA103" i="5"/>
  <c r="AA95" i="5"/>
  <c r="AA22" i="5"/>
  <c r="AA116" i="5"/>
  <c r="I66" i="5"/>
  <c r="J66" i="5"/>
  <c r="BI4" i="3"/>
  <c r="BQ4" i="3"/>
  <c r="J42" i="5"/>
  <c r="I42" i="5"/>
  <c r="J125" i="5"/>
  <c r="BQ40" i="1"/>
  <c r="H40" i="1" s="1"/>
  <c r="BQ24" i="1"/>
  <c r="H24" i="1" s="1"/>
  <c r="BQ22" i="1"/>
  <c r="H22" i="1" s="1"/>
  <c r="BQ37" i="1"/>
  <c r="H37" i="1" s="1"/>
  <c r="BQ48" i="1"/>
  <c r="H48" i="1" s="1"/>
  <c r="BQ12" i="1"/>
  <c r="H12" i="1" s="1"/>
  <c r="BQ41" i="1"/>
  <c r="H41" i="1" s="1"/>
  <c r="BQ95" i="1"/>
  <c r="H95" i="1" s="1"/>
  <c r="BQ23" i="1"/>
  <c r="H23" i="1" s="1"/>
  <c r="BQ61" i="1"/>
  <c r="H61" i="1" s="1"/>
  <c r="BQ47" i="1"/>
  <c r="H47" i="1" s="1"/>
  <c r="BQ38" i="1"/>
  <c r="H38" i="1" s="1"/>
  <c r="J149" i="1"/>
  <c r="J43" i="1"/>
  <c r="J52" i="1"/>
  <c r="J157" i="1"/>
  <c r="J26" i="1"/>
  <c r="J145" i="1"/>
  <c r="J142" i="1"/>
  <c r="J7" i="1"/>
  <c r="J19" i="1"/>
  <c r="J90" i="1"/>
  <c r="J136" i="1"/>
  <c r="J75" i="1"/>
  <c r="J124" i="1"/>
  <c r="T85" i="5"/>
  <c r="J144" i="1"/>
  <c r="J155" i="1"/>
  <c r="J135" i="1"/>
  <c r="J146" i="1"/>
  <c r="J79" i="1"/>
  <c r="J9" i="1"/>
  <c r="J147" i="1"/>
  <c r="J92" i="1"/>
  <c r="J25" i="1"/>
  <c r="V85" i="5"/>
  <c r="H97" i="5"/>
  <c r="J3" i="1"/>
  <c r="J28" i="1"/>
  <c r="J71" i="1"/>
  <c r="J30" i="1"/>
  <c r="J139" i="1"/>
  <c r="J153" i="1"/>
  <c r="J46" i="1"/>
  <c r="J152" i="1"/>
  <c r="I97" i="5"/>
  <c r="J74" i="1"/>
  <c r="J143" i="1"/>
  <c r="J111" i="1"/>
  <c r="J39" i="1"/>
  <c r="J78" i="1"/>
  <c r="J154" i="1"/>
  <c r="J159" i="1"/>
  <c r="J6" i="1"/>
  <c r="J13" i="1"/>
  <c r="J2" i="1"/>
  <c r="J63" i="1"/>
  <c r="J151" i="1"/>
  <c r="J112" i="1"/>
  <c r="J14" i="1"/>
  <c r="J141" i="1"/>
  <c r="J91" i="1"/>
  <c r="J86" i="1"/>
  <c r="J113" i="1"/>
  <c r="J110" i="1"/>
  <c r="AE21" i="1"/>
  <c r="R48" i="5"/>
  <c r="I44" i="5"/>
  <c r="R21" i="5"/>
  <c r="AT164" i="3"/>
  <c r="AS164" i="3"/>
  <c r="BQ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AZ51" i="3"/>
  <c r="P48" i="5"/>
  <c r="R67" i="5"/>
  <c r="AG129" i="1"/>
  <c r="Q21" i="5"/>
  <c r="P73" i="5"/>
  <c r="P21" i="5"/>
  <c r="R73" i="5"/>
  <c r="R129" i="5"/>
  <c r="Q67" i="5"/>
  <c r="BQ11" i="3"/>
  <c r="Q48" i="5"/>
  <c r="S8" i="1"/>
  <c r="W8" i="1" s="1"/>
  <c r="AG65" i="1"/>
  <c r="Q125" i="5"/>
  <c r="AF65" i="1"/>
  <c r="R66" i="5"/>
  <c r="AH125" i="1"/>
  <c r="AY4" i="3"/>
  <c r="AF125" i="1"/>
  <c r="AH65" i="1"/>
  <c r="Q129" i="5"/>
  <c r="S5" i="1"/>
  <c r="V5" i="1" s="1"/>
  <c r="AG125" i="1"/>
  <c r="S11" i="1"/>
  <c r="U11" i="1" s="1"/>
  <c r="R65" i="5"/>
  <c r="R125" i="5"/>
  <c r="BJ97" i="3"/>
  <c r="N188" i="5" s="1"/>
  <c r="BR54" i="3"/>
  <c r="BL113" i="3"/>
  <c r="BR97" i="3"/>
  <c r="BJ42" i="3"/>
  <c r="AZ112" i="3"/>
  <c r="AR5" i="3"/>
  <c r="P65" i="5"/>
  <c r="AY5" i="3"/>
  <c r="BK5" i="3" s="1"/>
  <c r="AE125" i="1"/>
  <c r="AE65" i="1"/>
  <c r="R69" i="5"/>
  <c r="AZ137" i="3"/>
  <c r="Z29" i="1"/>
  <c r="AA29" i="1"/>
  <c r="Q66" i="5"/>
  <c r="AH66" i="1"/>
  <c r="P66" i="5"/>
  <c r="AE69" i="1"/>
  <c r="AF66" i="1"/>
  <c r="BL5" i="3"/>
  <c r="AH69" i="1"/>
  <c r="AG66" i="1"/>
  <c r="BQ5" i="3"/>
  <c r="Y29" i="1"/>
  <c r="AF69" i="1"/>
  <c r="AE66" i="1"/>
  <c r="Q69" i="5"/>
  <c r="AZ26" i="3"/>
  <c r="AG69" i="1"/>
  <c r="AR11" i="3"/>
  <c r="AR3" i="3"/>
  <c r="K29" i="5"/>
  <c r="L29" i="5" s="1"/>
  <c r="BH52" i="3"/>
  <c r="F52" i="5" s="1"/>
  <c r="AZ52" i="3"/>
  <c r="BL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G149" i="1"/>
  <c r="AP149" i="1"/>
  <c r="AB149" i="5" s="1"/>
  <c r="Q149" i="1"/>
  <c r="R149" i="1" s="1"/>
  <c r="AQ149" i="1"/>
  <c r="BR149" i="1" s="1"/>
  <c r="K149" i="1"/>
  <c r="AN149" i="1"/>
  <c r="BG152" i="1"/>
  <c r="Q152" i="1"/>
  <c r="R152" i="1" s="1"/>
  <c r="K152" i="1"/>
  <c r="AQ152" i="1"/>
  <c r="BR152" i="1" s="1"/>
  <c r="AP152" i="1"/>
  <c r="AB152" i="5" s="1"/>
  <c r="AN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AI74" i="1"/>
  <c r="AJ74" i="1" s="1"/>
  <c r="BE46" i="3"/>
  <c r="BQ46" i="3" s="1"/>
  <c r="S46" i="1"/>
  <c r="AR46" i="3"/>
  <c r="X46" i="1" s="1"/>
  <c r="Q9" i="1"/>
  <c r="R9" i="1" s="1"/>
  <c r="K9" i="1"/>
  <c r="AP9" i="1"/>
  <c r="AB9" i="5" s="1"/>
  <c r="BG9" i="1"/>
  <c r="AQ9" i="1"/>
  <c r="BR9" i="1" s="1"/>
  <c r="S20" i="5"/>
  <c r="AK20" i="1"/>
  <c r="AL20" i="1"/>
  <c r="AM20" i="1"/>
  <c r="BP52" i="3"/>
  <c r="D52" i="5" s="1"/>
  <c r="E52" i="5"/>
  <c r="BF52" i="3"/>
  <c r="BG6" i="3"/>
  <c r="AR6" i="3"/>
  <c r="AY6" i="3"/>
  <c r="S18" i="5"/>
  <c r="AL18" i="1"/>
  <c r="AK18" i="1"/>
  <c r="AM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M123" i="1"/>
  <c r="AK123" i="1"/>
  <c r="AL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K16" i="1"/>
  <c r="AP16" i="1"/>
  <c r="AB16" i="5" s="1"/>
  <c r="Q16" i="1"/>
  <c r="R16" i="1" s="1"/>
  <c r="BG16" i="1"/>
  <c r="AN16" i="1"/>
  <c r="AQ16" i="1"/>
  <c r="BR16" i="1" s="1"/>
  <c r="K148" i="1"/>
  <c r="AN148" i="1"/>
  <c r="BG148" i="1"/>
  <c r="AP148" i="1"/>
  <c r="AB148" i="5" s="1"/>
  <c r="AQ148" i="1"/>
  <c r="BR148" i="1" s="1"/>
  <c r="Q148" i="1"/>
  <c r="R148" i="1" s="1"/>
  <c r="BP124" i="3"/>
  <c r="D124" i="5" s="1"/>
  <c r="BH124" i="3"/>
  <c r="F124" i="5" s="1"/>
  <c r="E124" i="5"/>
  <c r="T83" i="5"/>
  <c r="U83" i="5"/>
  <c r="V83" i="5"/>
  <c r="BL145" i="3"/>
  <c r="BG91" i="1"/>
  <c r="AQ91" i="1"/>
  <c r="BR91" i="1" s="1"/>
  <c r="AN91" i="1"/>
  <c r="K91" i="1"/>
  <c r="Q91" i="1"/>
  <c r="R91" i="1" s="1"/>
  <c r="AP91" i="1"/>
  <c r="AB91" i="5" s="1"/>
  <c r="BG19" i="3"/>
  <c r="BO19" i="3" s="1"/>
  <c r="BS19" i="3" s="1"/>
  <c r="AR19" i="3"/>
  <c r="AY19" i="3"/>
  <c r="Q132" i="1"/>
  <c r="R132" i="1" s="1"/>
  <c r="AP132" i="1"/>
  <c r="AB132" i="5" s="1"/>
  <c r="BG132" i="1"/>
  <c r="K132" i="1"/>
  <c r="AQ132" i="1"/>
  <c r="BR132" i="1" s="1"/>
  <c r="AN132" i="1"/>
  <c r="AQ4" i="1"/>
  <c r="BR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N64" i="1"/>
  <c r="O64" i="1"/>
  <c r="E9" i="5"/>
  <c r="BP9" i="3"/>
  <c r="D9" i="5" s="1"/>
  <c r="BH9" i="3"/>
  <c r="F9" i="5" s="1"/>
  <c r="BE112" i="3"/>
  <c r="BQ112" i="3" s="1"/>
  <c r="S112" i="1"/>
  <c r="AR112" i="3"/>
  <c r="X112" i="1" s="1"/>
  <c r="BE111" i="3"/>
  <c r="BQ111" i="3" s="1"/>
  <c r="S111" i="1"/>
  <c r="AP70" i="1"/>
  <c r="AB70" i="5" s="1"/>
  <c r="BG70" i="1"/>
  <c r="Q70" i="1"/>
  <c r="R70" i="1" s="1"/>
  <c r="K70" i="1"/>
  <c r="AQ70" i="1"/>
  <c r="BR70" i="1" s="1"/>
  <c r="Q31" i="1"/>
  <c r="R31" i="1" s="1"/>
  <c r="K31" i="1"/>
  <c r="BG31" i="1"/>
  <c r="AP31" i="1"/>
  <c r="AB31" i="5" s="1"/>
  <c r="AQ31" i="1"/>
  <c r="BR31" i="1" s="1"/>
  <c r="BH92" i="3"/>
  <c r="F92" i="5" s="1"/>
  <c r="E92" i="5"/>
  <c r="BP92" i="3"/>
  <c r="D92" i="5" s="1"/>
  <c r="BE5" i="1"/>
  <c r="BF5" i="1"/>
  <c r="BO5" i="1" s="1" a="1"/>
  <c r="BO5" i="1" s="1"/>
  <c r="CC5" i="1"/>
  <c r="BL86" i="3"/>
  <c r="AP25" i="1"/>
  <c r="AB25" i="5" s="1"/>
  <c r="K25" i="1"/>
  <c r="BG25" i="1"/>
  <c r="Q25" i="1"/>
  <c r="R25" i="1" s="1"/>
  <c r="AQ25" i="1"/>
  <c r="BR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F132" i="5" s="1"/>
  <c r="E132" i="5"/>
  <c r="BE151" i="3"/>
  <c r="BQ151" i="3" s="1"/>
  <c r="AI151" i="1"/>
  <c r="AJ151" i="1" s="1"/>
  <c r="S158" i="5"/>
  <c r="AM158" i="1"/>
  <c r="AK158" i="1"/>
  <c r="AL158" i="1"/>
  <c r="BE154" i="3"/>
  <c r="AI154" i="1"/>
  <c r="AJ154" i="1" s="1"/>
  <c r="I64" i="5"/>
  <c r="J64" i="5"/>
  <c r="H64" i="5"/>
  <c r="BG86" i="3"/>
  <c r="BO86" i="3" s="1"/>
  <c r="BS86" i="3" s="1"/>
  <c r="AR86" i="3"/>
  <c r="AY86" i="3"/>
  <c r="K15" i="1"/>
  <c r="AP15" i="1"/>
  <c r="AB15" i="5" s="1"/>
  <c r="Q15" i="1"/>
  <c r="R15" i="1" s="1"/>
  <c r="BG15" i="1"/>
  <c r="AQ15" i="1"/>
  <c r="BR15" i="1" s="1"/>
  <c r="AN15" i="1"/>
  <c r="BL148" i="3"/>
  <c r="BE152" i="3"/>
  <c r="AI152" i="1"/>
  <c r="AJ152" i="1" s="1"/>
  <c r="BL14" i="3"/>
  <c r="H72" i="5"/>
  <c r="J72" i="5"/>
  <c r="I72" i="5"/>
  <c r="Q46" i="1"/>
  <c r="R46" i="1" s="1"/>
  <c r="BG46" i="1"/>
  <c r="K46" i="1"/>
  <c r="AP46" i="1"/>
  <c r="AB46" i="5" s="1"/>
  <c r="AZ46" i="3"/>
  <c r="AQ46" i="1"/>
  <c r="BR46" i="1" s="1"/>
  <c r="Q71" i="1"/>
  <c r="R71" i="1" s="1"/>
  <c r="AP71" i="1"/>
  <c r="AB71" i="5" s="1"/>
  <c r="K71" i="1"/>
  <c r="BG71" i="1"/>
  <c r="AQ71" i="1"/>
  <c r="BR71" i="1" s="1"/>
  <c r="AP143" i="1"/>
  <c r="AB143" i="5" s="1"/>
  <c r="BG143" i="1"/>
  <c r="K143" i="1"/>
  <c r="AN143" i="1"/>
  <c r="Q143" i="1"/>
  <c r="R143" i="1" s="1"/>
  <c r="AQ143" i="1"/>
  <c r="BR143" i="1" s="1"/>
  <c r="BL39" i="3"/>
  <c r="BE6" i="3"/>
  <c r="BQ6" i="3" s="1"/>
  <c r="S6" i="1"/>
  <c r="AR159" i="3"/>
  <c r="AY159" i="3"/>
  <c r="BG159" i="3"/>
  <c r="BO159" i="3" s="1"/>
  <c r="BS159" i="3" s="1"/>
  <c r="AP63" i="1"/>
  <c r="AB63" i="5" s="1"/>
  <c r="K63" i="1"/>
  <c r="BG63" i="1"/>
  <c r="Q63" i="1"/>
  <c r="R63" i="1" s="1"/>
  <c r="AZ63" i="1"/>
  <c r="AQ63" i="1"/>
  <c r="BR63" i="1" s="1"/>
  <c r="S51" i="1"/>
  <c r="Q51" i="1"/>
  <c r="BG51" i="1"/>
  <c r="K51" i="1"/>
  <c r="AP51" i="1"/>
  <c r="AB51" i="5" s="1"/>
  <c r="AQ51" i="1"/>
  <c r="BR51" i="1" s="1"/>
  <c r="AY11" i="3"/>
  <c r="BK11" i="3" s="1"/>
  <c r="BE137" i="3"/>
  <c r="BQ137" i="3" s="1"/>
  <c r="AR137" i="3"/>
  <c r="X137" i="1" s="1"/>
  <c r="S137" i="1"/>
  <c r="BG30" i="3"/>
  <c r="BO30" i="3" s="1"/>
  <c r="BS30" i="3" s="1"/>
  <c r="AR30" i="3"/>
  <c r="AY30" i="3"/>
  <c r="BP91" i="3"/>
  <c r="D91" i="5" s="1"/>
  <c r="E91" i="5"/>
  <c r="BH91" i="3"/>
  <c r="F91" i="5" s="1"/>
  <c r="AQ7" i="1"/>
  <c r="BR7" i="1" s="1"/>
  <c r="BJ54" i="3"/>
  <c r="BH151" i="3"/>
  <c r="F151" i="5" s="1"/>
  <c r="BP151" i="3"/>
  <c r="D151" i="5" s="1"/>
  <c r="E151" i="5"/>
  <c r="AY78" i="3"/>
  <c r="BG78" i="3"/>
  <c r="AR78" i="3"/>
  <c r="AQ3" i="1"/>
  <c r="BR3" i="1" s="1"/>
  <c r="AY75" i="3"/>
  <c r="BG75" i="3"/>
  <c r="AR75" i="3"/>
  <c r="BG71" i="3"/>
  <c r="BO71" i="3" s="1"/>
  <c r="BS71" i="3" s="1"/>
  <c r="AY71" i="3"/>
  <c r="AR71" i="3"/>
  <c r="H48" i="5"/>
  <c r="I48" i="5"/>
  <c r="J48" i="5"/>
  <c r="BD25" i="3"/>
  <c r="AR25" i="3"/>
  <c r="X25" i="1" s="1"/>
  <c r="AY112" i="3"/>
  <c r="BI5" i="3"/>
  <c r="AY46" i="3"/>
  <c r="BT5" i="1"/>
  <c r="BO5" i="3"/>
  <c r="BS5" i="3" s="1"/>
  <c r="AQ5" i="1"/>
  <c r="BR5" i="1" s="1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D71" i="5" s="1"/>
  <c r="AQ43" i="1"/>
  <c r="BR43" i="1" s="1"/>
  <c r="Q43" i="1"/>
  <c r="AP43" i="1"/>
  <c r="AB43" i="5" s="1"/>
  <c r="K43" i="1"/>
  <c r="BG43" i="1"/>
  <c r="AZ43" i="3"/>
  <c r="BH143" i="3"/>
  <c r="F143" i="5" s="1"/>
  <c r="E143" i="5"/>
  <c r="BP143" i="3"/>
  <c r="D143" i="5" s="1"/>
  <c r="K111" i="1"/>
  <c r="Q111" i="1"/>
  <c r="R111" i="1" s="1"/>
  <c r="BG111" i="1"/>
  <c r="AP111" i="1"/>
  <c r="AB111" i="5" s="1"/>
  <c r="AQ111" i="1"/>
  <c r="BR111" i="1" s="1"/>
  <c r="BG39" i="3"/>
  <c r="AR39" i="3"/>
  <c r="AY39" i="3"/>
  <c r="K110" i="1"/>
  <c r="AQ110" i="1"/>
  <c r="BR110" i="1" s="1"/>
  <c r="AP110" i="1"/>
  <c r="AB110" i="5" s="1"/>
  <c r="BG110" i="1"/>
  <c r="Q110" i="1"/>
  <c r="E63" i="5"/>
  <c r="BH63" i="3"/>
  <c r="F63" i="5" s="1"/>
  <c r="BP63" i="3"/>
  <c r="D63" i="5" s="1"/>
  <c r="BH51" i="3"/>
  <c r="F51" i="5" s="1"/>
  <c r="E51" i="5"/>
  <c r="BP51" i="3"/>
  <c r="D51" i="5" s="1"/>
  <c r="Q3" i="1"/>
  <c r="R3" i="1" s="1"/>
  <c r="AP3" i="1"/>
  <c r="AB3" i="5" s="1"/>
  <c r="BG3" i="1"/>
  <c r="K3" i="1"/>
  <c r="AQ141" i="1"/>
  <c r="BR141" i="1" s="1"/>
  <c r="AN141" i="1"/>
  <c r="BG141" i="1"/>
  <c r="Q141" i="1"/>
  <c r="R141" i="1" s="1"/>
  <c r="AP141" i="1"/>
  <c r="AB141" i="5" s="1"/>
  <c r="K141" i="1"/>
  <c r="E137" i="5"/>
  <c r="BP137" i="3"/>
  <c r="D137" i="5" s="1"/>
  <c r="BH137" i="3"/>
  <c r="F137" i="5" s="1"/>
  <c r="AN8" i="1"/>
  <c r="AQ136" i="1"/>
  <c r="BR136" i="1" s="1"/>
  <c r="BG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G26" i="1"/>
  <c r="K26" i="1"/>
  <c r="AQ26" i="1"/>
  <c r="BR26" i="1" s="1"/>
  <c r="AI4" i="1"/>
  <c r="AJ4" i="1" s="1"/>
  <c r="BG115" i="3"/>
  <c r="AR115" i="3"/>
  <c r="AY115" i="3"/>
  <c r="AD115" i="1"/>
  <c r="BE75" i="3"/>
  <c r="BQ75" i="3" s="1"/>
  <c r="AI75" i="1"/>
  <c r="AJ75" i="1" s="1"/>
  <c r="AY14" i="3"/>
  <c r="BG14" i="3"/>
  <c r="AR14" i="3"/>
  <c r="AR113" i="3"/>
  <c r="BG113" i="3"/>
  <c r="AY113" i="3"/>
  <c r="AD113" i="1"/>
  <c r="AY74" i="3"/>
  <c r="BG74" i="3"/>
  <c r="BO74" i="3" s="1"/>
  <c r="BS74" i="3" s="1"/>
  <c r="AR74" i="3"/>
  <c r="BE43" i="3"/>
  <c r="BQ43" i="3" s="1"/>
  <c r="AR43" i="3"/>
  <c r="X43" i="1" s="1"/>
  <c r="S43" i="1"/>
  <c r="BG111" i="3"/>
  <c r="BO111" i="3" s="1"/>
  <c r="BS111" i="3" s="1"/>
  <c r="AY111" i="3"/>
  <c r="AR111" i="3"/>
  <c r="AD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N11" i="1"/>
  <c r="BG141" i="3"/>
  <c r="AY141" i="3"/>
  <c r="AR141" i="3"/>
  <c r="BG137" i="1"/>
  <c r="K137" i="1"/>
  <c r="AP137" i="1"/>
  <c r="AB137" i="5" s="1"/>
  <c r="Q137" i="1"/>
  <c r="AQ137" i="1"/>
  <c r="BR137" i="1" s="1"/>
  <c r="BG139" i="3"/>
  <c r="AY139" i="3"/>
  <c r="AR139" i="3"/>
  <c r="BL91" i="3"/>
  <c r="BL7" i="3"/>
  <c r="BG155" i="3"/>
  <c r="BO155" i="3" s="1"/>
  <c r="BS155" i="3" s="1"/>
  <c r="AR155" i="3"/>
  <c r="AY155" i="3"/>
  <c r="AU30" i="3"/>
  <c r="AD30" i="1" s="1"/>
  <c r="AQ153" i="1"/>
  <c r="BR153" i="1" s="1"/>
  <c r="Q153" i="1"/>
  <c r="R153" i="1" s="1"/>
  <c r="BG153" i="1"/>
  <c r="K153" i="1"/>
  <c r="AP153" i="1"/>
  <c r="AB153" i="5" s="1"/>
  <c r="AN153" i="1"/>
  <c r="BL149" i="3"/>
  <c r="S84" i="5"/>
  <c r="AK84" i="1"/>
  <c r="AM84" i="1"/>
  <c r="AL84" i="1"/>
  <c r="Q14" i="1"/>
  <c r="R14" i="1" s="1"/>
  <c r="BG14" i="1"/>
  <c r="AP14" i="1"/>
  <c r="AB14" i="5" s="1"/>
  <c r="K14" i="1"/>
  <c r="AQ14" i="1"/>
  <c r="BR14" i="1" s="1"/>
  <c r="AN14" i="1"/>
  <c r="AY145" i="3"/>
  <c r="BG145" i="3"/>
  <c r="BO145" i="3" s="1"/>
  <c r="BS145" i="3" s="1"/>
  <c r="AR145" i="3"/>
  <c r="K74" i="1"/>
  <c r="Q74" i="1"/>
  <c r="R74" i="1" s="1"/>
  <c r="BG74" i="1"/>
  <c r="AP74" i="1"/>
  <c r="AB74" i="5" s="1"/>
  <c r="AN74" i="1"/>
  <c r="AQ74" i="1"/>
  <c r="BR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Q6" i="1"/>
  <c r="R6" i="1" s="1"/>
  <c r="AP6" i="1"/>
  <c r="AB6" i="5" s="1"/>
  <c r="K6" i="1"/>
  <c r="BG6" i="1"/>
  <c r="AQ6" i="1"/>
  <c r="BR6" i="1" s="1"/>
  <c r="BG159" i="1"/>
  <c r="AN159" i="1"/>
  <c r="AP159" i="1"/>
  <c r="AB159" i="5" s="1"/>
  <c r="AQ159" i="1"/>
  <c r="BR159" i="1" s="1"/>
  <c r="Q159" i="1"/>
  <c r="R159" i="1" s="1"/>
  <c r="K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K8" i="1"/>
  <c r="AM8" i="1"/>
  <c r="AL8" i="1"/>
  <c r="BH136" i="3"/>
  <c r="F136" i="5" s="1"/>
  <c r="BP136" i="3"/>
  <c r="D136" i="5" s="1"/>
  <c r="E136" i="5"/>
  <c r="BE135" i="3"/>
  <c r="BQ135" i="3" s="1"/>
  <c r="S135" i="1"/>
  <c r="AQ90" i="1"/>
  <c r="BR90" i="1" s="1"/>
  <c r="AP90" i="1"/>
  <c r="AB90" i="5" s="1"/>
  <c r="K90" i="1"/>
  <c r="Q90" i="1"/>
  <c r="R90" i="1" s="1"/>
  <c r="BG90" i="1"/>
  <c r="AN90" i="1"/>
  <c r="BP26" i="3"/>
  <c r="D26" i="5" s="1"/>
  <c r="BH26" i="3"/>
  <c r="F26" i="5" s="1"/>
  <c r="E26" i="5"/>
  <c r="Q13" i="1"/>
  <c r="R13" i="1" s="1"/>
  <c r="AP13" i="1"/>
  <c r="AB13" i="5" s="1"/>
  <c r="BG13" i="1"/>
  <c r="K13" i="1"/>
  <c r="AQ13" i="1"/>
  <c r="BR13" i="1" s="1"/>
  <c r="AI3" i="1"/>
  <c r="AJ3" i="1" s="1"/>
  <c r="AL5" i="1"/>
  <c r="AK5" i="1"/>
  <c r="S5" i="5"/>
  <c r="AM5" i="1"/>
  <c r="AR154" i="3"/>
  <c r="AY154" i="3"/>
  <c r="BG154" i="3"/>
  <c r="BO154" i="3" s="1"/>
  <c r="BS154" i="3" s="1"/>
  <c r="Q86" i="1"/>
  <c r="R86" i="1" s="1"/>
  <c r="AP86" i="1"/>
  <c r="AB86" i="5" s="1"/>
  <c r="K86" i="1"/>
  <c r="BG86" i="1"/>
  <c r="AN86" i="1"/>
  <c r="AQ86" i="1"/>
  <c r="BR86" i="1" s="1"/>
  <c r="BG16" i="3"/>
  <c r="BO16" i="3" s="1"/>
  <c r="BS16" i="3" s="1"/>
  <c r="AY16" i="3"/>
  <c r="AR16" i="3"/>
  <c r="BH71" i="3"/>
  <c r="F71" i="5" s="1"/>
  <c r="AZ5" i="1"/>
  <c r="BP5" i="3"/>
  <c r="D5" i="5" s="1"/>
  <c r="E5" i="5"/>
  <c r="BH5" i="3"/>
  <c r="F5" i="5" s="1"/>
  <c r="O33" i="5"/>
  <c r="AE33" i="1"/>
  <c r="AH33" i="1"/>
  <c r="AF33" i="1"/>
  <c r="AG33" i="1"/>
  <c r="Q154" i="1"/>
  <c r="R154" i="1" s="1"/>
  <c r="AQ154" i="1"/>
  <c r="BR154" i="1" s="1"/>
  <c r="AN154" i="1"/>
  <c r="BG154" i="1"/>
  <c r="K154" i="1"/>
  <c r="AP154" i="1"/>
  <c r="AB154" i="5" s="1"/>
  <c r="E86" i="5"/>
  <c r="BH86" i="3"/>
  <c r="F86" i="5" s="1"/>
  <c r="BP86" i="3"/>
  <c r="D86" i="5" s="1"/>
  <c r="BL16" i="3"/>
  <c r="S114" i="5"/>
  <c r="AM114" i="1"/>
  <c r="AK114" i="1"/>
  <c r="AL114" i="1"/>
  <c r="BP153" i="3"/>
  <c r="D153" i="5" s="1"/>
  <c r="E153" i="5"/>
  <c r="BH153" i="3"/>
  <c r="F153" i="5" s="1"/>
  <c r="BH14" i="3"/>
  <c r="F14" i="5" s="1"/>
  <c r="BP14" i="3"/>
  <c r="D14" i="5" s="1"/>
  <c r="E14" i="5"/>
  <c r="BP74" i="3"/>
  <c r="D74" i="5" s="1"/>
  <c r="BH74" i="3"/>
  <c r="F74" i="5" s="1"/>
  <c r="E74" i="5"/>
  <c r="BG9" i="3"/>
  <c r="AY9" i="3"/>
  <c r="AR9" i="3"/>
  <c r="K144" i="1"/>
  <c r="AP144" i="1"/>
  <c r="AB144" i="5" s="1"/>
  <c r="BG144" i="1"/>
  <c r="AN144" i="1"/>
  <c r="Q144" i="1"/>
  <c r="R144" i="1" s="1"/>
  <c r="AQ144" i="1"/>
  <c r="BR144" i="1" s="1"/>
  <c r="Q112" i="1"/>
  <c r="R112" i="1" s="1"/>
  <c r="BG112" i="1"/>
  <c r="AP112" i="1"/>
  <c r="AB112" i="5" s="1"/>
  <c r="K112" i="1"/>
  <c r="AQ112" i="1"/>
  <c r="BR112" i="1" s="1"/>
  <c r="BE52" i="3"/>
  <c r="BQ52" i="3" s="1"/>
  <c r="AR52" i="3"/>
  <c r="X52" i="1" s="1"/>
  <c r="S52" i="1"/>
  <c r="BH6" i="3"/>
  <c r="F6" i="5" s="1"/>
  <c r="BP6" i="3"/>
  <c r="D6" i="5" s="1"/>
  <c r="E6" i="5"/>
  <c r="AQ142" i="1"/>
  <c r="BR142" i="1" s="1"/>
  <c r="AP142" i="1"/>
  <c r="AB142" i="5" s="1"/>
  <c r="Q142" i="1"/>
  <c r="R142" i="1" s="1"/>
  <c r="K142" i="1"/>
  <c r="BG142" i="1"/>
  <c r="AN142" i="1"/>
  <c r="BE110" i="3"/>
  <c r="BQ110" i="3" s="1"/>
  <c r="S110" i="1"/>
  <c r="BG31" i="3"/>
  <c r="BO31" i="3" s="1"/>
  <c r="BS31" i="3" s="1"/>
  <c r="AR31" i="3"/>
  <c r="AY31" i="3"/>
  <c r="I50" i="5"/>
  <c r="J50" i="5"/>
  <c r="H50" i="5"/>
  <c r="AP157" i="1"/>
  <c r="AB157" i="5" s="1"/>
  <c r="Q157" i="1"/>
  <c r="R157" i="1" s="1"/>
  <c r="AN157" i="1"/>
  <c r="AQ157" i="1"/>
  <c r="BR157" i="1" s="1"/>
  <c r="K157" i="1"/>
  <c r="BG157" i="1"/>
  <c r="BL141" i="3"/>
  <c r="CC8" i="1"/>
  <c r="BE8" i="1"/>
  <c r="BF8" i="1"/>
  <c r="BO8" i="1" s="1" a="1"/>
  <c r="BO8" i="1" s="1"/>
  <c r="BT8" i="1"/>
  <c r="AY156" i="3"/>
  <c r="BG156" i="3"/>
  <c r="BO156" i="3" s="1"/>
  <c r="BS156" i="3" s="1"/>
  <c r="AR156" i="3"/>
  <c r="BL136" i="3"/>
  <c r="BE19" i="3"/>
  <c r="BQ19" i="3" s="1"/>
  <c r="AI19" i="1"/>
  <c r="AJ19" i="1" s="1"/>
  <c r="AR7" i="3"/>
  <c r="Q155" i="1"/>
  <c r="R155" i="1" s="1"/>
  <c r="AQ155" i="1"/>
  <c r="BR155" i="1" s="1"/>
  <c r="AP155" i="1"/>
  <c r="AB155" i="5" s="1"/>
  <c r="BG155" i="1"/>
  <c r="K155" i="1"/>
  <c r="AN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I153" i="1"/>
  <c r="AJ153" i="1" s="1"/>
  <c r="BG15" i="3"/>
  <c r="BO15" i="3" s="1"/>
  <c r="BS15" i="3" s="1"/>
  <c r="AY15" i="3"/>
  <c r="AR15" i="3"/>
  <c r="AZ79" i="3"/>
  <c r="BG79" i="1"/>
  <c r="Q79" i="1"/>
  <c r="AP79" i="1"/>
  <c r="AB79" i="5" s="1"/>
  <c r="AQ79" i="1"/>
  <c r="BR79" i="1" s="1"/>
  <c r="K79" i="1"/>
  <c r="AY2" i="3"/>
  <c r="BG113" i="1"/>
  <c r="Q113" i="1"/>
  <c r="R113" i="1" s="1"/>
  <c r="AP113" i="1"/>
  <c r="AB113" i="5" s="1"/>
  <c r="AN113" i="1"/>
  <c r="K113" i="1"/>
  <c r="AQ113" i="1"/>
  <c r="BR113" i="1" s="1"/>
  <c r="BH112" i="3"/>
  <c r="F112" i="5" s="1"/>
  <c r="E112" i="5"/>
  <c r="BP112" i="3"/>
  <c r="D112" i="5" s="1"/>
  <c r="K7" i="1"/>
  <c r="BG7" i="1"/>
  <c r="Q7" i="1"/>
  <c r="R7" i="1" s="1"/>
  <c r="AP7" i="1"/>
  <c r="AB7" i="5" s="1"/>
  <c r="AY52" i="3"/>
  <c r="BL142" i="3"/>
  <c r="BE157" i="3"/>
  <c r="AI157" i="1"/>
  <c r="AJ157" i="1" s="1"/>
  <c r="H21" i="5"/>
  <c r="J21" i="5"/>
  <c r="I21" i="5"/>
  <c r="AY8" i="3"/>
  <c r="BK8" i="3" s="1"/>
  <c r="K139" i="1"/>
  <c r="AQ139" i="1"/>
  <c r="BR139" i="1" s="1"/>
  <c r="Q139" i="1"/>
  <c r="R139" i="1" s="1"/>
  <c r="AN139" i="1"/>
  <c r="BG139" i="1"/>
  <c r="AP139" i="1"/>
  <c r="AB139" i="5" s="1"/>
  <c r="BE28" i="3"/>
  <c r="AI28" i="1"/>
  <c r="AJ28" i="1" s="1"/>
  <c r="H96" i="5"/>
  <c r="I96" i="5"/>
  <c r="J96" i="5"/>
  <c r="AY7" i="3"/>
  <c r="BK7" i="3" s="1"/>
  <c r="E155" i="5"/>
  <c r="BH155" i="3"/>
  <c r="F155" i="5" s="1"/>
  <c r="BP155" i="3"/>
  <c r="D155" i="5" s="1"/>
  <c r="K135" i="1"/>
  <c r="BG135" i="1"/>
  <c r="Q135" i="1"/>
  <c r="R135" i="1" s="1"/>
  <c r="AP135" i="1"/>
  <c r="AB135" i="5" s="1"/>
  <c r="AQ135" i="1"/>
  <c r="BR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AP78" i="1"/>
  <c r="AB78" i="5" s="1"/>
  <c r="BG78" i="1"/>
  <c r="K78" i="1"/>
  <c r="Q78" i="1"/>
  <c r="R78" i="1" s="1"/>
  <c r="AQ78" i="1"/>
  <c r="BR78" i="1" s="1"/>
  <c r="AY3" i="3"/>
  <c r="G3" i="5"/>
  <c r="U3" i="1"/>
  <c r="T3" i="1"/>
  <c r="V3" i="1"/>
  <c r="W3" i="1"/>
  <c r="BL3" i="3"/>
  <c r="BG146" i="3"/>
  <c r="BO146" i="3" s="1"/>
  <c r="BS146" i="3" s="1"/>
  <c r="AY146" i="3"/>
  <c r="AR146" i="3"/>
  <c r="AQ75" i="1"/>
  <c r="BR75" i="1" s="1"/>
  <c r="Q75" i="1"/>
  <c r="R75" i="1" s="1"/>
  <c r="K75" i="1"/>
  <c r="AP75" i="1"/>
  <c r="AB75" i="5" s="1"/>
  <c r="BG75" i="1"/>
  <c r="AN75" i="1"/>
  <c r="F146" i="5"/>
  <c r="E7" i="5"/>
  <c r="BH7" i="3"/>
  <c r="F7" i="5" s="1"/>
  <c r="BP7" i="3"/>
  <c r="D7" i="5" s="1"/>
  <c r="Q39" i="1"/>
  <c r="R39" i="1" s="1"/>
  <c r="AP39" i="1"/>
  <c r="AB39" i="5" s="1"/>
  <c r="K39" i="1"/>
  <c r="BG39" i="1"/>
  <c r="AQ39" i="1"/>
  <c r="BR39" i="1" s="1"/>
  <c r="BH142" i="3"/>
  <c r="F142" i="5" s="1"/>
  <c r="BP142" i="3"/>
  <c r="D142" i="5" s="1"/>
  <c r="E142" i="5"/>
  <c r="BE63" i="3"/>
  <c r="S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K19" i="1"/>
  <c r="BG19" i="1"/>
  <c r="AP19" i="1"/>
  <c r="AB19" i="5" s="1"/>
  <c r="Q19" i="1"/>
  <c r="R19" i="1" s="1"/>
  <c r="AN19" i="1"/>
  <c r="AQ19" i="1"/>
  <c r="BR19" i="1" s="1"/>
  <c r="BE155" i="3"/>
  <c r="BQ155" i="3" s="1"/>
  <c r="AI155" i="1"/>
  <c r="AJ155" i="1" s="1"/>
  <c r="BP135" i="3"/>
  <c r="D135" i="5" s="1"/>
  <c r="BH135" i="3"/>
  <c r="F135" i="5" s="1"/>
  <c r="E135" i="5"/>
  <c r="BE132" i="3"/>
  <c r="BQ132" i="3" s="1"/>
  <c r="AI132" i="1"/>
  <c r="AJ132" i="1" s="1"/>
  <c r="AY151" i="3"/>
  <c r="AR151" i="3"/>
  <c r="BG151" i="3"/>
  <c r="BO151" i="3" s="1"/>
  <c r="BS151" i="3" s="1"/>
  <c r="BP78" i="3"/>
  <c r="D78" i="5" s="1"/>
  <c r="BH78" i="3"/>
  <c r="F78" i="5" s="1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I124" i="1"/>
  <c r="AJ124" i="1" s="1"/>
  <c r="E79" i="5"/>
  <c r="BH79" i="3"/>
  <c r="F79" i="5" s="1"/>
  <c r="BP79" i="3"/>
  <c r="D79" i="5" s="1"/>
  <c r="BR96" i="3"/>
  <c r="AN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X79" i="1" s="1"/>
  <c r="S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P39" i="3"/>
  <c r="D39" i="5" s="1"/>
  <c r="BH39" i="3"/>
  <c r="F39" i="5" s="1"/>
  <c r="E39" i="5"/>
  <c r="S150" i="5"/>
  <c r="AK150" i="1"/>
  <c r="AM150" i="1"/>
  <c r="AL150" i="1"/>
  <c r="BE159" i="3"/>
  <c r="AI159" i="1"/>
  <c r="AJ159" i="1" s="1"/>
  <c r="AQ11" i="1"/>
  <c r="BR11" i="1" s="1"/>
  <c r="Q30" i="1"/>
  <c r="R30" i="1" s="1"/>
  <c r="BG30" i="1"/>
  <c r="K30" i="1"/>
  <c r="AP30" i="1"/>
  <c r="AB30" i="5" s="1"/>
  <c r="AQ30" i="1"/>
  <c r="BR30" i="1" s="1"/>
  <c r="AR8" i="3"/>
  <c r="BJ96" i="3"/>
  <c r="N187" i="5" s="1"/>
  <c r="Q156" i="1"/>
  <c r="R156" i="1" s="1"/>
  <c r="AN156" i="1"/>
  <c r="AQ156" i="1"/>
  <c r="BR156" i="1" s="1"/>
  <c r="AP156" i="1"/>
  <c r="AB156" i="5" s="1"/>
  <c r="K156" i="1"/>
  <c r="BG156" i="1"/>
  <c r="BL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X26" i="1" s="1"/>
  <c r="S26" i="1"/>
  <c r="CC4" i="1"/>
  <c r="BE4" i="1"/>
  <c r="BF4" i="1" s="1"/>
  <c r="BO4" i="1" s="1" a="1"/>
  <c r="BO4" i="1" s="1"/>
  <c r="BT4" i="1"/>
  <c r="AN4" i="1"/>
  <c r="AQ120" i="1"/>
  <c r="BR120" i="1" s="1"/>
  <c r="AN120" i="1"/>
  <c r="AP120" i="1"/>
  <c r="AB120" i="5" s="1"/>
  <c r="K120" i="1"/>
  <c r="BG120" i="1"/>
  <c r="Q120" i="1"/>
  <c r="R120" i="1" s="1"/>
  <c r="BE13" i="3"/>
  <c r="BQ13" i="3" s="1"/>
  <c r="S13" i="1"/>
  <c r="AN3" i="1"/>
  <c r="AP115" i="1"/>
  <c r="AB115" i="5" s="1"/>
  <c r="BG115" i="1"/>
  <c r="Q115" i="1"/>
  <c r="R115" i="1" s="1"/>
  <c r="AQ115" i="1"/>
  <c r="BR115" i="1" s="1"/>
  <c r="K115" i="1"/>
  <c r="E159" i="5"/>
  <c r="BP159" i="3"/>
  <c r="D159" i="5" s="1"/>
  <c r="BH159" i="3"/>
  <c r="F159" i="5" s="1"/>
  <c r="BE51" i="3"/>
  <c r="BQ51" i="3" s="1"/>
  <c r="AR51" i="3"/>
  <c r="X51" i="1" s="1"/>
  <c r="S11" i="5"/>
  <c r="AK11" i="1"/>
  <c r="AL11" i="1"/>
  <c r="AM11" i="1"/>
  <c r="S17" i="5"/>
  <c r="AL17" i="1"/>
  <c r="AM17" i="1"/>
  <c r="AK17" i="1"/>
  <c r="E30" i="5"/>
  <c r="BH30" i="3"/>
  <c r="F30" i="5" s="1"/>
  <c r="BP30" i="3"/>
  <c r="D30" i="5" s="1"/>
  <c r="AQ8" i="1"/>
  <c r="BR8" i="1" s="1"/>
  <c r="BP156" i="3"/>
  <c r="D156" i="5" s="1"/>
  <c r="E156" i="5"/>
  <c r="BH156" i="3"/>
  <c r="F156" i="5" s="1"/>
  <c r="AN7" i="1"/>
  <c r="W4" i="1"/>
  <c r="G4" i="5"/>
  <c r="V4" i="1"/>
  <c r="T4" i="1"/>
  <c r="U4" i="1"/>
  <c r="BP120" i="3"/>
  <c r="D120" i="5" s="1"/>
  <c r="BH120" i="3"/>
  <c r="F120" i="5" s="1"/>
  <c r="E120" i="5"/>
  <c r="BG13" i="3"/>
  <c r="AY13" i="3"/>
  <c r="AR13" i="3"/>
  <c r="BE115" i="3"/>
  <c r="AI115" i="1"/>
  <c r="AJ115" i="1" s="1"/>
  <c r="AP11" i="1"/>
  <c r="AB11" i="5" s="1"/>
  <c r="K11" i="1"/>
  <c r="BG11" i="1"/>
  <c r="Q11" i="1"/>
  <c r="R11" i="1" s="1"/>
  <c r="U118" i="1"/>
  <c r="T118" i="1"/>
  <c r="W118" i="1"/>
  <c r="V118" i="1"/>
  <c r="G118" i="5"/>
  <c r="AP124" i="1"/>
  <c r="AB124" i="5" s="1"/>
  <c r="K124" i="1"/>
  <c r="BG124" i="1"/>
  <c r="Q124" i="1"/>
  <c r="R124" i="1" s="1"/>
  <c r="AQ124" i="1"/>
  <c r="BR124" i="1" s="1"/>
  <c r="AN124" i="1"/>
  <c r="H53" i="5"/>
  <c r="I53" i="5"/>
  <c r="J53" i="5"/>
  <c r="AQ145" i="1"/>
  <c r="BR145" i="1" s="1"/>
  <c r="AN145" i="1"/>
  <c r="Q145" i="1"/>
  <c r="R145" i="1" s="1"/>
  <c r="AP145" i="1"/>
  <c r="AB145" i="5" s="1"/>
  <c r="BG145" i="1"/>
  <c r="K145" i="1"/>
  <c r="BL70" i="3"/>
  <c r="Q52" i="1"/>
  <c r="R52" i="1" s="1"/>
  <c r="K52" i="1"/>
  <c r="AP52" i="1"/>
  <c r="AB52" i="5" s="1"/>
  <c r="BG52" i="1"/>
  <c r="AQ52" i="1"/>
  <c r="BR52" i="1" s="1"/>
  <c r="BE31" i="3"/>
  <c r="BQ31" i="3" s="1"/>
  <c r="AI31" i="1"/>
  <c r="AJ31" i="1" s="1"/>
  <c r="K92" i="1"/>
  <c r="Q92" i="1"/>
  <c r="R92" i="1" s="1"/>
  <c r="AQ92" i="1"/>
  <c r="BR92" i="1" s="1"/>
  <c r="BG92" i="1"/>
  <c r="AP92" i="1"/>
  <c r="AB92" i="5" s="1"/>
  <c r="BO8" i="3"/>
  <c r="BS8" i="3" s="1"/>
  <c r="BE156" i="3"/>
  <c r="AI156" i="1"/>
  <c r="AJ156" i="1" s="1"/>
  <c r="Q28" i="1"/>
  <c r="R28" i="1" s="1"/>
  <c r="BG28" i="1"/>
  <c r="K28" i="1"/>
  <c r="AP28" i="1"/>
  <c r="AB28" i="5" s="1"/>
  <c r="AQ28" i="1"/>
  <c r="BR28" i="1" s="1"/>
  <c r="H12" i="5"/>
  <c r="J12" i="5"/>
  <c r="I12" i="5"/>
  <c r="S7" i="5"/>
  <c r="AK7" i="1"/>
  <c r="AL7" i="1"/>
  <c r="AM7" i="1"/>
  <c r="BG135" i="3"/>
  <c r="AR135" i="3"/>
  <c r="AY135" i="3"/>
  <c r="BE90" i="3"/>
  <c r="BQ90" i="3" s="1"/>
  <c r="AI90" i="1"/>
  <c r="AJ90" i="1" s="1"/>
  <c r="BG132" i="3"/>
  <c r="BO132" i="3" s="1"/>
  <c r="BS132" i="3" s="1"/>
  <c r="AY132" i="3"/>
  <c r="AR132" i="3"/>
  <c r="BH4" i="3"/>
  <c r="F4" i="5" s="1"/>
  <c r="BP4" i="3"/>
  <c r="D4" i="5" s="1"/>
  <c r="E4" i="5"/>
  <c r="BL4" i="3"/>
  <c r="AN151" i="1"/>
  <c r="AP151" i="1"/>
  <c r="AB151" i="5" s="1"/>
  <c r="BG151" i="1"/>
  <c r="K151" i="1"/>
  <c r="AQ151" i="1"/>
  <c r="BR151" i="1" s="1"/>
  <c r="Q151" i="1"/>
  <c r="R151" i="1" s="1"/>
  <c r="K147" i="1"/>
  <c r="AN147" i="1"/>
  <c r="AP147" i="1"/>
  <c r="AB147" i="5" s="1"/>
  <c r="AQ147" i="1"/>
  <c r="BR147" i="1" s="1"/>
  <c r="Q147" i="1"/>
  <c r="R147" i="1" s="1"/>
  <c r="BG147" i="1"/>
  <c r="BE120" i="3"/>
  <c r="BQ120" i="3" s="1"/>
  <c r="AI120" i="1"/>
  <c r="AJ120" i="1" s="1"/>
  <c r="AP146" i="1"/>
  <c r="AB146" i="5" s="1"/>
  <c r="BG146" i="1"/>
  <c r="K146" i="1"/>
  <c r="Q146" i="1"/>
  <c r="R146" i="1" s="1"/>
  <c r="AN146" i="1"/>
  <c r="AQ146" i="1"/>
  <c r="BR146" i="1" s="1"/>
  <c r="E115" i="5"/>
  <c r="BH115" i="3"/>
  <c r="F115" i="5" s="1"/>
  <c r="BP115" i="3"/>
  <c r="D115" i="5" s="1"/>
  <c r="BP11" i="3"/>
  <c r="D11" i="5" s="1"/>
  <c r="E11" i="5"/>
  <c r="BH11" i="3"/>
  <c r="F11" i="5" s="1"/>
  <c r="P85" i="5"/>
  <c r="Q85" i="5"/>
  <c r="R85" i="5"/>
  <c r="P84" i="5"/>
  <c r="Q84" i="5"/>
  <c r="R84" i="5"/>
  <c r="P87" i="5"/>
  <c r="Q87" i="5"/>
  <c r="R87" i="5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Q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Q96" i="1" s="1"/>
  <c r="H96" i="1" s="1"/>
  <c r="Y97" i="1"/>
  <c r="BQ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F85" i="1"/>
  <c r="AH85" i="1"/>
  <c r="AE85" i="1"/>
  <c r="AG85" i="1"/>
  <c r="AA42" i="1"/>
  <c r="Y42" i="1"/>
  <c r="BQ42" i="1" s="1"/>
  <c r="H42" i="1" s="1"/>
  <c r="Z42" i="1"/>
  <c r="AB42" i="1"/>
  <c r="K42" i="5"/>
  <c r="L42" i="5" s="1"/>
  <c r="Y44" i="1"/>
  <c r="BQ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E87" i="1"/>
  <c r="AF87" i="1"/>
  <c r="AH87" i="1"/>
  <c r="AG87" i="1"/>
  <c r="AH84" i="1"/>
  <c r="AF84" i="1"/>
  <c r="AG84" i="1"/>
  <c r="AE84" i="1"/>
  <c r="AB49" i="1"/>
  <c r="Y49" i="1"/>
  <c r="BQ49" i="1" s="1"/>
  <c r="H49" i="1" s="1"/>
  <c r="Z49" i="1"/>
  <c r="AA49" i="1"/>
  <c r="K49" i="5"/>
  <c r="L49" i="5" s="1"/>
  <c r="AD71" i="1"/>
  <c r="AD63" i="1"/>
  <c r="O63" i="5" s="1"/>
  <c r="AF20" i="1"/>
  <c r="AH20" i="1"/>
  <c r="AE20" i="1"/>
  <c r="AG20" i="1"/>
  <c r="AD11" i="1"/>
  <c r="O11" i="5" s="1"/>
  <c r="Z45" i="1"/>
  <c r="K45" i="5"/>
  <c r="L45" i="5" s="1"/>
  <c r="AA45" i="1"/>
  <c r="Y45" i="1"/>
  <c r="BQ45" i="1" s="1"/>
  <c r="H45" i="1" s="1"/>
  <c r="AB45" i="1"/>
  <c r="K50" i="5"/>
  <c r="L50" i="5" s="1"/>
  <c r="Z50" i="1"/>
  <c r="Y50" i="1"/>
  <c r="BQ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Q53" i="1" s="1"/>
  <c r="H53" i="1" s="1"/>
  <c r="AA53" i="1"/>
  <c r="K53" i="5"/>
  <c r="L53" i="5" s="1"/>
  <c r="AD124" i="1"/>
  <c r="AI2" i="1"/>
  <c r="AJ2" i="1" s="1"/>
  <c r="Q2" i="1"/>
  <c r="AU31" i="3"/>
  <c r="AD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AT2" i="3"/>
  <c r="BP2" i="3"/>
  <c r="T2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K2" i="1"/>
  <c r="AS2" i="3"/>
  <c r="AS5" i="3"/>
  <c r="AS7" i="3"/>
  <c r="AS11" i="3"/>
  <c r="AS8" i="3"/>
  <c r="AN7" i="3"/>
  <c r="W2" i="1"/>
  <c r="U2" i="1"/>
  <c r="V2" i="1"/>
  <c r="BG2" i="1"/>
  <c r="AP2" i="1"/>
  <c r="AB2" i="5" s="1"/>
  <c r="AQ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H188" i="1" l="1"/>
  <c r="Q194" i="5"/>
  <c r="P194" i="5"/>
  <c r="R194" i="5"/>
  <c r="H182" i="1"/>
  <c r="AH194" i="1"/>
  <c r="AG194" i="1"/>
  <c r="AF194" i="1"/>
  <c r="AE194" i="1"/>
  <c r="BQ194" i="1" s="1"/>
  <c r="R191" i="1"/>
  <c r="BQ191" i="1" s="1"/>
  <c r="BV48" i="1"/>
  <c r="BV53" i="1"/>
  <c r="BV12" i="1"/>
  <c r="BV42" i="1"/>
  <c r="BV37" i="1"/>
  <c r="BV22" i="1"/>
  <c r="BV45" i="1"/>
  <c r="BV24" i="1"/>
  <c r="BV49" i="1"/>
  <c r="BV40" i="1"/>
  <c r="BV38" i="1"/>
  <c r="BV47" i="1"/>
  <c r="BV97" i="1"/>
  <c r="BV54" i="1"/>
  <c r="BV61" i="1"/>
  <c r="BV96" i="1"/>
  <c r="BV23" i="1"/>
  <c r="BV44" i="1"/>
  <c r="BV95" i="1"/>
  <c r="BV50" i="1"/>
  <c r="BV41" i="1"/>
  <c r="CC2" i="1"/>
  <c r="BI74" i="3"/>
  <c r="O30" i="5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Q150" i="1"/>
  <c r="H150" i="1" s="1"/>
  <c r="BQ158" i="1"/>
  <c r="H158" i="1" s="1"/>
  <c r="BK143" i="3"/>
  <c r="BQ114" i="1"/>
  <c r="H114" i="1" s="1"/>
  <c r="R51" i="1"/>
  <c r="R110" i="1"/>
  <c r="R79" i="1"/>
  <c r="R43" i="1"/>
  <c r="BQ118" i="1"/>
  <c r="H118" i="1" s="1"/>
  <c r="BQ123" i="1"/>
  <c r="H123" i="1" s="1"/>
  <c r="BQ88" i="1"/>
  <c r="H88" i="1" s="1"/>
  <c r="R137" i="1"/>
  <c r="BQ65" i="1"/>
  <c r="H65" i="1" s="1"/>
  <c r="BQ85" i="1"/>
  <c r="H85" i="1" s="1"/>
  <c r="BQ125" i="1"/>
  <c r="H125" i="1" s="1"/>
  <c r="BQ17" i="1"/>
  <c r="H17" i="1" s="1"/>
  <c r="BQ21" i="1"/>
  <c r="H21" i="1" s="1"/>
  <c r="BQ84" i="1"/>
  <c r="H84" i="1" s="1"/>
  <c r="BQ33" i="1"/>
  <c r="H33" i="1" s="1"/>
  <c r="BQ87" i="1"/>
  <c r="H87" i="1" s="1"/>
  <c r="BQ66" i="1"/>
  <c r="H66" i="1" s="1"/>
  <c r="BQ82" i="1"/>
  <c r="H82" i="1" s="1"/>
  <c r="BQ20" i="1"/>
  <c r="H20" i="1" s="1"/>
  <c r="BQ18" i="1"/>
  <c r="H18" i="1" s="1"/>
  <c r="BQ83" i="1"/>
  <c r="H83" i="1" s="1"/>
  <c r="BQ121" i="1"/>
  <c r="H121" i="1" s="1"/>
  <c r="G11" i="5"/>
  <c r="I11" i="5" s="1"/>
  <c r="G5" i="5"/>
  <c r="H5" i="5" s="1"/>
  <c r="T5" i="1"/>
  <c r="O136" i="5"/>
  <c r="P136" i="5" s="1"/>
  <c r="BK142" i="3"/>
  <c r="BK157" i="3"/>
  <c r="O75" i="5"/>
  <c r="O25" i="5"/>
  <c r="P25" i="5" s="1"/>
  <c r="BK153" i="3"/>
  <c r="V8" i="1"/>
  <c r="N29" i="5"/>
  <c r="M29" i="5"/>
  <c r="U5" i="1"/>
  <c r="W5" i="1"/>
  <c r="G8" i="5"/>
  <c r="I8" i="5" s="1"/>
  <c r="U8" i="1"/>
  <c r="T8" i="1"/>
  <c r="AS64" i="3"/>
  <c r="BQ64" i="1" s="1"/>
  <c r="H64" i="1" s="1"/>
  <c r="T11" i="1"/>
  <c r="W11" i="1"/>
  <c r="V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R90" i="5" s="1"/>
  <c r="BK91" i="3"/>
  <c r="O70" i="5"/>
  <c r="Q70" i="5" s="1"/>
  <c r="BK86" i="3"/>
  <c r="BK19" i="3"/>
  <c r="BK115" i="3"/>
  <c r="BQ74" i="3"/>
  <c r="BL74" i="3"/>
  <c r="BK70" i="3"/>
  <c r="BK145" i="3"/>
  <c r="BK155" i="3"/>
  <c r="O9" i="5"/>
  <c r="P9" i="5" s="1"/>
  <c r="BK14" i="3"/>
  <c r="BK111" i="3"/>
  <c r="BK144" i="3"/>
  <c r="BK159" i="3"/>
  <c r="BK16" i="3"/>
  <c r="BT43" i="1"/>
  <c r="BK149" i="3"/>
  <c r="O124" i="5"/>
  <c r="P124" i="5" s="1"/>
  <c r="CC157" i="1"/>
  <c r="BE157" i="1"/>
  <c r="BF157" i="1" s="1"/>
  <c r="BO157" i="1" s="1" a="1"/>
  <c r="BO157" i="1" s="1"/>
  <c r="BT157" i="1"/>
  <c r="BI75" i="3"/>
  <c r="BL75" i="3"/>
  <c r="BK71" i="3"/>
  <c r="G137" i="5"/>
  <c r="T137" i="1"/>
  <c r="V137" i="1"/>
  <c r="U137" i="1"/>
  <c r="W137" i="1"/>
  <c r="U111" i="1"/>
  <c r="W111" i="1"/>
  <c r="T111" i="1"/>
  <c r="V111" i="1"/>
  <c r="G111" i="5"/>
  <c r="BO25" i="3"/>
  <c r="BS25" i="3" s="1"/>
  <c r="BK25" i="3"/>
  <c r="BE115" i="1"/>
  <c r="CC115" i="1"/>
  <c r="BF115" i="1"/>
  <c r="BO115" i="1" s="1" a="1"/>
  <c r="BO115" i="1" s="1"/>
  <c r="BT115" i="1"/>
  <c r="BT11" i="1"/>
  <c r="BE11" i="1"/>
  <c r="BF11" i="1"/>
  <c r="BO11" i="1" s="1" a="1"/>
  <c r="BO11" i="1" s="1"/>
  <c r="CC11" i="1"/>
  <c r="AZ11" i="1"/>
  <c r="T17" i="5"/>
  <c r="U17" i="5"/>
  <c r="V17" i="5"/>
  <c r="BI79" i="3"/>
  <c r="BF79" i="3"/>
  <c r="K79" i="5" s="1"/>
  <c r="L79" i="5" s="1"/>
  <c r="BL79" i="3"/>
  <c r="BL111" i="3"/>
  <c r="BI111" i="3"/>
  <c r="BT132" i="1"/>
  <c r="BE132" i="1"/>
  <c r="CC132" i="1"/>
  <c r="BF132" i="1"/>
  <c r="BO132" i="1" s="1" a="1"/>
  <c r="BO132" i="1" s="1"/>
  <c r="BT9" i="1"/>
  <c r="H4" i="5"/>
  <c r="I4" i="5"/>
  <c r="J4" i="5"/>
  <c r="V13" i="1"/>
  <c r="G13" i="5"/>
  <c r="T13" i="1"/>
  <c r="W13" i="1"/>
  <c r="U13" i="1"/>
  <c r="BL157" i="3"/>
  <c r="BI157" i="3"/>
  <c r="BE142" i="1"/>
  <c r="BF142" i="1" s="1"/>
  <c r="BO142" i="1" s="1" a="1"/>
  <c r="BO142" i="1" s="1"/>
  <c r="CC142" i="1"/>
  <c r="BL115" i="3"/>
  <c r="BI115" i="3"/>
  <c r="BI63" i="3"/>
  <c r="BL63" i="3"/>
  <c r="CC154" i="1"/>
  <c r="BT154" i="1"/>
  <c r="BE154" i="1"/>
  <c r="BF154" i="1" s="1"/>
  <c r="BO154" i="1" s="1" a="1"/>
  <c r="BO154" i="1" s="1"/>
  <c r="BE151" i="1"/>
  <c r="BT151" i="1"/>
  <c r="CC151" i="1"/>
  <c r="BF151" i="1"/>
  <c r="BO151" i="1" s="1" a="1"/>
  <c r="BO151" i="1" s="1"/>
  <c r="H118" i="5"/>
  <c r="J118" i="5"/>
  <c r="I118" i="5"/>
  <c r="BK28" i="3"/>
  <c r="BO28" i="3"/>
  <c r="BS28" i="3" s="1"/>
  <c r="O28" i="5"/>
  <c r="BT28" i="1"/>
  <c r="BE28" i="1"/>
  <c r="BF28" i="1"/>
  <c r="BO28" i="1" s="1" a="1"/>
  <c r="BO28" i="1" s="1"/>
  <c r="CC28" i="1"/>
  <c r="BF92" i="1"/>
  <c r="BO92" i="1" s="1" a="1"/>
  <c r="BO92" i="1" s="1"/>
  <c r="CC92" i="1"/>
  <c r="AZ92" i="1"/>
  <c r="BT92" i="1"/>
  <c r="BE92" i="1"/>
  <c r="BT145" i="1"/>
  <c r="CC145" i="1"/>
  <c r="BE145" i="1"/>
  <c r="BF145" i="1" s="1"/>
  <c r="BO145" i="1" s="1" a="1"/>
  <c r="BO145" i="1" s="1"/>
  <c r="BE7" i="1"/>
  <c r="CC7" i="1"/>
  <c r="BF7" i="1"/>
  <c r="BO7" i="1" s="1" a="1"/>
  <c r="BO7" i="1" s="1"/>
  <c r="AZ7" i="1"/>
  <c r="BE155" i="1"/>
  <c r="BF155" i="1" s="1"/>
  <c r="BO155" i="1" s="1" a="1"/>
  <c r="BO155" i="1" s="1"/>
  <c r="BT155" i="1"/>
  <c r="CC155" i="1"/>
  <c r="V114" i="5"/>
  <c r="T114" i="5"/>
  <c r="U114" i="5"/>
  <c r="BT86" i="1"/>
  <c r="BF86" i="1"/>
  <c r="BO86" i="1" s="1" a="1"/>
  <c r="BO86" i="1" s="1"/>
  <c r="BE86" i="1"/>
  <c r="CC86" i="1"/>
  <c r="BT13" i="1"/>
  <c r="BO14" i="3"/>
  <c r="BS14" i="3" s="1"/>
  <c r="BL137" i="3"/>
  <c r="BI137" i="3"/>
  <c r="BF137" i="3"/>
  <c r="U6" i="1"/>
  <c r="W6" i="1"/>
  <c r="G6" i="5"/>
  <c r="T6" i="1"/>
  <c r="V6" i="1"/>
  <c r="BI154" i="3"/>
  <c r="BL154" i="3"/>
  <c r="AM151" i="1"/>
  <c r="AL151" i="1"/>
  <c r="AK151" i="1"/>
  <c r="S151" i="5"/>
  <c r="AB112" i="1"/>
  <c r="Z112" i="1"/>
  <c r="Y112" i="1"/>
  <c r="AA112" i="1"/>
  <c r="BF91" i="1"/>
  <c r="BO91" i="1" s="1" a="1"/>
  <c r="BO91" i="1" s="1"/>
  <c r="BT91" i="1"/>
  <c r="CC91" i="1"/>
  <c r="BE91" i="1"/>
  <c r="BE148" i="1"/>
  <c r="BF148" i="1" s="1"/>
  <c r="BO148" i="1" s="1" a="1"/>
  <c r="BO148" i="1" s="1"/>
  <c r="CC148" i="1"/>
  <c r="BT148" i="1"/>
  <c r="BK136" i="3"/>
  <c r="BO136" i="3"/>
  <c r="BS136" i="3" s="1"/>
  <c r="H3" i="5"/>
  <c r="I3" i="5"/>
  <c r="J3" i="5"/>
  <c r="BK120" i="3"/>
  <c r="AU120" i="3"/>
  <c r="AD120" i="1" s="1"/>
  <c r="BL28" i="3"/>
  <c r="BI28" i="3"/>
  <c r="BK15" i="3"/>
  <c r="S120" i="5"/>
  <c r="AK120" i="1"/>
  <c r="AM120" i="1"/>
  <c r="AL120" i="1"/>
  <c r="BK31" i="3"/>
  <c r="BT120" i="1"/>
  <c r="S124" i="5"/>
  <c r="AM124" i="1"/>
  <c r="AK124" i="1"/>
  <c r="AL124" i="1"/>
  <c r="BT153" i="1"/>
  <c r="CC3" i="1"/>
  <c r="BT3" i="1"/>
  <c r="BE3" i="1"/>
  <c r="BF3" i="1"/>
  <c r="BO3" i="1" s="1" a="1"/>
  <c r="BO3" i="1" s="1"/>
  <c r="BK139" i="3"/>
  <c r="BK74" i="3"/>
  <c r="O71" i="5"/>
  <c r="P71" i="5" s="1"/>
  <c r="BL120" i="3"/>
  <c r="BI120" i="3"/>
  <c r="U26" i="1"/>
  <c r="T26" i="1"/>
  <c r="V26" i="1"/>
  <c r="W26" i="1"/>
  <c r="G26" i="5"/>
  <c r="BI124" i="3"/>
  <c r="BL124" i="3"/>
  <c r="BK146" i="3"/>
  <c r="BT146" i="1"/>
  <c r="BE146" i="1"/>
  <c r="BF146" i="1" s="1"/>
  <c r="BO146" i="1" s="1" a="1"/>
  <c r="BO146" i="1" s="1"/>
  <c r="CC146" i="1"/>
  <c r="S156" i="5"/>
  <c r="AL156" i="1"/>
  <c r="AK156" i="1"/>
  <c r="AM156" i="1"/>
  <c r="S159" i="5"/>
  <c r="AM159" i="1"/>
  <c r="AK159" i="1"/>
  <c r="AL159" i="1"/>
  <c r="BL155" i="3"/>
  <c r="BI155" i="3"/>
  <c r="BK92" i="3"/>
  <c r="BO92" i="3"/>
  <c r="BS92" i="3" s="1"/>
  <c r="BE139" i="1"/>
  <c r="BF139" i="1" s="1"/>
  <c r="BO139" i="1" s="1" a="1"/>
  <c r="BO139" i="1" s="1"/>
  <c r="BT139" i="1"/>
  <c r="CC139" i="1"/>
  <c r="BT7" i="1"/>
  <c r="BF113" i="1"/>
  <c r="BO113" i="1" s="1" a="1"/>
  <c r="BO113" i="1" s="1"/>
  <c r="BE113" i="1"/>
  <c r="CC113" i="1"/>
  <c r="BT113" i="1"/>
  <c r="T43" i="1"/>
  <c r="W43" i="1"/>
  <c r="U43" i="1"/>
  <c r="V43" i="1"/>
  <c r="G43" i="5"/>
  <c r="V7" i="1"/>
  <c r="T7" i="1"/>
  <c r="U7" i="1"/>
  <c r="W7" i="1"/>
  <c r="G7" i="5"/>
  <c r="BK75" i="3"/>
  <c r="BO75" i="3"/>
  <c r="BS75" i="3" s="1"/>
  <c r="CC63" i="1"/>
  <c r="BT63" i="1"/>
  <c r="BE63" i="1"/>
  <c r="BF63" i="1"/>
  <c r="BO63" i="1" s="1" a="1"/>
  <c r="BO63" i="1" s="1"/>
  <c r="BL6" i="3"/>
  <c r="BI6" i="3"/>
  <c r="S152" i="5"/>
  <c r="AK152" i="1"/>
  <c r="AL152" i="1"/>
  <c r="AM152" i="1"/>
  <c r="BL151" i="3"/>
  <c r="BI151" i="3"/>
  <c r="T112" i="1"/>
  <c r="G112" i="5"/>
  <c r="U112" i="1"/>
  <c r="V112" i="1"/>
  <c r="W112" i="1"/>
  <c r="BE9" i="1"/>
  <c r="BF9" i="1"/>
  <c r="BO9" i="1" s="1" a="1"/>
  <c r="BO9" i="1" s="1"/>
  <c r="CC9" i="1"/>
  <c r="AZ9" i="1"/>
  <c r="BI51" i="3"/>
  <c r="BL51" i="3"/>
  <c r="BF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K3" i="3"/>
  <c r="BK152" i="3"/>
  <c r="O78" i="5"/>
  <c r="P78" i="5" s="1"/>
  <c r="BT147" i="1"/>
  <c r="BE147" i="1"/>
  <c r="BF147" i="1" s="1"/>
  <c r="BO147" i="1" s="1" a="1"/>
  <c r="BO147" i="1" s="1"/>
  <c r="CC147" i="1"/>
  <c r="BL156" i="3"/>
  <c r="BI156" i="3"/>
  <c r="S31" i="5"/>
  <c r="AK31" i="1"/>
  <c r="AL31" i="1"/>
  <c r="AM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M157" i="1"/>
  <c r="AK157" i="1"/>
  <c r="AL157" i="1"/>
  <c r="BQ124" i="3"/>
  <c r="BO115" i="3"/>
  <c r="BS115" i="3" s="1"/>
  <c r="BT111" i="1"/>
  <c r="BF111" i="1"/>
  <c r="BO111" i="1" s="1" a="1"/>
  <c r="BO111" i="1" s="1"/>
  <c r="CC111" i="1"/>
  <c r="BE111" i="1"/>
  <c r="AZ111" i="1"/>
  <c r="BE43" i="1"/>
  <c r="CC43" i="1"/>
  <c r="BF43" i="1"/>
  <c r="BO43" i="1" s="1" a="1"/>
  <c r="BO43" i="1" s="1"/>
  <c r="AZ43" i="1"/>
  <c r="BF46" i="1"/>
  <c r="BO46" i="1" s="1" a="1"/>
  <c r="BO46" i="1" s="1"/>
  <c r="CC46" i="1"/>
  <c r="BT46" i="1"/>
  <c r="BE46" i="1"/>
  <c r="AZ46" i="1"/>
  <c r="BI152" i="3"/>
  <c r="BL152" i="3"/>
  <c r="BT15" i="1"/>
  <c r="BL112" i="3"/>
  <c r="BI112" i="3"/>
  <c r="BF112" i="3"/>
  <c r="K112" i="5" s="1"/>
  <c r="BL31" i="3"/>
  <c r="BI31" i="3"/>
  <c r="BQ156" i="3"/>
  <c r="CC15" i="1"/>
  <c r="BE15" i="1"/>
  <c r="BF15" i="1" s="1"/>
  <c r="BO15" i="1" s="1" a="1"/>
  <c r="BO15" i="1" s="1"/>
  <c r="V84" i="5"/>
  <c r="T84" i="5"/>
  <c r="U84" i="5"/>
  <c r="BF137" i="1"/>
  <c r="BO137" i="1" s="1" a="1"/>
  <c r="BO137" i="1" s="1"/>
  <c r="BE137" i="1"/>
  <c r="BT137" i="1"/>
  <c r="CC137" i="1"/>
  <c r="CC141" i="1"/>
  <c r="BE141" i="1"/>
  <c r="BF141" i="1" s="1"/>
  <c r="BO141" i="1" s="1" a="1"/>
  <c r="BO141" i="1" s="1"/>
  <c r="BT141" i="1"/>
  <c r="CC51" i="1"/>
  <c r="BT51" i="1"/>
  <c r="BE51" i="1"/>
  <c r="BF51" i="1"/>
  <c r="BO51" i="1" s="1" a="1"/>
  <c r="BO51" i="1" s="1"/>
  <c r="AZ51" i="1"/>
  <c r="BK148" i="3"/>
  <c r="S90" i="5"/>
  <c r="AK90" i="1"/>
  <c r="AM90" i="1"/>
  <c r="AL90" i="1"/>
  <c r="S115" i="5"/>
  <c r="AL115" i="1"/>
  <c r="AK115" i="1"/>
  <c r="AM115" i="1"/>
  <c r="BL13" i="3"/>
  <c r="BI13" i="3"/>
  <c r="BF120" i="1"/>
  <c r="BO120" i="1" s="1" a="1"/>
  <c r="BO120" i="1" s="1"/>
  <c r="BE120" i="1"/>
  <c r="CC120" i="1"/>
  <c r="BT156" i="1"/>
  <c r="CC156" i="1"/>
  <c r="BE156" i="1"/>
  <c r="BF156" i="1" s="1"/>
  <c r="BO156" i="1" s="1" a="1"/>
  <c r="BO156" i="1" s="1"/>
  <c r="CC30" i="1"/>
  <c r="BF30" i="1"/>
  <c r="BO30" i="1" s="1" a="1"/>
  <c r="BO30" i="1" s="1"/>
  <c r="BE30" i="1"/>
  <c r="BT30" i="1"/>
  <c r="AZ30" i="1"/>
  <c r="T110" i="1"/>
  <c r="U110" i="1"/>
  <c r="W110" i="1"/>
  <c r="V110" i="1"/>
  <c r="G110" i="5"/>
  <c r="CC13" i="1"/>
  <c r="BF13" i="1"/>
  <c r="BO13" i="1" s="1" a="1"/>
  <c r="BO13" i="1" s="1"/>
  <c r="BE13" i="1"/>
  <c r="AZ13" i="1"/>
  <c r="BE153" i="1"/>
  <c r="BF153" i="1" s="1"/>
  <c r="BO153" i="1" s="1" a="1"/>
  <c r="BO153" i="1" s="1"/>
  <c r="CC153" i="1"/>
  <c r="S4" i="5"/>
  <c r="AK4" i="1"/>
  <c r="AL4" i="1"/>
  <c r="AM4" i="1"/>
  <c r="BK124" i="3"/>
  <c r="BO124" i="3"/>
  <c r="BS124" i="3" s="1"/>
  <c r="CC143" i="1"/>
  <c r="BT143" i="1"/>
  <c r="BE143" i="1"/>
  <c r="BF143" i="1" s="1"/>
  <c r="BO143" i="1" s="1" a="1"/>
  <c r="BO143" i="1" s="1"/>
  <c r="H11" i="5"/>
  <c r="J11" i="5"/>
  <c r="BT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F39" i="1"/>
  <c r="BO39" i="1" s="1" a="1"/>
  <c r="BO39" i="1" s="1"/>
  <c r="CC39" i="1"/>
  <c r="BT39" i="1"/>
  <c r="BE39" i="1"/>
  <c r="CC75" i="1"/>
  <c r="BF75" i="1"/>
  <c r="BO75" i="1" s="1" a="1"/>
  <c r="BO75" i="1" s="1"/>
  <c r="BT75" i="1"/>
  <c r="BE75" i="1"/>
  <c r="BL110" i="3"/>
  <c r="BI110" i="3"/>
  <c r="BE144" i="1"/>
  <c r="BF144" i="1" s="1"/>
  <c r="BO144" i="1" s="1" a="1"/>
  <c r="BO144" i="1" s="1"/>
  <c r="CC144" i="1"/>
  <c r="BT144" i="1"/>
  <c r="BE90" i="1"/>
  <c r="BF90" i="1"/>
  <c r="BO90" i="1" s="1" a="1"/>
  <c r="BO90" i="1" s="1"/>
  <c r="BT90" i="1"/>
  <c r="CC90" i="1"/>
  <c r="T8" i="5"/>
  <c r="U8" i="5"/>
  <c r="V8" i="5"/>
  <c r="BQ157" i="3"/>
  <c r="CC110" i="1"/>
  <c r="BF110" i="1"/>
  <c r="BO110" i="1" s="1" a="1"/>
  <c r="BO110" i="1" s="1"/>
  <c r="BT110" i="1"/>
  <c r="BE110" i="1"/>
  <c r="AZ110" i="1"/>
  <c r="T158" i="5"/>
  <c r="V158" i="5"/>
  <c r="U158" i="5"/>
  <c r="BT70" i="1"/>
  <c r="BF70" i="1"/>
  <c r="BO70" i="1" s="1" a="1"/>
  <c r="BO70" i="1" s="1"/>
  <c r="CC70" i="1"/>
  <c r="BE70" i="1"/>
  <c r="AZ70" i="1"/>
  <c r="BQ152" i="3"/>
  <c r="BF46" i="3"/>
  <c r="K46" i="5" s="1"/>
  <c r="L46" i="5" s="1"/>
  <c r="BI46" i="3"/>
  <c r="BL46" i="3"/>
  <c r="CC149" i="1"/>
  <c r="BE149" i="1"/>
  <c r="BF149" i="1" s="1"/>
  <c r="BO149" i="1" s="1" a="1"/>
  <c r="BO149" i="1" s="1"/>
  <c r="BT149" i="1"/>
  <c r="CC74" i="1"/>
  <c r="BT74" i="1"/>
  <c r="BE74" i="1"/>
  <c r="BF74" i="1"/>
  <c r="BO74" i="1" s="1" a="1"/>
  <c r="BO74" i="1" s="1"/>
  <c r="BO78" i="3"/>
  <c r="BS78" i="3" s="1"/>
  <c r="BK78" i="3"/>
  <c r="S74" i="5"/>
  <c r="AM74" i="1"/>
  <c r="AK74" i="1"/>
  <c r="AL74" i="1"/>
  <c r="BE152" i="1"/>
  <c r="BF152" i="1" s="1"/>
  <c r="BO152" i="1" s="1" a="1"/>
  <c r="BO152" i="1" s="1"/>
  <c r="BT152" i="1"/>
  <c r="CC152" i="1"/>
  <c r="BQ28" i="3"/>
  <c r="BK132" i="3"/>
  <c r="O31" i="5"/>
  <c r="Q31" i="5" s="1"/>
  <c r="O13" i="5"/>
  <c r="P13" i="5" s="1"/>
  <c r="BT124" i="1"/>
  <c r="BE124" i="1"/>
  <c r="BF124" i="1"/>
  <c r="BO124" i="1" s="1" a="1"/>
  <c r="BO124" i="1" s="1"/>
  <c r="CC124" i="1"/>
  <c r="BQ63" i="3"/>
  <c r="V150" i="5"/>
  <c r="T150" i="5"/>
  <c r="U150" i="5"/>
  <c r="BO149" i="3"/>
  <c r="BS149" i="3" s="1"/>
  <c r="S132" i="5"/>
  <c r="AL132" i="1"/>
  <c r="AM132" i="1"/>
  <c r="AK132" i="1"/>
  <c r="BF78" i="1"/>
  <c r="BO78" i="1" s="1" a="1"/>
  <c r="BO78" i="1" s="1"/>
  <c r="CC78" i="1"/>
  <c r="BE78" i="1"/>
  <c r="BT78" i="1"/>
  <c r="AZ78" i="1"/>
  <c r="BT135" i="1"/>
  <c r="CC135" i="1"/>
  <c r="BE135" i="1"/>
  <c r="BF135" i="1"/>
  <c r="BO135" i="1" s="1" a="1"/>
  <c r="BO135" i="1" s="1"/>
  <c r="AZ135" i="1"/>
  <c r="S19" i="5"/>
  <c r="AK19" i="1"/>
  <c r="AM19" i="1"/>
  <c r="AL19" i="1"/>
  <c r="W52" i="1"/>
  <c r="G52" i="5"/>
  <c r="U52" i="1"/>
  <c r="T52" i="1"/>
  <c r="V52" i="1"/>
  <c r="BF112" i="1"/>
  <c r="BO112" i="1" s="1" a="1"/>
  <c r="BO112" i="1" s="1"/>
  <c r="CC112" i="1"/>
  <c r="BE112" i="1"/>
  <c r="BT112" i="1"/>
  <c r="AZ112" i="1"/>
  <c r="BQ115" i="3"/>
  <c r="O113" i="5"/>
  <c r="AF113" i="1"/>
  <c r="AG113" i="1"/>
  <c r="AE113" i="1"/>
  <c r="AH113" i="1"/>
  <c r="BT25" i="1"/>
  <c r="BE25" i="1"/>
  <c r="BF25" i="1"/>
  <c r="BO25" i="1" s="1" a="1"/>
  <c r="BO25" i="1" s="1"/>
  <c r="CC25" i="1"/>
  <c r="AZ25" i="1"/>
  <c r="CC16" i="1"/>
  <c r="BE16" i="1"/>
  <c r="BF16" i="1" s="1"/>
  <c r="BO16" i="1" s="1" a="1"/>
  <c r="BO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BL43" i="3"/>
  <c r="BI43" i="3"/>
  <c r="BF43" i="3"/>
  <c r="BI90" i="3"/>
  <c r="BL90" i="3"/>
  <c r="BT142" i="1"/>
  <c r="BO135" i="3"/>
  <c r="BS135" i="3" s="1"/>
  <c r="BK135" i="3"/>
  <c r="CC52" i="1"/>
  <c r="BT52" i="1"/>
  <c r="BF52" i="1"/>
  <c r="BO52" i="1" s="1" a="1"/>
  <c r="BO52" i="1" s="1"/>
  <c r="BE52" i="1"/>
  <c r="AZ52" i="1"/>
  <c r="BO13" i="3"/>
  <c r="BS13" i="3" s="1"/>
  <c r="BK13" i="3"/>
  <c r="T79" i="1"/>
  <c r="G79" i="5"/>
  <c r="W79" i="1"/>
  <c r="U79" i="1"/>
  <c r="V79" i="1"/>
  <c r="BL132" i="3"/>
  <c r="BI132" i="3"/>
  <c r="BE19" i="1"/>
  <c r="BF19" i="1" s="1"/>
  <c r="BO19" i="1" s="1" a="1"/>
  <c r="BO19" i="1" s="1"/>
  <c r="CC19" i="1"/>
  <c r="BT19" i="1"/>
  <c r="AL153" i="1"/>
  <c r="AM153" i="1"/>
  <c r="AK153" i="1"/>
  <c r="S153" i="5"/>
  <c r="BI19" i="3"/>
  <c r="BL19" i="3"/>
  <c r="S3" i="5"/>
  <c r="AK3" i="1"/>
  <c r="AL3" i="1"/>
  <c r="AM3" i="1"/>
  <c r="G135" i="5"/>
  <c r="W135" i="1"/>
  <c r="V135" i="1"/>
  <c r="T135" i="1"/>
  <c r="U135" i="1"/>
  <c r="CC159" i="1"/>
  <c r="BT159" i="1"/>
  <c r="BE159" i="1"/>
  <c r="BF159" i="1" s="1"/>
  <c r="BO159" i="1" s="1" a="1"/>
  <c r="BO159" i="1" s="1"/>
  <c r="BO141" i="3"/>
  <c r="BS141" i="3" s="1"/>
  <c r="BE26" i="1"/>
  <c r="BT26" i="1"/>
  <c r="CC26" i="1"/>
  <c r="BF26" i="1"/>
  <c r="BO26" i="1" s="1" a="1"/>
  <c r="BO26" i="1" s="1"/>
  <c r="BO39" i="3"/>
  <c r="BS39" i="3" s="1"/>
  <c r="BK39" i="3"/>
  <c r="BQ154" i="3"/>
  <c r="BR52" i="3"/>
  <c r="K52" i="5" s="1"/>
  <c r="L52" i="5" s="1"/>
  <c r="BJ52" i="3"/>
  <c r="S28" i="5"/>
  <c r="AK28" i="1"/>
  <c r="AM28" i="1"/>
  <c r="AL28" i="1"/>
  <c r="CC79" i="1"/>
  <c r="BT79" i="1"/>
  <c r="BF79" i="1"/>
  <c r="BO79" i="1" s="1" a="1"/>
  <c r="BO79" i="1" s="1"/>
  <c r="BE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T6" i="1"/>
  <c r="BF6" i="1"/>
  <c r="BO6" i="1" s="1" a="1"/>
  <c r="BO6" i="1" s="1"/>
  <c r="CC6" i="1"/>
  <c r="BE6" i="1"/>
  <c r="AZ6" i="1"/>
  <c r="CC14" i="1"/>
  <c r="BE14" i="1"/>
  <c r="BF14" i="1" s="1"/>
  <c r="BO14" i="1" s="1" a="1"/>
  <c r="BO14" i="1" s="1"/>
  <c r="BT14" i="1"/>
  <c r="BO139" i="3"/>
  <c r="BS139" i="3" s="1"/>
  <c r="O111" i="5"/>
  <c r="AH111" i="1"/>
  <c r="AF111" i="1"/>
  <c r="AE111" i="1"/>
  <c r="AG111" i="1"/>
  <c r="BO113" i="3"/>
  <c r="BS113" i="3" s="1"/>
  <c r="BK113" i="3"/>
  <c r="AL75" i="1"/>
  <c r="AK75" i="1"/>
  <c r="AM75" i="1"/>
  <c r="S75" i="5"/>
  <c r="BF136" i="1"/>
  <c r="BO136" i="1" s="1" a="1"/>
  <c r="BO136" i="1" s="1"/>
  <c r="BT136" i="1"/>
  <c r="CC136" i="1"/>
  <c r="BE136" i="1"/>
  <c r="E25" i="5"/>
  <c r="BP25" i="3"/>
  <c r="D25" i="5" s="1"/>
  <c r="BH25" i="3"/>
  <c r="F25" i="5" s="1"/>
  <c r="BF25" i="3"/>
  <c r="K25" i="5" s="1"/>
  <c r="L25" i="5" s="1"/>
  <c r="BF71" i="1"/>
  <c r="BO71" i="1" s="1" a="1"/>
  <c r="BO71" i="1" s="1"/>
  <c r="CC71" i="1"/>
  <c r="BE71" i="1"/>
  <c r="BT71" i="1"/>
  <c r="AZ71" i="1"/>
  <c r="BT31" i="1"/>
  <c r="BE31" i="1"/>
  <c r="BF31" i="1" s="1"/>
  <c r="BO31" i="1" s="1" a="1"/>
  <c r="BO31" i="1" s="1"/>
  <c r="CC31" i="1"/>
  <c r="P30" i="5"/>
  <c r="Q30" i="5"/>
  <c r="R30" i="5"/>
  <c r="P63" i="5"/>
  <c r="P11" i="5"/>
  <c r="Q11" i="5"/>
  <c r="R11" i="5"/>
  <c r="P6" i="5"/>
  <c r="AU154" i="3"/>
  <c r="AD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U139" i="3"/>
  <c r="AD139" i="1" s="1"/>
  <c r="O139" i="5" s="1"/>
  <c r="AH28" i="1"/>
  <c r="AE28" i="1"/>
  <c r="AF28" i="1"/>
  <c r="AG28" i="1"/>
  <c r="Y25" i="1"/>
  <c r="Z25" i="1"/>
  <c r="AB25" i="1"/>
  <c r="AA25" i="1"/>
  <c r="AU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U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U143" i="3"/>
  <c r="AD143" i="1" s="1"/>
  <c r="O143" i="5" s="1"/>
  <c r="AA51" i="1"/>
  <c r="Y51" i="1"/>
  <c r="Z51" i="1"/>
  <c r="AB51" i="1"/>
  <c r="AU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U155" i="3"/>
  <c r="AD155" i="1" s="1"/>
  <c r="O155" i="5" s="1"/>
  <c r="AU132" i="3"/>
  <c r="AD132" i="1" s="1"/>
  <c r="O132" i="5" s="1"/>
  <c r="M44" i="5"/>
  <c r="N44" i="5"/>
  <c r="M97" i="5"/>
  <c r="N97" i="5"/>
  <c r="AU14" i="3"/>
  <c r="AD14" i="1" s="1"/>
  <c r="O14" i="5" s="1"/>
  <c r="AU142" i="3"/>
  <c r="AD142" i="1" s="1"/>
  <c r="O142" i="5" s="1"/>
  <c r="Q142" i="5" s="1"/>
  <c r="AF30" i="1"/>
  <c r="AG30" i="1"/>
  <c r="AH30" i="1"/>
  <c r="AE30" i="1"/>
  <c r="M54" i="5"/>
  <c r="N54" i="5"/>
  <c r="M88" i="5"/>
  <c r="N88" i="5"/>
  <c r="AU74" i="3"/>
  <c r="AD74" i="1" s="1"/>
  <c r="O74" i="5" s="1"/>
  <c r="AU4" i="3"/>
  <c r="AD4" i="1" s="1"/>
  <c r="O4" i="5" s="1"/>
  <c r="AU3" i="3"/>
  <c r="AD3" i="1" s="1"/>
  <c r="O3" i="5" s="1"/>
  <c r="AU16" i="3"/>
  <c r="AD16" i="1" s="1"/>
  <c r="O16" i="5" s="1"/>
  <c r="AU148" i="3"/>
  <c r="AD148" i="1" s="1"/>
  <c r="O148" i="5" s="1"/>
  <c r="AU149" i="3"/>
  <c r="AD149" i="1" s="1"/>
  <c r="O149" i="5" s="1"/>
  <c r="P149" i="5" s="1"/>
  <c r="AU86" i="3"/>
  <c r="AD86" i="1" s="1"/>
  <c r="O86" i="5" s="1"/>
  <c r="AU157" i="3"/>
  <c r="AD157" i="1" s="1"/>
  <c r="O157" i="5" s="1"/>
  <c r="AU15" i="3"/>
  <c r="AD15" i="1" s="1"/>
  <c r="O15" i="5" s="1"/>
  <c r="AU153" i="3"/>
  <c r="AD153" i="1" s="1"/>
  <c r="O153" i="5" s="1"/>
  <c r="AU141" i="3"/>
  <c r="AD141" i="1" s="1"/>
  <c r="O141" i="5" s="1"/>
  <c r="AU19" i="3"/>
  <c r="AD19" i="1" s="1"/>
  <c r="O19" i="5" s="1"/>
  <c r="AU144" i="3"/>
  <c r="AD144" i="1" s="1"/>
  <c r="O144" i="5" s="1"/>
  <c r="AU152" i="3"/>
  <c r="AD152" i="1" s="1"/>
  <c r="O152" i="5" s="1"/>
  <c r="AU145" i="3"/>
  <c r="AD145" i="1" s="1"/>
  <c r="O145" i="5" s="1"/>
  <c r="R145" i="5" s="1"/>
  <c r="AU156" i="3"/>
  <c r="AD156" i="1" s="1"/>
  <c r="O156" i="5" s="1"/>
  <c r="BQ2" i="3"/>
  <c r="BI2" i="3"/>
  <c r="AK2" i="1"/>
  <c r="AM2" i="1"/>
  <c r="BF2" i="1"/>
  <c r="BO2" i="1" s="1" a="1"/>
  <c r="BO2" i="1" s="1"/>
  <c r="R2" i="1"/>
  <c r="BT2" i="1"/>
  <c r="AL2" i="1"/>
  <c r="BE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W13" i="1" l="1"/>
  <c r="BW25" i="1"/>
  <c r="BW37" i="1"/>
  <c r="BW49" i="1"/>
  <c r="BW61" i="1"/>
  <c r="BW73" i="1"/>
  <c r="BW85" i="1"/>
  <c r="BW193" i="1" s="1"/>
  <c r="BW97" i="1"/>
  <c r="BW188" i="1" s="1"/>
  <c r="BW109" i="1"/>
  <c r="BW121" i="1"/>
  <c r="BW133" i="1"/>
  <c r="BW145" i="1"/>
  <c r="BW157" i="1"/>
  <c r="BW169" i="1"/>
  <c r="BW2" i="1"/>
  <c r="BW14" i="1"/>
  <c r="BW26" i="1"/>
  <c r="BW38" i="1"/>
  <c r="BW50" i="1"/>
  <c r="BW62" i="1"/>
  <c r="BW181" i="1" s="1"/>
  <c r="BW74" i="1"/>
  <c r="BW185" i="1" s="1"/>
  <c r="BW86" i="1"/>
  <c r="BW98" i="1"/>
  <c r="BW110" i="1"/>
  <c r="BW122" i="1"/>
  <c r="BW134" i="1"/>
  <c r="BW146" i="1"/>
  <c r="BW158" i="1"/>
  <c r="BW170" i="1"/>
  <c r="BW3" i="1"/>
  <c r="BW15" i="1"/>
  <c r="BW27" i="1"/>
  <c r="BW39" i="1"/>
  <c r="BW51" i="1"/>
  <c r="BW63" i="1"/>
  <c r="BW75" i="1"/>
  <c r="BW87" i="1"/>
  <c r="BW194" i="1" s="1"/>
  <c r="BW99" i="1"/>
  <c r="BW111" i="1"/>
  <c r="BW123" i="1"/>
  <c r="BW135" i="1"/>
  <c r="BW147" i="1"/>
  <c r="BW159" i="1"/>
  <c r="BW171" i="1"/>
  <c r="BW4" i="1"/>
  <c r="BW16" i="1"/>
  <c r="BW28" i="1"/>
  <c r="BW40" i="1"/>
  <c r="BW52" i="1"/>
  <c r="BW64" i="1"/>
  <c r="BW76" i="1"/>
  <c r="BW88" i="1"/>
  <c r="BW195" i="1" s="1"/>
  <c r="BW100" i="1"/>
  <c r="BW112" i="1"/>
  <c r="BW124" i="1"/>
  <c r="BW136" i="1"/>
  <c r="BW148" i="1"/>
  <c r="BW160" i="1"/>
  <c r="BW172" i="1"/>
  <c r="BW5" i="1"/>
  <c r="BW17" i="1"/>
  <c r="BW29" i="1"/>
  <c r="BW41" i="1"/>
  <c r="BW53" i="1"/>
  <c r="BW65" i="1"/>
  <c r="BW77" i="1"/>
  <c r="BW89" i="1"/>
  <c r="BW190" i="1" s="1"/>
  <c r="BW101" i="1"/>
  <c r="BW113" i="1"/>
  <c r="BW125" i="1"/>
  <c r="BW137" i="1"/>
  <c r="BW149" i="1"/>
  <c r="BW161" i="1"/>
  <c r="BW173" i="1"/>
  <c r="BW6" i="1"/>
  <c r="BW18" i="1"/>
  <c r="BW30" i="1"/>
  <c r="BW42" i="1"/>
  <c r="BW54" i="1"/>
  <c r="BW66" i="1"/>
  <c r="BW78" i="1"/>
  <c r="BW192" i="1" s="1"/>
  <c r="BW90" i="1"/>
  <c r="BW102" i="1"/>
  <c r="BW114" i="1"/>
  <c r="BW126" i="1"/>
  <c r="BW138" i="1"/>
  <c r="BW150" i="1"/>
  <c r="BW162" i="1"/>
  <c r="BW174" i="1"/>
  <c r="BW7" i="1"/>
  <c r="BW19" i="1"/>
  <c r="BW31" i="1"/>
  <c r="BW43" i="1"/>
  <c r="BW55" i="1"/>
  <c r="BW67" i="1"/>
  <c r="BW182" i="1" s="1"/>
  <c r="BW79" i="1"/>
  <c r="BW91" i="1"/>
  <c r="BW186" i="1" s="1"/>
  <c r="BW103" i="1"/>
  <c r="BW115" i="1"/>
  <c r="BW127" i="1"/>
  <c r="BW139" i="1"/>
  <c r="BW151" i="1"/>
  <c r="BW163" i="1"/>
  <c r="BW175" i="1"/>
  <c r="BW60" i="1"/>
  <c r="BW132" i="1"/>
  <c r="BW8" i="1"/>
  <c r="BW20" i="1"/>
  <c r="BW32" i="1"/>
  <c r="BW44" i="1"/>
  <c r="BW56" i="1"/>
  <c r="BW68" i="1"/>
  <c r="BW183" i="1" s="1"/>
  <c r="BW80" i="1"/>
  <c r="BW92" i="1"/>
  <c r="BW104" i="1"/>
  <c r="BW116" i="1"/>
  <c r="BW128" i="1"/>
  <c r="BW140" i="1"/>
  <c r="BW152" i="1"/>
  <c r="BW164" i="1"/>
  <c r="BW176" i="1"/>
  <c r="BW48" i="1"/>
  <c r="BW108" i="1"/>
  <c r="BW180" i="1"/>
  <c r="BW9" i="1"/>
  <c r="BW21" i="1"/>
  <c r="BW33" i="1"/>
  <c r="BW45" i="1"/>
  <c r="BW57" i="1"/>
  <c r="BW69" i="1"/>
  <c r="BW81" i="1"/>
  <c r="BW93" i="1"/>
  <c r="BW105" i="1"/>
  <c r="BW117" i="1"/>
  <c r="BW129" i="1"/>
  <c r="BW141" i="1"/>
  <c r="BW153" i="1"/>
  <c r="BW165" i="1"/>
  <c r="BW177" i="1"/>
  <c r="BW36" i="1"/>
  <c r="BW96" i="1"/>
  <c r="BW187" i="1" s="1"/>
  <c r="BW156" i="1"/>
  <c r="BW10" i="1"/>
  <c r="BW22" i="1"/>
  <c r="BW34" i="1"/>
  <c r="BW46" i="1"/>
  <c r="BW58" i="1"/>
  <c r="BW70" i="1"/>
  <c r="BW82" i="1"/>
  <c r="BW94" i="1"/>
  <c r="BW196" i="1" s="1"/>
  <c r="BW106" i="1"/>
  <c r="BW118" i="1"/>
  <c r="BW130" i="1"/>
  <c r="BW142" i="1"/>
  <c r="BW154" i="1"/>
  <c r="BW166" i="1"/>
  <c r="BW178" i="1"/>
  <c r="BW12" i="1"/>
  <c r="BW24" i="1"/>
  <c r="BW72" i="1"/>
  <c r="BW184" i="1" s="1"/>
  <c r="BW84" i="1"/>
  <c r="BW189" i="1" s="1"/>
  <c r="BW120" i="1"/>
  <c r="BW168" i="1"/>
  <c r="BW11" i="1"/>
  <c r="BW23" i="1"/>
  <c r="BW35" i="1"/>
  <c r="BW47" i="1"/>
  <c r="BW59" i="1"/>
  <c r="BW71" i="1"/>
  <c r="BW191" i="1" s="1"/>
  <c r="BW83" i="1"/>
  <c r="BW95" i="1"/>
  <c r="BW107" i="1"/>
  <c r="BW119" i="1"/>
  <c r="BW131" i="1"/>
  <c r="BW143" i="1"/>
  <c r="BW155" i="1"/>
  <c r="BW167" i="1"/>
  <c r="BW179" i="1"/>
  <c r="BW144" i="1"/>
  <c r="H194" i="1"/>
  <c r="BV194" i="1"/>
  <c r="H191" i="1"/>
  <c r="BV191" i="1"/>
  <c r="BV121" i="1"/>
  <c r="BV85" i="1"/>
  <c r="BV83" i="1"/>
  <c r="BV18" i="1"/>
  <c r="BV20" i="1"/>
  <c r="BV88" i="1"/>
  <c r="BV82" i="1"/>
  <c r="BV123" i="1"/>
  <c r="BV150" i="1"/>
  <c r="BV118" i="1"/>
  <c r="BV87" i="1"/>
  <c r="BV33" i="1"/>
  <c r="BV84" i="1"/>
  <c r="BV21" i="1"/>
  <c r="BV17" i="1"/>
  <c r="BV114" i="1"/>
  <c r="BV125" i="1"/>
  <c r="BV64" i="1"/>
  <c r="BV66" i="1"/>
  <c r="BV65" i="1"/>
  <c r="BV158" i="1"/>
  <c r="J8" i="5"/>
  <c r="H8" i="5"/>
  <c r="J5" i="5"/>
  <c r="Q75" i="5"/>
  <c r="P75" i="5"/>
  <c r="R75" i="5"/>
  <c r="BQ112" i="1"/>
  <c r="H112" i="1" s="1"/>
  <c r="BQ43" i="1"/>
  <c r="H43" i="1" s="1"/>
  <c r="BQ137" i="1"/>
  <c r="H137" i="1" s="1"/>
  <c r="BQ110" i="1"/>
  <c r="H110" i="1" s="1"/>
  <c r="BQ79" i="1"/>
  <c r="H79" i="1" s="1"/>
  <c r="BQ46" i="1"/>
  <c r="H46" i="1" s="1"/>
  <c r="BQ26" i="1"/>
  <c r="H26" i="1" s="1"/>
  <c r="R91" i="5"/>
  <c r="BQ75" i="1"/>
  <c r="H75" i="1" s="1"/>
  <c r="BQ124" i="1"/>
  <c r="H124" i="1" s="1"/>
  <c r="BQ136" i="1"/>
  <c r="H136" i="1" s="1"/>
  <c r="BQ39" i="1"/>
  <c r="H39" i="1" s="1"/>
  <c r="BQ111" i="1"/>
  <c r="H111" i="1" s="1"/>
  <c r="BQ25" i="1"/>
  <c r="H25" i="1" s="1"/>
  <c r="BQ135" i="1"/>
  <c r="H135" i="1" s="1"/>
  <c r="BQ78" i="1"/>
  <c r="H78" i="1" s="1"/>
  <c r="BQ115" i="1"/>
  <c r="H115" i="1" s="1"/>
  <c r="BQ63" i="1"/>
  <c r="H63" i="1" s="1"/>
  <c r="BQ90" i="1"/>
  <c r="H90" i="1" s="1"/>
  <c r="BQ13" i="1"/>
  <c r="H13" i="1" s="1"/>
  <c r="BQ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M46" i="5" s="1"/>
  <c r="H46" i="5"/>
  <c r="J46" i="5"/>
  <c r="I46" i="5"/>
  <c r="BR112" i="3"/>
  <c r="M112" i="5" s="1"/>
  <c r="BJ112" i="3"/>
  <c r="N112" i="5" s="1"/>
  <c r="T151" i="5"/>
  <c r="V151" i="5"/>
  <c r="U151" i="5"/>
  <c r="BR137" i="3"/>
  <c r="M137" i="5" s="1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R26" i="3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R74" i="5"/>
  <c r="P74" i="5"/>
  <c r="Q7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F74" i="1"/>
  <c r="AH74" i="1"/>
  <c r="AE74" i="1"/>
  <c r="AG74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M26" i="5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S51" i="3"/>
  <c r="AW2" i="1"/>
  <c r="BJ2" i="1" s="1"/>
  <c r="K1" i="5"/>
  <c r="H2" i="9"/>
  <c r="BP113" i="1"/>
  <c r="BM113" i="1" s="1"/>
  <c r="BP136" i="1"/>
  <c r="BM136" i="1" s="1"/>
  <c r="L92" i="3"/>
  <c r="I92" i="1" s="1"/>
  <c r="BL92" i="1" s="1"/>
  <c r="L86" i="3"/>
  <c r="I86" i="1" s="1"/>
  <c r="BL86" i="1" s="1"/>
  <c r="L52" i="3"/>
  <c r="I52" i="1" s="1"/>
  <c r="BQ52" i="1" s="1"/>
  <c r="H52" i="1" s="1"/>
  <c r="L51" i="3"/>
  <c r="I51" i="1" s="1"/>
  <c r="L35" i="3"/>
  <c r="I35" i="1" s="1"/>
  <c r="BQ35" i="1" s="1"/>
  <c r="H35" i="1" s="1"/>
  <c r="L36" i="3"/>
  <c r="I36" i="1" s="1"/>
  <c r="BQ36" i="1" s="1"/>
  <c r="H36" i="1" s="1"/>
  <c r="L29" i="3"/>
  <c r="I29" i="1" s="1"/>
  <c r="BQ29" i="1" s="1"/>
  <c r="H29" i="1" s="1"/>
  <c r="L122" i="3"/>
  <c r="I122" i="1" s="1"/>
  <c r="L34" i="3"/>
  <c r="I34" i="1" s="1"/>
  <c r="L32" i="3"/>
  <c r="I32" i="1" s="1"/>
  <c r="BQ32" i="1" s="1"/>
  <c r="H32" i="1" s="1"/>
  <c r="L30" i="3"/>
  <c r="I30" i="1" s="1"/>
  <c r="BQ30" i="1" s="1"/>
  <c r="H30" i="1" s="1"/>
  <c r="L73" i="3"/>
  <c r="I73" i="1" s="1"/>
  <c r="BQ73" i="1" s="1"/>
  <c r="H73" i="1" s="1"/>
  <c r="L72" i="3"/>
  <c r="I72" i="1" s="1"/>
  <c r="BQ72" i="1" s="1"/>
  <c r="H72" i="1" s="1"/>
  <c r="L67" i="3"/>
  <c r="I67" i="1" s="1"/>
  <c r="BQ67" i="1" s="1"/>
  <c r="H67" i="1" s="1"/>
  <c r="L129" i="3"/>
  <c r="I129" i="1" s="1"/>
  <c r="BQ129" i="1" s="1"/>
  <c r="H129" i="1" s="1"/>
  <c r="L71" i="3"/>
  <c r="I71" i="1" s="1"/>
  <c r="L70" i="3"/>
  <c r="I70" i="1" s="1"/>
  <c r="BQ70" i="1" s="1"/>
  <c r="H70" i="1" s="1"/>
  <c r="L69" i="3"/>
  <c r="I69" i="1" s="1"/>
  <c r="BQ69" i="1" s="1"/>
  <c r="H69" i="1" s="1"/>
  <c r="L68" i="3"/>
  <c r="I68" i="1" s="1"/>
  <c r="BQ68" i="1" s="1"/>
  <c r="H68" i="1" s="1"/>
  <c r="L10" i="3"/>
  <c r="I10" i="1" s="1"/>
  <c r="BQ10" i="1" s="1"/>
  <c r="H10" i="1" s="1"/>
  <c r="L11" i="3"/>
  <c r="I11" i="1" s="1"/>
  <c r="BQ11" i="1" s="1"/>
  <c r="H11" i="1" s="1"/>
  <c r="L8" i="3"/>
  <c r="I8" i="1" s="1"/>
  <c r="BQ8" i="1" s="1"/>
  <c r="H8" i="1" s="1"/>
  <c r="L9" i="3"/>
  <c r="I9" i="1" s="1"/>
  <c r="BQ9" i="1" s="1"/>
  <c r="H9" i="1" s="1"/>
  <c r="L5" i="3"/>
  <c r="I5" i="1" s="1"/>
  <c r="BQ5" i="1" s="1"/>
  <c r="H5" i="1" s="1"/>
  <c r="G18" i="3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AS91" i="1" s="1"/>
  <c r="F92" i="3"/>
  <c r="AS92" i="1" s="1"/>
  <c r="F90" i="3"/>
  <c r="AS90" i="1" s="1"/>
  <c r="J90" i="3"/>
  <c r="AV90" i="1" s="1"/>
  <c r="J91" i="3"/>
  <c r="AV91" i="1" s="1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AT97" i="1" s="1"/>
  <c r="AU97" i="1" s="1"/>
  <c r="G96" i="3"/>
  <c r="AT96" i="1" s="1"/>
  <c r="AU96" i="1" s="1"/>
  <c r="G94" i="3"/>
  <c r="AT94" i="1" s="1"/>
  <c r="AU94" i="1" s="1"/>
  <c r="G93" i="3"/>
  <c r="AT93" i="1" s="1"/>
  <c r="AU93" i="1" s="1"/>
  <c r="G92" i="3"/>
  <c r="AT92" i="1" s="1"/>
  <c r="AU92" i="1" s="1"/>
  <c r="G91" i="3"/>
  <c r="AT91" i="1" s="1"/>
  <c r="AU91" i="1" s="1"/>
  <c r="G90" i="3"/>
  <c r="AT90" i="1" s="1"/>
  <c r="AU90" i="1" s="1"/>
  <c r="G89" i="3"/>
  <c r="AT89" i="1" s="1"/>
  <c r="AU89" i="1" s="1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AV67" i="1" s="1"/>
  <c r="J68" i="3"/>
  <c r="AV68" i="1" s="1"/>
  <c r="J69" i="3"/>
  <c r="AV69" i="1" s="1"/>
  <c r="J70" i="3"/>
  <c r="AV70" i="1" s="1"/>
  <c r="J71" i="3"/>
  <c r="AV71" i="1" s="1"/>
  <c r="J72" i="3"/>
  <c r="AV72" i="1" s="1"/>
  <c r="J73" i="3"/>
  <c r="AV73" i="1" s="1"/>
  <c r="F67" i="3"/>
  <c r="AS67" i="1" s="1"/>
  <c r="F68" i="3"/>
  <c r="AS68" i="1" s="1"/>
  <c r="F69" i="3"/>
  <c r="AS69" i="1" s="1"/>
  <c r="F70" i="3"/>
  <c r="AS70" i="1" s="1"/>
  <c r="F71" i="3"/>
  <c r="AS71" i="1" s="1"/>
  <c r="F72" i="3"/>
  <c r="AS72" i="1" s="1"/>
  <c r="F73" i="3"/>
  <c r="AS73" i="1" s="1"/>
  <c r="G88" i="3"/>
  <c r="AT88" i="1" s="1"/>
  <c r="AU88" i="1" s="1"/>
  <c r="G87" i="3"/>
  <c r="AT87" i="1" s="1"/>
  <c r="AU87" i="1" s="1"/>
  <c r="G86" i="3"/>
  <c r="AT86" i="1" s="1"/>
  <c r="AU86" i="1" s="1"/>
  <c r="G137" i="3"/>
  <c r="AT137" i="1" s="1"/>
  <c r="AU137" i="1" s="1"/>
  <c r="G85" i="3"/>
  <c r="AT85" i="1" s="1"/>
  <c r="AU85" i="1" s="1"/>
  <c r="G84" i="3"/>
  <c r="AT84" i="1" s="1"/>
  <c r="AU84" i="1" s="1"/>
  <c r="G83" i="3"/>
  <c r="AT83" i="1" s="1"/>
  <c r="AU83" i="1" s="1"/>
  <c r="G82" i="3"/>
  <c r="AT82" i="1" s="1"/>
  <c r="AU82" i="1" s="1"/>
  <c r="G81" i="3"/>
  <c r="AT81" i="1" s="1"/>
  <c r="AU81" i="1" s="1"/>
  <c r="F79" i="3"/>
  <c r="AS79" i="1" s="1"/>
  <c r="G78" i="3"/>
  <c r="AT78" i="1" s="1"/>
  <c r="AU78" i="1" s="1"/>
  <c r="G76" i="3"/>
  <c r="AT76" i="1" s="1"/>
  <c r="AU76" i="1" s="1"/>
  <c r="G73" i="3"/>
  <c r="AT73" i="1" s="1"/>
  <c r="AU73" i="1" s="1"/>
  <c r="G72" i="3"/>
  <c r="AT72" i="1" s="1"/>
  <c r="AU72" i="1" s="1"/>
  <c r="G71" i="3"/>
  <c r="AT71" i="1" s="1"/>
  <c r="AU71" i="1" s="1"/>
  <c r="G70" i="3"/>
  <c r="AT70" i="1" s="1"/>
  <c r="AU70" i="1" s="1"/>
  <c r="G69" i="3"/>
  <c r="AT69" i="1" s="1"/>
  <c r="AU69" i="1" s="1"/>
  <c r="G68" i="3"/>
  <c r="AT68" i="1" s="1"/>
  <c r="AU68" i="1" s="1"/>
  <c r="G67" i="3"/>
  <c r="AT67" i="1" s="1"/>
  <c r="AU67" i="1" s="1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AT74" i="1" s="1"/>
  <c r="AU74" i="1" s="1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AT125" i="1" s="1"/>
  <c r="AU125" i="1" s="1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M192" i="1" l="1"/>
  <c r="L192" i="1"/>
  <c r="M193" i="1"/>
  <c r="L193" i="1"/>
  <c r="M196" i="1"/>
  <c r="L196" i="1"/>
  <c r="M195" i="1"/>
  <c r="L195" i="1"/>
  <c r="M194" i="1"/>
  <c r="L194" i="1"/>
  <c r="BQ71" i="1"/>
  <c r="H71" i="1" s="1"/>
  <c r="BL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V52" i="1"/>
  <c r="BV43" i="1"/>
  <c r="BV67" i="1"/>
  <c r="BV71" i="1"/>
  <c r="BV115" i="1"/>
  <c r="BV73" i="1"/>
  <c r="BV9" i="1"/>
  <c r="BV30" i="1"/>
  <c r="BV25" i="1"/>
  <c r="BV5" i="1"/>
  <c r="BV8" i="1"/>
  <c r="BV32" i="1"/>
  <c r="BV129" i="1"/>
  <c r="BV72" i="1"/>
  <c r="BV11" i="1"/>
  <c r="BV39" i="1"/>
  <c r="BV136" i="1"/>
  <c r="BV112" i="1"/>
  <c r="BV10" i="1"/>
  <c r="BV68" i="1"/>
  <c r="BV29" i="1"/>
  <c r="BV124" i="1"/>
  <c r="BV46" i="1"/>
  <c r="BV69" i="1"/>
  <c r="BV75" i="1"/>
  <c r="BV79" i="1"/>
  <c r="BV36" i="1"/>
  <c r="BV31" i="1"/>
  <c r="BV70" i="1"/>
  <c r="BV35" i="1"/>
  <c r="BV110" i="1"/>
  <c r="BV90" i="1"/>
  <c r="BV26" i="1"/>
  <c r="BV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V63" i="1"/>
  <c r="BV111" i="1"/>
  <c r="BV135" i="1"/>
  <c r="BV78" i="1"/>
  <c r="BV13" i="1"/>
  <c r="M167" i="1"/>
  <c r="L167" i="1"/>
  <c r="M168" i="1"/>
  <c r="L168" i="1"/>
  <c r="M169" i="1"/>
  <c r="L169" i="1"/>
  <c r="M170" i="1"/>
  <c r="L170" i="1"/>
  <c r="BQ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Q145" i="1"/>
  <c r="H145" i="1" s="1"/>
  <c r="BQ148" i="1"/>
  <c r="H148" i="1" s="1"/>
  <c r="BQ146" i="1"/>
  <c r="H146" i="1" s="1"/>
  <c r="BQ132" i="1"/>
  <c r="H132" i="1" s="1"/>
  <c r="BQ141" i="1"/>
  <c r="H141" i="1" s="1"/>
  <c r="BQ14" i="1"/>
  <c r="H14" i="1" s="1"/>
  <c r="BQ19" i="1"/>
  <c r="H19" i="1" s="1"/>
  <c r="BQ120" i="1"/>
  <c r="H120" i="1" s="1"/>
  <c r="BQ152" i="1"/>
  <c r="H152" i="1" s="1"/>
  <c r="BQ15" i="1"/>
  <c r="H15" i="1" s="1"/>
  <c r="BQ151" i="1"/>
  <c r="H151" i="1" s="1"/>
  <c r="BQ143" i="1"/>
  <c r="H143" i="1" s="1"/>
  <c r="BQ156" i="1"/>
  <c r="H156" i="1" s="1"/>
  <c r="BQ153" i="1"/>
  <c r="H153" i="1" s="1"/>
  <c r="BQ154" i="1"/>
  <c r="H154" i="1" s="1"/>
  <c r="BQ139" i="1"/>
  <c r="H139" i="1" s="1"/>
  <c r="BQ147" i="1"/>
  <c r="H147" i="1" s="1"/>
  <c r="BQ142" i="1"/>
  <c r="H142" i="1" s="1"/>
  <c r="BQ144" i="1"/>
  <c r="H144" i="1" s="1"/>
  <c r="BQ86" i="1"/>
  <c r="H86" i="1" s="1"/>
  <c r="BQ3" i="1"/>
  <c r="H3" i="1" s="1"/>
  <c r="BQ4" i="1"/>
  <c r="H4" i="1" s="1"/>
  <c r="BQ74" i="1"/>
  <c r="H74" i="1" s="1"/>
  <c r="BQ159" i="1"/>
  <c r="H159" i="1" s="1"/>
  <c r="BQ155" i="1"/>
  <c r="H155" i="1" s="1"/>
  <c r="BQ157" i="1"/>
  <c r="H157" i="1" s="1"/>
  <c r="BQ16" i="1"/>
  <c r="H16" i="1" s="1"/>
  <c r="BQ149" i="1"/>
  <c r="H149" i="1" s="1"/>
  <c r="N43" i="5"/>
  <c r="M43" i="5"/>
  <c r="N51" i="5"/>
  <c r="M51" i="5"/>
  <c r="AT10" i="1"/>
  <c r="AU10" i="1" s="1"/>
  <c r="AT20" i="1"/>
  <c r="AU20" i="1" s="1"/>
  <c r="AT9" i="1"/>
  <c r="AU9" i="1" s="1"/>
  <c r="AT8" i="1"/>
  <c r="AU8" i="1" s="1"/>
  <c r="AT24" i="1"/>
  <c r="AU24" i="1" s="1"/>
  <c r="AT21" i="1"/>
  <c r="AU21" i="1" s="1"/>
  <c r="AT12" i="1"/>
  <c r="AU12" i="1" s="1"/>
  <c r="AT25" i="1"/>
  <c r="AU25" i="1" s="1"/>
  <c r="AT26" i="1"/>
  <c r="AU26" i="1" s="1"/>
  <c r="AT22" i="1"/>
  <c r="AU22" i="1" s="1"/>
  <c r="AT4" i="1"/>
  <c r="AU4" i="1" s="1"/>
  <c r="AT19" i="1"/>
  <c r="AU19" i="1" s="1"/>
  <c r="AT3" i="1"/>
  <c r="AU3" i="1" s="1"/>
  <c r="AT5" i="1"/>
  <c r="AU5" i="1" s="1"/>
  <c r="AT13" i="1"/>
  <c r="AU13" i="1" s="1"/>
  <c r="AT11" i="1"/>
  <c r="AU11" i="1" s="1"/>
  <c r="AT18" i="1"/>
  <c r="AU18" i="1" s="1"/>
  <c r="AT6" i="1"/>
  <c r="AU6" i="1" s="1"/>
  <c r="AT14" i="1"/>
  <c r="AU14" i="1" s="1"/>
  <c r="AT7" i="1"/>
  <c r="AU7" i="1" s="1"/>
  <c r="AT17" i="1"/>
  <c r="AU17" i="1" s="1"/>
  <c r="AT29" i="1"/>
  <c r="AU29" i="1" s="1"/>
  <c r="AT31" i="1"/>
  <c r="AU31" i="1" s="1"/>
  <c r="AT30" i="1"/>
  <c r="AU30" i="1" s="1"/>
  <c r="AT32" i="1"/>
  <c r="AU32" i="1" s="1"/>
  <c r="AT35" i="1"/>
  <c r="AU35" i="1" s="1"/>
  <c r="AT36" i="1"/>
  <c r="AU36" i="1" s="1"/>
  <c r="AT37" i="1"/>
  <c r="AU37" i="1" s="1"/>
  <c r="BP91" i="1"/>
  <c r="BM91" i="1" s="1"/>
  <c r="BP88" i="1"/>
  <c r="BM88" i="1" s="1"/>
  <c r="BP87" i="1"/>
  <c r="BM87" i="1" s="1"/>
  <c r="P120" i="5"/>
  <c r="R120" i="5"/>
  <c r="Q120" i="5"/>
  <c r="M2" i="1"/>
  <c r="L2" i="1"/>
  <c r="L7" i="3"/>
  <c r="I7" i="1" s="1"/>
  <c r="BQ7" i="1" s="1"/>
  <c r="H7" i="1" s="1"/>
  <c r="L6" i="3"/>
  <c r="I6" i="1" s="1"/>
  <c r="BQ6" i="1" s="1"/>
  <c r="H6" i="1" s="1"/>
  <c r="BP86" i="1"/>
  <c r="BM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V16" i="1" l="1"/>
  <c r="BV157" i="1"/>
  <c r="BV153" i="1"/>
  <c r="BV148" i="1"/>
  <c r="BV159" i="1"/>
  <c r="BV143" i="1"/>
  <c r="BV74" i="1"/>
  <c r="BV151" i="1"/>
  <c r="BV120" i="1"/>
  <c r="BV51" i="1"/>
  <c r="BV4" i="1"/>
  <c r="BV7" i="1"/>
  <c r="BV3" i="1"/>
  <c r="BV86" i="1"/>
  <c r="BV19" i="1"/>
  <c r="BV6" i="1"/>
  <c r="BV142" i="1"/>
  <c r="BV14" i="1"/>
  <c r="BV149" i="1"/>
  <c r="BV139" i="1"/>
  <c r="BV132" i="1"/>
  <c r="BV145" i="1"/>
  <c r="BV147" i="1"/>
  <c r="BV141" i="1"/>
  <c r="BV154" i="1"/>
  <c r="BV146" i="1"/>
  <c r="BV155" i="1"/>
  <c r="BV156" i="1"/>
  <c r="BV15" i="1"/>
  <c r="BV152" i="1"/>
  <c r="BV144" i="1"/>
  <c r="BP71" i="1"/>
  <c r="BM71" i="1" s="1"/>
  <c r="BP92" i="1"/>
  <c r="BM92" i="1" s="1"/>
  <c r="BP40" i="1"/>
  <c r="BM40" i="1" s="1"/>
  <c r="BK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P85" i="1" l="1"/>
  <c r="BM85" i="1" s="1"/>
  <c r="BP118" i="1"/>
  <c r="BM118" i="1" s="1"/>
  <c r="BP130" i="1"/>
  <c r="BM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O186" i="1" l="1"/>
  <c r="N186" i="1"/>
  <c r="N180" i="1"/>
  <c r="AS180" i="3" s="1"/>
  <c r="O180" i="1"/>
  <c r="N168" i="1"/>
  <c r="O168" i="1"/>
  <c r="O169" i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AS102" i="3" s="1"/>
  <c r="N113" i="1"/>
  <c r="O113" i="1"/>
  <c r="O28" i="1"/>
  <c r="N28" i="1"/>
  <c r="O91" i="1"/>
  <c r="O92" i="1"/>
  <c r="N92" i="1"/>
  <c r="N91" i="1"/>
  <c r="AS169" i="3" l="1"/>
  <c r="BQ169" i="1" s="1"/>
  <c r="H169" i="1" s="1"/>
  <c r="BQ189" i="1"/>
  <c r="H189" i="1" s="1"/>
  <c r="BQ181" i="1"/>
  <c r="H181" i="1" s="1"/>
  <c r="BV189" i="1"/>
  <c r="BQ180" i="1"/>
  <c r="H180" i="1" s="1"/>
  <c r="BV180" i="1"/>
  <c r="AS168" i="3"/>
  <c r="BQ168" i="1" s="1"/>
  <c r="H168" i="1" s="1"/>
  <c r="AS98" i="3"/>
  <c r="BQ98" i="1" s="1"/>
  <c r="H98" i="1" s="1"/>
  <c r="AS170" i="3"/>
  <c r="BQ170" i="1" s="1"/>
  <c r="H170" i="1" s="1"/>
  <c r="AS167" i="3"/>
  <c r="BQ167" i="1" s="1"/>
  <c r="H167" i="1" s="1"/>
  <c r="AS34" i="3"/>
  <c r="BQ34" i="1" s="1"/>
  <c r="H34" i="1" s="1"/>
  <c r="AS105" i="3"/>
  <c r="BQ105" i="1" s="1"/>
  <c r="H105" i="1" s="1"/>
  <c r="AS160" i="3"/>
  <c r="BQ160" i="1" s="1"/>
  <c r="H160" i="1" s="1"/>
  <c r="AS107" i="3"/>
  <c r="BQ107" i="1" s="1"/>
  <c r="H107" i="1" s="1"/>
  <c r="BQ102" i="1"/>
  <c r="H102" i="1" s="1"/>
  <c r="AS80" i="3"/>
  <c r="AS122" i="3"/>
  <c r="AS81" i="3"/>
  <c r="AS106" i="3"/>
  <c r="AS92" i="3"/>
  <c r="AS91" i="3"/>
  <c r="BQ186" i="1" s="1"/>
  <c r="H186" i="1" s="1"/>
  <c r="AS127" i="3"/>
  <c r="AS103" i="3"/>
  <c r="AS101" i="3"/>
  <c r="AS108" i="3"/>
  <c r="AS28" i="3"/>
  <c r="AS104" i="3"/>
  <c r="AS113" i="3"/>
  <c r="AS27" i="3"/>
  <c r="BV34" i="1" l="1"/>
  <c r="BV181" i="1"/>
  <c r="BV186" i="1"/>
  <c r="BV102" i="1"/>
  <c r="BV98" i="1"/>
  <c r="BQ103" i="1"/>
  <c r="H103" i="1" s="1"/>
  <c r="BQ101" i="1"/>
  <c r="H101" i="1" s="1"/>
  <c r="BQ127" i="1"/>
  <c r="H127" i="1" s="1"/>
  <c r="BQ92" i="1"/>
  <c r="H92" i="1" s="1"/>
  <c r="BQ108" i="1"/>
  <c r="H108" i="1" s="1"/>
  <c r="BQ106" i="1"/>
  <c r="H106" i="1" s="1"/>
  <c r="BQ104" i="1"/>
  <c r="H104" i="1" s="1"/>
  <c r="BQ91" i="1"/>
  <c r="H91" i="1" s="1"/>
  <c r="BQ81" i="1"/>
  <c r="H81" i="1" s="1"/>
  <c r="BQ122" i="1"/>
  <c r="H122" i="1" s="1"/>
  <c r="BQ28" i="1"/>
  <c r="H28" i="1" s="1"/>
  <c r="BQ27" i="1"/>
  <c r="H27" i="1" s="1"/>
  <c r="BQ113" i="1"/>
  <c r="H113" i="1" s="1"/>
  <c r="BQ80" i="1"/>
  <c r="H80" i="1" s="1"/>
  <c r="AN2" i="1"/>
  <c r="BR2" i="1"/>
  <c r="BV92" i="1" l="1"/>
  <c r="BV28" i="1"/>
  <c r="BV113" i="1"/>
  <c r="BV91" i="1"/>
  <c r="BV122" i="1"/>
  <c r="BV81" i="1"/>
  <c r="BV101" i="1"/>
  <c r="BM2" i="1"/>
  <c r="A2" i="1"/>
  <c r="AT2" i="1" l="1"/>
  <c r="B38" i="9"/>
  <c r="F37" i="9"/>
  <c r="F38" i="9"/>
  <c r="B37" i="9"/>
  <c r="B36" i="9"/>
  <c r="F36" i="9"/>
  <c r="B35" i="9"/>
  <c r="F35" i="9"/>
  <c r="B34" i="9"/>
  <c r="F34" i="9"/>
  <c r="D24" i="14"/>
  <c r="E24" i="14" s="1"/>
  <c r="AU2" i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D2" i="1" s="1"/>
  <c r="AR2" i="3"/>
  <c r="O2" i="5" l="1"/>
  <c r="P2" i="5" s="1"/>
  <c r="BK2" i="3"/>
  <c r="AE2" i="1"/>
  <c r="AH2" i="1"/>
  <c r="AG2" i="1"/>
  <c r="AF2" i="1"/>
  <c r="BQ2" i="1" l="1"/>
  <c r="H2" i="1" s="1"/>
  <c r="R2" i="5"/>
  <c r="Q2" i="5"/>
  <c r="BV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6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6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6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7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8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19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19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0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4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4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7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7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29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29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29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0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0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0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1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2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2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2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6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7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3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3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3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3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4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4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4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4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5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5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5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6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6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57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57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58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58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58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59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9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9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59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0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0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0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0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few small teeth)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<sst xmlns="http://schemas.openxmlformats.org/spreadsheetml/2006/main" count="5590" uniqueCount="1335">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</sst>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64"/>
  <sheetViews>
    <sheetView zoomScale="85" zoomScaleNormal="85" workbookViewId="0">
      <pane xSplit="1" topLeftCell="B1" activePane="topRight" state="frozen"/>
      <selection pane="topRight" activeCell="AN64" sqref="AN64:AO64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983</v>
      </c>
      <c r="AG12" s="4" t="s">
        <v>986</v>
      </c>
      <c r="AH12" s="4" t="s">
        <v>975</v>
      </c>
      <c r="AI12" s="4">
        <v>1</v>
      </c>
      <c r="AJ12" s="4" t="s">
        <v>1019</v>
      </c>
      <c r="AK12" s="4">
        <v>0</v>
      </c>
      <c r="AL12" s="4" t="s">
        <v>1040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72</v>
      </c>
      <c r="B16" s="39">
        <v>2</v>
      </c>
      <c r="C16" s="39">
        <v>1</v>
      </c>
      <c r="D16" s="39">
        <v>0</v>
      </c>
      <c r="E16" s="39">
        <v>5</v>
      </c>
      <c r="F16" s="39">
        <v>0</v>
      </c>
      <c r="G16" s="39">
        <v>0</v>
      </c>
      <c r="H16" s="40">
        <f>AVERAGE(21.6,12,10,13.1)</f>
        <v>14.175000000000001</v>
      </c>
      <c r="I16" s="41">
        <f>AVERAGE(0.54,1.5,1.5,0.86)</f>
        <v>1.1000000000000001</v>
      </c>
      <c r="J16" s="39">
        <v>1.0900000000000001</v>
      </c>
      <c r="K16" s="42">
        <v>0.08</v>
      </c>
      <c r="L16" s="39">
        <v>0</v>
      </c>
      <c r="M16" s="39">
        <v>0</v>
      </c>
      <c r="N16" s="4" t="s">
        <v>45</v>
      </c>
      <c r="O16" s="4">
        <v>0</v>
      </c>
      <c r="P16" s="4">
        <v>1</v>
      </c>
      <c r="Q16" s="4">
        <v>0.9</v>
      </c>
      <c r="R16" s="4" t="s">
        <v>968</v>
      </c>
      <c r="S16" s="4" t="s">
        <v>970</v>
      </c>
      <c r="T16" s="4" t="s">
        <v>969</v>
      </c>
      <c r="U16" s="4">
        <v>3</v>
      </c>
      <c r="V16" s="4">
        <v>0.7</v>
      </c>
      <c r="W16" s="4" t="s">
        <v>981</v>
      </c>
      <c r="X16" s="4" t="s">
        <v>982</v>
      </c>
      <c r="Y16" s="4" t="s">
        <v>966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</v>
      </c>
      <c r="AJ16" s="4" t="s">
        <v>1016</v>
      </c>
      <c r="AK16" s="4">
        <v>1</v>
      </c>
      <c r="AL16" s="4" t="s">
        <v>1035</v>
      </c>
      <c r="AM16" s="4">
        <v>0</v>
      </c>
      <c r="AN16" s="4">
        <v>2.5000000000000001E-2</v>
      </c>
      <c r="AO16" s="4">
        <v>0.3</v>
      </c>
      <c r="AP16" s="4" t="s">
        <v>45</v>
      </c>
      <c r="AQ16" s="4">
        <v>0</v>
      </c>
      <c r="AR16" s="4" t="s">
        <v>1057</v>
      </c>
      <c r="AS16" s="4">
        <v>0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1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0.05</v>
      </c>
      <c r="BJ16" s="39" t="s">
        <v>1125</v>
      </c>
      <c r="BK16" s="39">
        <v>0</v>
      </c>
      <c r="BL16" s="39">
        <v>0</v>
      </c>
      <c r="BM16" s="39">
        <v>0</v>
      </c>
    </row>
    <row r="17" spans="1:65" x14ac:dyDescent="0.25">
      <c r="A17" t="s">
        <v>75</v>
      </c>
      <c r="B17" s="39">
        <v>2</v>
      </c>
      <c r="C17" s="39">
        <v>1.25</v>
      </c>
      <c r="D17" s="39">
        <v>0</v>
      </c>
      <c r="E17" s="39">
        <v>1</v>
      </c>
      <c r="F17" s="39">
        <v>1</v>
      </c>
      <c r="G17" s="39">
        <v>1</v>
      </c>
      <c r="H17" s="40">
        <f>MAX(21.6,12,10,13.1)</f>
        <v>21.6</v>
      </c>
      <c r="I17" s="41">
        <f>MAX(0.54,1.5,1.5,0.86)</f>
        <v>1.5</v>
      </c>
      <c r="J17" s="39">
        <v>1.0900000000000001</v>
      </c>
      <c r="K17" s="42">
        <f>AVERAGE(0.13,0.106,0.134,0.129)</f>
        <v>0.12475</v>
      </c>
      <c r="L17" s="39">
        <v>0</v>
      </c>
      <c r="M17" s="39">
        <v>0</v>
      </c>
      <c r="N17" s="4" t="s">
        <v>75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0.7</v>
      </c>
      <c r="AA17" s="4" t="s">
        <v>993</v>
      </c>
      <c r="AB17" s="4" t="s">
        <v>997</v>
      </c>
      <c r="AC17" s="4" t="s">
        <v>1108</v>
      </c>
      <c r="AD17" s="39">
        <v>1</v>
      </c>
      <c r="AE17" s="4">
        <v>0.65</v>
      </c>
      <c r="AF17" s="4" t="s">
        <v>1007</v>
      </c>
      <c r="AG17" s="4" t="s">
        <v>1013</v>
      </c>
      <c r="AH17" s="4" t="s">
        <v>966</v>
      </c>
      <c r="AI17" s="4">
        <v>1.2</v>
      </c>
      <c r="AJ17" s="4" t="s">
        <v>1016</v>
      </c>
      <c r="AK17" s="4">
        <v>0</v>
      </c>
      <c r="AL17" s="4" t="s">
        <v>1029</v>
      </c>
      <c r="AM17" s="4">
        <v>1</v>
      </c>
      <c r="AN17" s="4">
        <v>0.1</v>
      </c>
      <c r="AO17" s="4">
        <v>0.3</v>
      </c>
      <c r="AP17" s="4">
        <v>1</v>
      </c>
      <c r="AQ17" s="4">
        <v>0</v>
      </c>
      <c r="AR17" s="4" t="s">
        <v>1059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0</v>
      </c>
      <c r="BD17" s="4">
        <v>0</v>
      </c>
      <c r="BE17" s="4">
        <v>0</v>
      </c>
      <c r="BF17" s="4">
        <v>0</v>
      </c>
      <c r="BG17" s="39">
        <v>1.25</v>
      </c>
      <c r="BH17" s="39">
        <v>0.25</v>
      </c>
      <c r="BI17" s="39">
        <v>2.5000000000000001E-2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s="16" customFormat="1" x14ac:dyDescent="0.25">
      <c r="A18" s="16" t="s">
        <v>1074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1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x14ac:dyDescent="0.25">
      <c r="A19" t="s">
        <v>291</v>
      </c>
      <c r="B19" s="39">
        <v>0</v>
      </c>
      <c r="C19" s="39">
        <v>1</v>
      </c>
      <c r="D19" s="39">
        <v>1</v>
      </c>
      <c r="E19" s="39">
        <v>1</v>
      </c>
      <c r="F19" s="39">
        <v>0</v>
      </c>
      <c r="G19" s="39">
        <v>0</v>
      </c>
      <c r="H19" s="40">
        <f>AVERAGE(AVERAGE(14.84,16.45,15.67,11.41,11.56,11.45),11.5)</f>
        <v>12.531666666666666</v>
      </c>
      <c r="I19" s="41">
        <f>AVERAGE(63%,61.11%,59.19%,126.33%,114.23%,101.98%)</f>
        <v>0.87639999999999996</v>
      </c>
      <c r="J19" s="39">
        <v>1.0900000000000001</v>
      </c>
      <c r="K19" s="39" t="s">
        <v>942</v>
      </c>
      <c r="L19" s="39">
        <v>0</v>
      </c>
      <c r="M19" s="39">
        <v>0</v>
      </c>
      <c r="N19" s="4" t="s">
        <v>956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1</v>
      </c>
      <c r="AA19" s="4" t="s">
        <v>993</v>
      </c>
      <c r="AB19" s="4" t="s">
        <v>996</v>
      </c>
      <c r="AC19" s="4" t="s">
        <v>1108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</v>
      </c>
      <c r="AJ19" s="4" t="s">
        <v>1018</v>
      </c>
      <c r="AK19" s="4">
        <v>0</v>
      </c>
      <c r="AL19" s="4" t="s">
        <v>1027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685</v>
      </c>
      <c r="AS19" s="4">
        <v>1</v>
      </c>
      <c r="AT19" s="4">
        <v>1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1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39">
        <v>0.5</v>
      </c>
      <c r="BH19" s="39">
        <v>0</v>
      </c>
      <c r="BI19" s="39">
        <v>0</v>
      </c>
      <c r="BJ19" s="39" t="s">
        <v>1127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1045</v>
      </c>
      <c r="B20" s="39">
        <v>0</v>
      </c>
      <c r="C20" s="39">
        <v>0.7</v>
      </c>
      <c r="D20" s="39">
        <v>1</v>
      </c>
      <c r="E20" s="39">
        <v>5</v>
      </c>
      <c r="F20" s="39">
        <v>1</v>
      </c>
      <c r="G20" s="39">
        <v>0</v>
      </c>
      <c r="H20" s="40">
        <f>AVERAGE(21.6,12,10,13.1)</f>
        <v>14.175000000000001</v>
      </c>
      <c r="I20" s="41">
        <f>AVERAGE(0.54,1.5,1.5,0.86)</f>
        <v>1.1000000000000001</v>
      </c>
      <c r="J20" s="39">
        <v>1.0900000000000001</v>
      </c>
      <c r="K20" s="39" t="s">
        <v>942</v>
      </c>
      <c r="L20" s="39">
        <v>0</v>
      </c>
      <c r="M20" s="39">
        <v>0</v>
      </c>
      <c r="N20" s="4" t="s">
        <v>955</v>
      </c>
      <c r="O20" s="4">
        <v>0</v>
      </c>
      <c r="P20" s="4">
        <v>1</v>
      </c>
      <c r="Q20" s="4">
        <v>0.95</v>
      </c>
      <c r="R20" s="4" t="s">
        <v>968</v>
      </c>
      <c r="S20" s="4" t="s">
        <v>971</v>
      </c>
      <c r="T20" s="4" t="s">
        <v>969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993</v>
      </c>
      <c r="AB20" s="4" t="s">
        <v>996</v>
      </c>
      <c r="AC20" s="4" t="s">
        <v>1108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1016</v>
      </c>
      <c r="AK20" s="4">
        <v>1</v>
      </c>
      <c r="AL20" s="4" t="s">
        <v>1031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685</v>
      </c>
      <c r="AS20" s="4">
        <v>0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1</v>
      </c>
      <c r="BG20" s="39">
        <v>0.5</v>
      </c>
      <c r="BH20" s="39">
        <v>0</v>
      </c>
      <c r="BI20" s="39">
        <v>0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1044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AVERAGE(21.6,12,10,13.1)</f>
        <v>14.175000000000001</v>
      </c>
      <c r="I21" s="41">
        <f>AVERAGE(0.54,1.5,1.5,0.86)</f>
        <v>1.1000000000000001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955</v>
      </c>
      <c r="O21" s="4">
        <v>0</v>
      </c>
      <c r="P21" s="4">
        <v>1</v>
      </c>
      <c r="Q21" s="4">
        <v>0.95</v>
      </c>
      <c r="R21" s="4" t="s">
        <v>968</v>
      </c>
      <c r="S21" s="4" t="s">
        <v>971</v>
      </c>
      <c r="T21" s="4" t="s">
        <v>969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1016</v>
      </c>
      <c r="AK21" s="4">
        <v>1</v>
      </c>
      <c r="AL21" s="4" t="s">
        <v>1030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1125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1142</v>
      </c>
      <c r="B22" s="39">
        <v>0</v>
      </c>
      <c r="C22" s="39">
        <v>1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0.85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>
        <v>0.2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0.7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x14ac:dyDescent="0.25">
      <c r="A23" t="s">
        <v>89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0.85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1046</v>
      </c>
      <c r="B24" s="39">
        <v>1</v>
      </c>
      <c r="C24" s="39">
        <v>1.3</v>
      </c>
      <c r="D24" s="39">
        <v>0</v>
      </c>
      <c r="E24" s="39">
        <v>1</v>
      </c>
      <c r="F24" s="39">
        <v>0</v>
      </c>
      <c r="G24" s="39">
        <v>0</v>
      </c>
      <c r="H24" s="40">
        <v>21</v>
      </c>
      <c r="I24" s="41">
        <v>0.85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0.9</v>
      </c>
      <c r="AA24" s="4" t="s">
        <v>993</v>
      </c>
      <c r="AB24" s="4" t="s">
        <v>996</v>
      </c>
      <c r="AC24" s="4" t="s">
        <v>1108</v>
      </c>
      <c r="AD24" s="39">
        <v>1</v>
      </c>
      <c r="AE24" s="4">
        <v>0.7</v>
      </c>
      <c r="AF24" s="4" t="s">
        <v>1009</v>
      </c>
      <c r="AG24" s="4" t="s">
        <v>1013</v>
      </c>
      <c r="AH24" s="4" t="s">
        <v>966</v>
      </c>
      <c r="AI24" s="4">
        <v>1.2</v>
      </c>
      <c r="AJ24" s="4" t="s">
        <v>1017</v>
      </c>
      <c r="AK24" s="4">
        <v>0</v>
      </c>
      <c r="AL24" s="4" t="s">
        <v>1038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39">
        <v>0.5</v>
      </c>
      <c r="BH24" s="39">
        <v>0</v>
      </c>
      <c r="BI24" s="39">
        <v>0</v>
      </c>
      <c r="BJ24" s="39" t="s">
        <v>1127</v>
      </c>
      <c r="BK24" s="39">
        <v>0</v>
      </c>
      <c r="BL24" s="39">
        <v>0</v>
      </c>
      <c r="BM24" s="39">
        <v>0</v>
      </c>
    </row>
    <row r="25" spans="1:65" x14ac:dyDescent="0.25">
      <c r="A25" t="s">
        <v>1047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954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0.85</v>
      </c>
      <c r="AA25" s="4" t="s">
        <v>993</v>
      </c>
      <c r="AB25" s="4" t="s">
        <v>996</v>
      </c>
      <c r="AC25" s="4" t="s">
        <v>1109</v>
      </c>
      <c r="AD25" s="39">
        <v>1</v>
      </c>
      <c r="AE25" s="4">
        <v>0.7</v>
      </c>
      <c r="AF25" s="4" t="s">
        <v>1009</v>
      </c>
      <c r="AG25" s="4" t="s">
        <v>1013</v>
      </c>
      <c r="AH25" s="4" t="s">
        <v>966</v>
      </c>
      <c r="AI25" s="4">
        <v>1.2</v>
      </c>
      <c r="AJ25" s="4" t="s">
        <v>1017</v>
      </c>
      <c r="AK25" s="4">
        <v>0</v>
      </c>
      <c r="AL25" s="4" t="s">
        <v>1038</v>
      </c>
      <c r="AM25" s="4">
        <v>0</v>
      </c>
      <c r="AN25" s="4">
        <v>0.1</v>
      </c>
      <c r="AO25" s="4">
        <v>0.3</v>
      </c>
      <c r="AP25" s="4" t="s">
        <v>45</v>
      </c>
      <c r="AQ25" s="4">
        <v>0</v>
      </c>
      <c r="AR25" s="4" t="s">
        <v>1059</v>
      </c>
      <c r="AS25" s="4">
        <v>1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1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0.2</v>
      </c>
      <c r="BI25" s="39">
        <v>2.5000000000000001E-2</v>
      </c>
      <c r="BJ25" s="39" t="s">
        <v>1127</v>
      </c>
      <c r="BK25" s="39">
        <v>0</v>
      </c>
      <c r="BL25" s="39">
        <v>0</v>
      </c>
      <c r="BM25" s="39">
        <v>0</v>
      </c>
    </row>
    <row r="26" spans="1:65" x14ac:dyDescent="0.25">
      <c r="A26" t="s">
        <v>635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1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0.95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1007</v>
      </c>
      <c r="AG26" s="4" t="s">
        <v>1013</v>
      </c>
      <c r="AH26" s="4" t="s">
        <v>966</v>
      </c>
      <c r="AI26" s="4">
        <v>1</v>
      </c>
      <c r="AJ26" s="4" t="s">
        <v>1016</v>
      </c>
      <c r="AK26" s="4">
        <v>0</v>
      </c>
      <c r="AL26" s="4" t="s">
        <v>1027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1125</v>
      </c>
      <c r="BK26" s="39">
        <v>0</v>
      </c>
      <c r="BL26" s="39">
        <v>0</v>
      </c>
      <c r="BM26" s="39">
        <v>0</v>
      </c>
    </row>
    <row r="27" spans="1:65" x14ac:dyDescent="0.25">
      <c r="A27" s="16" t="s">
        <v>930</v>
      </c>
      <c r="B27" s="39">
        <v>1</v>
      </c>
      <c r="C27" s="39">
        <v>1.3</v>
      </c>
      <c r="D27" s="39">
        <v>1</v>
      </c>
      <c r="E27" s="39">
        <v>5</v>
      </c>
      <c r="F27" s="39">
        <v>0</v>
      </c>
      <c r="G27" s="39">
        <v>1</v>
      </c>
      <c r="H27" s="40">
        <f>AVERAGE(21.6,12,10,13.1)</f>
        <v>14.175000000000001</v>
      </c>
      <c r="I27" s="41">
        <f>AVERAGE(0.54,1.5,1.5,0.86)</f>
        <v>1.1000000000000001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45</v>
      </c>
      <c r="O27" s="4">
        <v>0</v>
      </c>
      <c r="P27" s="4">
        <v>1</v>
      </c>
      <c r="Q27" s="4">
        <v>1</v>
      </c>
      <c r="R27" s="43" t="s">
        <v>1135</v>
      </c>
      <c r="S27" s="43" t="s">
        <v>972</v>
      </c>
      <c r="T27" s="4" t="s">
        <v>966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 t="s">
        <v>45</v>
      </c>
      <c r="AA27" s="4" t="s">
        <v>45</v>
      </c>
      <c r="AB27" s="4" t="s">
        <v>45</v>
      </c>
      <c r="AC27" s="4" t="s">
        <v>45</v>
      </c>
      <c r="AD27" s="39">
        <v>1</v>
      </c>
      <c r="AE27" s="4">
        <v>0.7</v>
      </c>
      <c r="AF27" s="4" t="s">
        <v>1007</v>
      </c>
      <c r="AG27" s="4" t="s">
        <v>1013</v>
      </c>
      <c r="AH27" s="4" t="s">
        <v>966</v>
      </c>
      <c r="AI27" s="4">
        <v>1</v>
      </c>
      <c r="AJ27" s="4" t="s">
        <v>1016</v>
      </c>
      <c r="AK27" s="4">
        <v>1</v>
      </c>
      <c r="AL27" s="4" t="s">
        <v>1043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1</v>
      </c>
      <c r="BF27" s="4">
        <v>0</v>
      </c>
      <c r="BG27" s="39">
        <v>0.7</v>
      </c>
      <c r="BH27" s="39">
        <v>0</v>
      </c>
      <c r="BI27" s="39">
        <v>0</v>
      </c>
      <c r="BJ27" s="39" t="s">
        <v>1129</v>
      </c>
      <c r="BK27" s="39">
        <v>0</v>
      </c>
      <c r="BL27" s="39">
        <v>0</v>
      </c>
      <c r="BM27" s="39">
        <v>0</v>
      </c>
    </row>
    <row r="28" spans="1:65" x14ac:dyDescent="0.25">
      <c r="A28" t="s">
        <v>636</v>
      </c>
      <c r="B28" s="39">
        <v>0</v>
      </c>
      <c r="C28" s="39">
        <v>1.2</v>
      </c>
      <c r="D28" s="39">
        <v>0</v>
      </c>
      <c r="E28" s="39">
        <v>1</v>
      </c>
      <c r="F28" s="39">
        <v>0</v>
      </c>
      <c r="G28" s="39">
        <v>0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953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1108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0.7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s="16" customFormat="1" x14ac:dyDescent="0.25">
      <c r="A29" s="16" t="s">
        <v>938</v>
      </c>
      <c r="B29" s="39">
        <v>1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AVERAGE(65.5,108.7)</f>
        <v>87.1</v>
      </c>
      <c r="I29" s="41">
        <f>AVERAGE(16.8%,11.9%)</f>
        <v>0.14350000000000002</v>
      </c>
      <c r="J29" s="39">
        <v>0.96</v>
      </c>
      <c r="K29" s="39">
        <v>0.32</v>
      </c>
      <c r="L29" s="39">
        <v>1</v>
      </c>
      <c r="M29" s="39">
        <v>0</v>
      </c>
      <c r="N29" s="4" t="s">
        <v>953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993</v>
      </c>
      <c r="AB29" s="4" t="s">
        <v>996</v>
      </c>
      <c r="AC29" s="4" t="s">
        <v>1108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1016</v>
      </c>
      <c r="AK29" s="4">
        <v>0</v>
      </c>
      <c r="AL29" s="4" t="s">
        <v>1029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1125</v>
      </c>
      <c r="BK29" s="39">
        <v>0</v>
      </c>
      <c r="BL29" s="39">
        <v>0</v>
      </c>
      <c r="BM29" s="39">
        <v>0</v>
      </c>
    </row>
    <row r="30" spans="1:65" x14ac:dyDescent="0.25">
      <c r="A30" t="s">
        <v>463</v>
      </c>
      <c r="B30" s="39">
        <v>2</v>
      </c>
      <c r="C30" s="39">
        <v>2</v>
      </c>
      <c r="D30" s="39">
        <v>0</v>
      </c>
      <c r="E30" s="39">
        <v>1</v>
      </c>
      <c r="F30" s="39">
        <v>0</v>
      </c>
      <c r="G30" s="39">
        <v>0</v>
      </c>
      <c r="H30" s="40">
        <v>200</v>
      </c>
      <c r="I30" s="41">
        <v>0.2</v>
      </c>
      <c r="J30" s="39">
        <v>1.0900000000000001</v>
      </c>
      <c r="K30" s="39" t="s">
        <v>942</v>
      </c>
      <c r="L30" s="39">
        <v>1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</v>
      </c>
      <c r="AA30" s="4" t="s">
        <v>993</v>
      </c>
      <c r="AB30" s="4" t="s">
        <v>996</v>
      </c>
      <c r="AC30" s="4" t="s">
        <v>1108</v>
      </c>
      <c r="AD30" s="39">
        <v>1</v>
      </c>
      <c r="AE30" s="4">
        <v>0.65</v>
      </c>
      <c r="AF30" s="4" t="s">
        <v>1007</v>
      </c>
      <c r="AG30" s="4" t="s">
        <v>1013</v>
      </c>
      <c r="AH30" s="4" t="s">
        <v>966</v>
      </c>
      <c r="AI30" s="4">
        <v>1.5</v>
      </c>
      <c r="AJ30" s="4" t="s">
        <v>41</v>
      </c>
      <c r="AK30" s="4">
        <v>0</v>
      </c>
      <c r="AL30" s="4" t="s">
        <v>1029</v>
      </c>
      <c r="AM30" s="4">
        <v>0</v>
      </c>
      <c r="AN30" s="4">
        <v>1</v>
      </c>
      <c r="AO30" s="4">
        <v>1</v>
      </c>
      <c r="AP30" s="4" t="s">
        <v>45</v>
      </c>
      <c r="AQ30" s="4">
        <v>0</v>
      </c>
      <c r="AR30" s="4" t="s">
        <v>1057</v>
      </c>
      <c r="AS30" s="4">
        <v>1</v>
      </c>
      <c r="AT30" s="4">
        <v>0</v>
      </c>
      <c r="AU30" s="4">
        <v>0</v>
      </c>
      <c r="AV30" s="4" t="s">
        <v>45</v>
      </c>
      <c r="AW30" s="4">
        <v>1</v>
      </c>
      <c r="AX30" s="4">
        <v>1</v>
      </c>
      <c r="AY30" s="4">
        <v>1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1</v>
      </c>
      <c r="BH30" s="39">
        <v>0.25</v>
      </c>
      <c r="BI30" s="39">
        <v>0.05</v>
      </c>
      <c r="BJ30" s="39" t="s">
        <v>1125</v>
      </c>
      <c r="BK30" s="39">
        <v>1</v>
      </c>
      <c r="BL30" s="39">
        <v>0</v>
      </c>
      <c r="BM30" s="39">
        <v>1</v>
      </c>
    </row>
    <row r="31" spans="1:65" s="16" customFormat="1" x14ac:dyDescent="0.25">
      <c r="A31" s="16" t="s">
        <v>1076</v>
      </c>
      <c r="B31" s="39">
        <v>1</v>
      </c>
      <c r="C31" s="39">
        <v>1.5</v>
      </c>
      <c r="D31" s="39">
        <v>0</v>
      </c>
      <c r="E31" s="39">
        <v>1</v>
      </c>
      <c r="F31" s="39">
        <v>1</v>
      </c>
      <c r="G31" s="39">
        <v>0</v>
      </c>
      <c r="H31" s="40">
        <f>MAX(21.6,12,10,13.1)</f>
        <v>21.6</v>
      </c>
      <c r="I31" s="41">
        <f>MAX(0.54,1.5,1.5,0.86)</f>
        <v>1.5</v>
      </c>
      <c r="J31" s="39">
        <v>1.0900000000000001</v>
      </c>
      <c r="K31" s="42">
        <f>AVERAGE(0.13,0.106,0.134,0.129)</f>
        <v>0.12475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993</v>
      </c>
      <c r="AB31" s="4" t="s">
        <v>997</v>
      </c>
      <c r="AC31" s="4" t="s">
        <v>1108</v>
      </c>
      <c r="AD31" s="39">
        <v>1</v>
      </c>
      <c r="AE31" s="4">
        <v>0.65</v>
      </c>
      <c r="AF31" s="4" t="s">
        <v>1007</v>
      </c>
      <c r="AG31" s="4" t="s">
        <v>1013</v>
      </c>
      <c r="AH31" s="4" t="s">
        <v>966</v>
      </c>
      <c r="AI31" s="4">
        <v>1.2</v>
      </c>
      <c r="AJ31" s="4" t="s">
        <v>1016</v>
      </c>
      <c r="AK31" s="4">
        <v>0</v>
      </c>
      <c r="AL31" s="4" t="s">
        <v>1029</v>
      </c>
      <c r="AM31" s="4">
        <v>1</v>
      </c>
      <c r="AN31" s="4">
        <v>0.1</v>
      </c>
      <c r="AO31" s="4">
        <v>0.3</v>
      </c>
      <c r="AP31" s="4">
        <v>0.5</v>
      </c>
      <c r="AQ31" s="4">
        <v>0</v>
      </c>
      <c r="AR31" s="4" t="s">
        <v>1059</v>
      </c>
      <c r="AS31" s="4">
        <v>1</v>
      </c>
      <c r="AT31" s="4">
        <v>1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1.1000000000000001</v>
      </c>
      <c r="BH31" s="39">
        <v>0.2</v>
      </c>
      <c r="BI31" s="39">
        <v>2.5000000000000001E-2</v>
      </c>
      <c r="BJ31" s="39" t="s">
        <v>1127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1073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>MAX(21.6,12,10,13.1)</f>
        <v>21.6</v>
      </c>
      <c r="I32" s="41">
        <f>MAX(0.54,1.5,1.5,0.86)</f>
        <v>1.5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997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1.2</v>
      </c>
      <c r="AJ32" s="4" t="s">
        <v>1016</v>
      </c>
      <c r="AK32" s="4">
        <v>0</v>
      </c>
      <c r="AL32" s="4" t="s">
        <v>1029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1059</v>
      </c>
      <c r="AS32" s="4">
        <v>1</v>
      </c>
      <c r="AT32" s="4">
        <v>1</v>
      </c>
      <c r="AU32" s="4">
        <v>1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1127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1103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2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x14ac:dyDescent="0.25">
      <c r="A34" t="s">
        <v>104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962</v>
      </c>
      <c r="B35" s="39">
        <v>0</v>
      </c>
      <c r="C35" s="39">
        <v>1</v>
      </c>
      <c r="D35" s="39">
        <v>1</v>
      </c>
      <c r="E35" s="39">
        <v>5</v>
      </c>
      <c r="F35" s="39">
        <v>0</v>
      </c>
      <c r="G35" s="39">
        <v>0</v>
      </c>
      <c r="H35" s="40">
        <f t="shared" ref="H35:H42" si="0">AVERAGE(21.6,12,10,13.1)</f>
        <v>14.175000000000001</v>
      </c>
      <c r="I35" s="41">
        <f t="shared" ref="I35:I42" si="1">AVERAGE(0.54,1.5,1.5,0.86)</f>
        <v>1.1000000000000001</v>
      </c>
      <c r="J35" s="39">
        <v>1.0900000000000001</v>
      </c>
      <c r="K35" s="39" t="s">
        <v>942</v>
      </c>
      <c r="L35" s="39">
        <v>0</v>
      </c>
      <c r="M35" s="39">
        <v>0</v>
      </c>
      <c r="N35" s="4" t="s">
        <v>110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>
        <v>1</v>
      </c>
      <c r="V35" s="4">
        <v>0.8</v>
      </c>
      <c r="W35" s="4" t="s">
        <v>981</v>
      </c>
      <c r="X35" s="4" t="s">
        <v>982</v>
      </c>
      <c r="Y35" s="4" t="s">
        <v>966</v>
      </c>
      <c r="Z35" s="4">
        <v>0.95</v>
      </c>
      <c r="AA35" s="4" t="s">
        <v>993</v>
      </c>
      <c r="AB35" s="4" t="s">
        <v>996</v>
      </c>
      <c r="AC35" s="4" t="s">
        <v>1108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1016</v>
      </c>
      <c r="AK35" s="4">
        <v>1</v>
      </c>
      <c r="AL35" s="4" t="s">
        <v>1042</v>
      </c>
      <c r="AM35" s="4">
        <v>0</v>
      </c>
      <c r="AN35" s="4">
        <v>2.5000000000000001E-2</v>
      </c>
      <c r="AO35" s="4">
        <v>0.1</v>
      </c>
      <c r="AP35" s="4" t="s">
        <v>45</v>
      </c>
      <c r="AQ35" s="4">
        <v>1</v>
      </c>
      <c r="AR35" s="4" t="s">
        <v>685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0.1</v>
      </c>
      <c r="BI35" s="39">
        <v>2.5000000000000001E-2</v>
      </c>
      <c r="BJ35" s="39" t="s">
        <v>1125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1089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>MAX(21.6,12,10,13.1)</f>
        <v>21.6</v>
      </c>
      <c r="I36" s="41">
        <f t="shared" si="1"/>
        <v>1.1000000000000001</v>
      </c>
      <c r="J36" s="39">
        <v>1.0900000000000001</v>
      </c>
      <c r="K36" s="42">
        <v>0.18</v>
      </c>
      <c r="L36" s="39">
        <v>0</v>
      </c>
      <c r="M36" s="39">
        <v>0</v>
      </c>
      <c r="N36" s="4" t="s">
        <v>110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0.85</v>
      </c>
      <c r="AA36" s="4" t="s">
        <v>993</v>
      </c>
      <c r="AB36" s="4" t="s">
        <v>996</v>
      </c>
      <c r="AC36" s="4" t="s">
        <v>1108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1.2</v>
      </c>
      <c r="AJ36" s="4" t="s">
        <v>1016</v>
      </c>
      <c r="AK36" s="4">
        <v>1</v>
      </c>
      <c r="AL36" s="4" t="s">
        <v>1031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685</v>
      </c>
      <c r="AS36" s="4">
        <v>0</v>
      </c>
      <c r="AT36" s="4">
        <v>0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0.25</v>
      </c>
      <c r="BH36" s="39">
        <v>0.1</v>
      </c>
      <c r="BI36" s="39">
        <v>2.5000000000000001E-2</v>
      </c>
      <c r="BJ36" s="39" t="s">
        <v>1125</v>
      </c>
      <c r="BK36" s="39">
        <v>0</v>
      </c>
      <c r="BL36" s="39">
        <v>0</v>
      </c>
      <c r="BM36" s="39">
        <v>0</v>
      </c>
    </row>
    <row r="37" spans="1:65" x14ac:dyDescent="0.25">
      <c r="A37" t="s">
        <v>109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14.175000000000001</v>
      </c>
      <c r="I37" s="41">
        <f t="shared" si="1"/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1.1000000000000001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1031</v>
      </c>
      <c r="AM37" s="4">
        <v>0</v>
      </c>
      <c r="AN37" s="4">
        <v>0</v>
      </c>
      <c r="AO37" s="4">
        <v>0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1</v>
      </c>
      <c r="BG37" s="39">
        <v>0.5</v>
      </c>
      <c r="BH37" s="39">
        <v>0</v>
      </c>
      <c r="BI37" s="39">
        <v>0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998</v>
      </c>
      <c r="B38" s="39">
        <v>0</v>
      </c>
      <c r="C38" s="39">
        <v>1</v>
      </c>
      <c r="D38" s="39">
        <v>0</v>
      </c>
      <c r="E38" s="39">
        <v>1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45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3</v>
      </c>
      <c r="V38" s="4">
        <v>0.75</v>
      </c>
      <c r="W38" s="4" t="s">
        <v>981</v>
      </c>
      <c r="X38" s="4" t="s">
        <v>982</v>
      </c>
      <c r="Y38" s="4" t="s">
        <v>966</v>
      </c>
      <c r="Z38" s="4" t="s">
        <v>45</v>
      </c>
      <c r="AA38" s="4" t="s">
        <v>45</v>
      </c>
      <c r="AB38" s="4" t="s">
        <v>45</v>
      </c>
      <c r="AC38" s="4" t="s">
        <v>45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0</v>
      </c>
      <c r="AL38" s="4" t="s">
        <v>1039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1059</v>
      </c>
      <c r="AS38" s="4">
        <v>0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0.7</v>
      </c>
      <c r="BH38" s="39">
        <v>0.1</v>
      </c>
      <c r="BI38" s="39">
        <v>2.5000000000000001E-2</v>
      </c>
      <c r="BJ38" s="39" t="s">
        <v>1127</v>
      </c>
      <c r="BK38" s="39">
        <v>0</v>
      </c>
      <c r="BL38" s="39">
        <v>0</v>
      </c>
      <c r="BM38" s="39">
        <v>0</v>
      </c>
    </row>
    <row r="39" spans="1:65" x14ac:dyDescent="0.25">
      <c r="A39" t="s">
        <v>682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953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997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0</v>
      </c>
      <c r="AL39" s="4" t="s">
        <v>682</v>
      </c>
      <c r="AM39" s="4">
        <v>1</v>
      </c>
      <c r="AN39" s="4">
        <v>0</v>
      </c>
      <c r="AO39" s="4">
        <v>0</v>
      </c>
      <c r="AP39" s="4">
        <v>0.5</v>
      </c>
      <c r="AQ39" s="4">
        <v>0</v>
      </c>
      <c r="AR39" s="4" t="s">
        <v>1059</v>
      </c>
      <c r="AS39" s="4">
        <v>1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0.7</v>
      </c>
      <c r="BH39" s="39">
        <v>0.1</v>
      </c>
      <c r="BI39" s="39">
        <v>2.5000000000000001E-2</v>
      </c>
      <c r="BJ39" s="39" t="s">
        <v>1127</v>
      </c>
      <c r="BK39" s="39">
        <v>0</v>
      </c>
      <c r="BL39" s="39">
        <v>0</v>
      </c>
      <c r="BM39" s="39">
        <v>0</v>
      </c>
    </row>
    <row r="40" spans="1:65" x14ac:dyDescent="0.25">
      <c r="A40" t="s">
        <v>475</v>
      </c>
      <c r="B40" s="39">
        <v>2</v>
      </c>
      <c r="C40" s="39">
        <v>1.5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41</v>
      </c>
      <c r="O40" s="4">
        <v>1</v>
      </c>
      <c r="P40" s="4">
        <v>1</v>
      </c>
      <c r="Q40" s="4">
        <v>0.9</v>
      </c>
      <c r="R40" s="4" t="s">
        <v>974</v>
      </c>
      <c r="S40" s="4" t="s">
        <v>973</v>
      </c>
      <c r="T40" s="4" t="s">
        <v>975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0.9</v>
      </c>
      <c r="AA40" s="4" t="s">
        <v>993</v>
      </c>
      <c r="AB40" s="4" t="s">
        <v>995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1020</v>
      </c>
      <c r="AK40" s="4">
        <v>0</v>
      </c>
      <c r="AL40" s="4" t="s">
        <v>1041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685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2</v>
      </c>
      <c r="BG40" s="39">
        <v>0.5</v>
      </c>
      <c r="BH40" s="39">
        <v>0</v>
      </c>
      <c r="BI40" s="39">
        <v>0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s="16" customFormat="1" ht="14.25" customHeight="1" x14ac:dyDescent="0.25">
      <c r="A41" s="16" t="s">
        <v>1036</v>
      </c>
      <c r="B41" s="39">
        <v>2</v>
      </c>
      <c r="C41" s="39">
        <v>1.3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14.175000000000001</v>
      </c>
      <c r="I41" s="41">
        <f t="shared" si="1"/>
        <v>1.1000000000000001</v>
      </c>
      <c r="J41" s="39">
        <v>1.0900000000000001</v>
      </c>
      <c r="K41" s="39" t="s">
        <v>942</v>
      </c>
      <c r="L41" s="39">
        <v>0</v>
      </c>
      <c r="M41" s="39">
        <v>0</v>
      </c>
      <c r="N41" s="4" t="s">
        <v>113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1</v>
      </c>
      <c r="AE41" s="4">
        <v>0.65</v>
      </c>
      <c r="AF41" s="4" t="s">
        <v>1008</v>
      </c>
      <c r="AG41" s="4" t="s">
        <v>1011</v>
      </c>
      <c r="AH41" s="4" t="s">
        <v>969</v>
      </c>
      <c r="AI41" s="4">
        <v>1</v>
      </c>
      <c r="AJ41" s="4" t="s">
        <v>1016</v>
      </c>
      <c r="AK41" s="4">
        <v>0</v>
      </c>
      <c r="AL41" s="4" t="s">
        <v>1037</v>
      </c>
      <c r="AM41" s="4">
        <v>2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1057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1</v>
      </c>
      <c r="BH41" s="39">
        <v>0.1</v>
      </c>
      <c r="BI41" s="39">
        <v>0.05</v>
      </c>
      <c r="BJ41" s="39" t="s">
        <v>1130</v>
      </c>
      <c r="BK41" s="39">
        <v>0</v>
      </c>
      <c r="BL41" s="39">
        <v>0</v>
      </c>
      <c r="BM41" s="39">
        <v>0</v>
      </c>
    </row>
    <row r="42" spans="1:65" ht="14.25" customHeight="1" x14ac:dyDescent="0.25">
      <c r="A42" t="s">
        <v>113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113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1</v>
      </c>
      <c r="AE42" s="4">
        <v>0.65</v>
      </c>
      <c r="AF42" s="4" t="s">
        <v>1008</v>
      </c>
      <c r="AG42" s="4" t="s">
        <v>1011</v>
      </c>
      <c r="AH42" s="4" t="s">
        <v>969</v>
      </c>
      <c r="AI42" s="4">
        <v>1</v>
      </c>
      <c r="AJ42" s="4" t="s">
        <v>1016</v>
      </c>
      <c r="AK42" s="4">
        <v>0</v>
      </c>
      <c r="AL42" s="4" t="s">
        <v>116</v>
      </c>
      <c r="AM42" s="4">
        <v>2</v>
      </c>
      <c r="AN42" s="4">
        <v>0</v>
      </c>
      <c r="AO42" s="4">
        <v>0</v>
      </c>
      <c r="AP42" s="4">
        <v>0.5</v>
      </c>
      <c r="AQ42" s="4">
        <v>0</v>
      </c>
      <c r="AR42" s="4" t="s">
        <v>1057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1125</v>
      </c>
      <c r="BK42" s="39">
        <v>0</v>
      </c>
      <c r="BL42" s="39">
        <v>0</v>
      </c>
      <c r="BM42" s="39">
        <v>0</v>
      </c>
    </row>
    <row r="43" spans="1:65" x14ac:dyDescent="0.25">
      <c r="A43" t="s">
        <v>119</v>
      </c>
      <c r="B43" s="39">
        <v>2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v>30.5</v>
      </c>
      <c r="I43" s="41">
        <v>0.24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955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>
        <v>2</v>
      </c>
      <c r="V43" s="4">
        <v>0.7</v>
      </c>
      <c r="W43" s="4" t="s">
        <v>983</v>
      </c>
      <c r="X43" s="4" t="s">
        <v>984</v>
      </c>
      <c r="Y43" s="4" t="s">
        <v>966</v>
      </c>
      <c r="Z43" s="4">
        <v>1</v>
      </c>
      <c r="AA43" s="4" t="s">
        <v>993</v>
      </c>
      <c r="AB43" s="4" t="s">
        <v>996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1016</v>
      </c>
      <c r="AK43" s="4">
        <v>0</v>
      </c>
      <c r="AL43" s="4" t="s">
        <v>1034</v>
      </c>
      <c r="AM43" s="4">
        <v>0</v>
      </c>
      <c r="AN43" s="4">
        <v>0.05</v>
      </c>
      <c r="AO43" s="4">
        <v>0.3</v>
      </c>
      <c r="AP43" s="4" t="s">
        <v>45</v>
      </c>
      <c r="AQ43" s="4">
        <v>0</v>
      </c>
      <c r="AR43" s="4" t="s">
        <v>685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0.5</v>
      </c>
      <c r="BH43" s="39">
        <v>0.15</v>
      </c>
      <c r="BI43" s="39">
        <v>2.5000000000000001E-2</v>
      </c>
      <c r="BJ43" s="39" t="s">
        <v>1125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1090</v>
      </c>
      <c r="B44" s="39">
        <v>1</v>
      </c>
      <c r="C44" s="39">
        <v>1.25</v>
      </c>
      <c r="D44" s="39">
        <v>0</v>
      </c>
      <c r="E44" s="39">
        <v>1</v>
      </c>
      <c r="F44" s="39">
        <v>0</v>
      </c>
      <c r="G44" s="39">
        <v>0</v>
      </c>
      <c r="H44" s="40">
        <f t="shared" ref="H44:H52" si="2">AVERAGE(21.6,12,10,13.1)</f>
        <v>14.175000000000001</v>
      </c>
      <c r="I44" s="41">
        <f t="shared" ref="I44:I52" si="3">AVERAGE(0.54,1.5,1.5,0.86)</f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952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0.95</v>
      </c>
      <c r="AA44" s="4" t="s">
        <v>993</v>
      </c>
      <c r="AB44" s="4" t="s">
        <v>999</v>
      </c>
      <c r="AC44" s="4" t="s">
        <v>1108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1016</v>
      </c>
      <c r="AK44" s="4">
        <v>0</v>
      </c>
      <c r="AL44" s="4" t="s">
        <v>1027</v>
      </c>
      <c r="AM44" s="4">
        <v>0</v>
      </c>
      <c r="AN44" s="4">
        <v>0</v>
      </c>
      <c r="AO44" s="4">
        <v>0</v>
      </c>
      <c r="AP44" s="4">
        <v>0.5</v>
      </c>
      <c r="AQ44" s="4">
        <v>1</v>
      </c>
      <c r="AR44" s="4" t="s">
        <v>685</v>
      </c>
      <c r="AS44" s="4">
        <v>0</v>
      </c>
      <c r="AT44" s="4">
        <v>0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0.7</v>
      </c>
      <c r="BH44" s="39">
        <v>0</v>
      </c>
      <c r="BI44" s="39">
        <v>0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s="16" customFormat="1" x14ac:dyDescent="0.25">
      <c r="A45" s="16" t="s">
        <v>1028</v>
      </c>
      <c r="B45" s="39">
        <v>0</v>
      </c>
      <c r="C45" s="39">
        <v>1.25</v>
      </c>
      <c r="D45" s="39">
        <v>0</v>
      </c>
      <c r="E45" s="39">
        <v>1</v>
      </c>
      <c r="F45" s="39">
        <v>0</v>
      </c>
      <c r="G45" s="39">
        <v>0</v>
      </c>
      <c r="H45" s="40">
        <f t="shared" si="2"/>
        <v>14.175000000000001</v>
      </c>
      <c r="I45" s="41">
        <f t="shared" si="3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952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1</v>
      </c>
      <c r="AA45" s="4" t="s">
        <v>993</v>
      </c>
      <c r="AB45" s="4" t="s">
        <v>999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</v>
      </c>
      <c r="AJ45" s="4" t="s">
        <v>1016</v>
      </c>
      <c r="AK45" s="4">
        <v>0</v>
      </c>
      <c r="AL45" s="4" t="s">
        <v>1027</v>
      </c>
      <c r="AM45" s="4">
        <v>0</v>
      </c>
      <c r="AN45" s="4">
        <v>0</v>
      </c>
      <c r="AO45" s="4">
        <v>0</v>
      </c>
      <c r="AP45" s="4">
        <v>0.5</v>
      </c>
      <c r="AQ45" s="4">
        <v>1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0.7</v>
      </c>
      <c r="BH45" s="39">
        <v>0</v>
      </c>
      <c r="BI45" s="39">
        <v>0</v>
      </c>
      <c r="BJ45" s="39" t="s">
        <v>1127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1104</v>
      </c>
      <c r="B46" s="39">
        <v>0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2"/>
        <v>14.175000000000001</v>
      </c>
      <c r="I46" s="41">
        <f t="shared" si="3"/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1029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2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0.1</v>
      </c>
      <c r="BI46" s="39">
        <v>2.5000000000000001E-2</v>
      </c>
      <c r="BJ46" s="39" t="s">
        <v>1127</v>
      </c>
      <c r="BK46" s="39">
        <v>0</v>
      </c>
      <c r="BL46" s="39">
        <v>0</v>
      </c>
      <c r="BM46" s="39">
        <v>0</v>
      </c>
    </row>
    <row r="47" spans="1:65" x14ac:dyDescent="0.25">
      <c r="A47" t="s">
        <v>123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1029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1051</v>
      </c>
      <c r="B48" s="39">
        <v>0</v>
      </c>
      <c r="C48" s="39">
        <v>0.85</v>
      </c>
      <c r="D48" s="39">
        <v>1</v>
      </c>
      <c r="E48" s="39">
        <v>5</v>
      </c>
      <c r="F48" s="39">
        <v>1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45</v>
      </c>
      <c r="O48" s="4">
        <v>0</v>
      </c>
      <c r="P48" s="4">
        <v>1</v>
      </c>
      <c r="Q48" s="4">
        <v>1</v>
      </c>
      <c r="R48" s="4" t="s">
        <v>968</v>
      </c>
      <c r="S48" s="4" t="s">
        <v>971</v>
      </c>
      <c r="T48" s="4" t="s">
        <v>969</v>
      </c>
      <c r="U48" s="4">
        <v>3</v>
      </c>
      <c r="V48" s="4">
        <v>0.85</v>
      </c>
      <c r="W48" s="4" t="s">
        <v>983</v>
      </c>
      <c r="X48" s="4" t="s">
        <v>984</v>
      </c>
      <c r="Y48" s="4" t="s">
        <v>966</v>
      </c>
      <c r="Z48" s="4" t="s">
        <v>45</v>
      </c>
      <c r="AA48" s="4" t="s">
        <v>45</v>
      </c>
      <c r="AB48" s="4" t="s">
        <v>45</v>
      </c>
      <c r="AC48" s="4" t="s">
        <v>45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1031</v>
      </c>
      <c r="AM48" s="4">
        <v>0</v>
      </c>
      <c r="AN48" s="4">
        <v>2.5000000000000001E-2</v>
      </c>
      <c r="AO48" s="4">
        <v>0.1</v>
      </c>
      <c r="AP48" s="4" t="s">
        <v>45</v>
      </c>
      <c r="AQ48" s="4">
        <v>0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1</v>
      </c>
      <c r="BG48" s="39">
        <v>0.5</v>
      </c>
      <c r="BH48" s="39">
        <v>0</v>
      </c>
      <c r="BI48" s="39">
        <v>0</v>
      </c>
      <c r="BJ48" s="39" t="s">
        <v>1125</v>
      </c>
      <c r="BK48" s="39">
        <v>0</v>
      </c>
      <c r="BL48" s="39">
        <v>0</v>
      </c>
      <c r="BM48" s="39">
        <v>0</v>
      </c>
    </row>
    <row r="49" spans="1:65" x14ac:dyDescent="0.25">
      <c r="A49" t="s">
        <v>1056</v>
      </c>
      <c r="B49" s="39">
        <v>0</v>
      </c>
      <c r="C49" s="39">
        <v>0.85</v>
      </c>
      <c r="D49" s="39">
        <v>1</v>
      </c>
      <c r="E49" s="39">
        <v>5</v>
      </c>
      <c r="F49" s="39">
        <v>1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45</v>
      </c>
      <c r="O49" s="4">
        <v>0</v>
      </c>
      <c r="P49" s="4">
        <v>1</v>
      </c>
      <c r="Q49" s="4">
        <v>1</v>
      </c>
      <c r="R49" s="4" t="s">
        <v>968</v>
      </c>
      <c r="S49" s="4" t="s">
        <v>971</v>
      </c>
      <c r="T49" s="4" t="s">
        <v>969</v>
      </c>
      <c r="U49" s="4">
        <v>3</v>
      </c>
      <c r="V49" s="4">
        <v>0.85</v>
      </c>
      <c r="W49" s="4" t="s">
        <v>983</v>
      </c>
      <c r="X49" s="4" t="s">
        <v>984</v>
      </c>
      <c r="Y49" s="4" t="s">
        <v>966</v>
      </c>
      <c r="Z49" s="4" t="s">
        <v>45</v>
      </c>
      <c r="AA49" s="4" t="s">
        <v>45</v>
      </c>
      <c r="AB49" s="4" t="s">
        <v>45</v>
      </c>
      <c r="AC49" s="4" t="s">
        <v>45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1031</v>
      </c>
      <c r="AM49" s="4">
        <v>0</v>
      </c>
      <c r="AN49" s="4">
        <v>0</v>
      </c>
      <c r="AO49" s="4">
        <v>0</v>
      </c>
      <c r="AP49" s="4" t="s">
        <v>45</v>
      </c>
      <c r="AQ49" s="4">
        <v>0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1</v>
      </c>
      <c r="BG49" s="39">
        <v>0.5</v>
      </c>
      <c r="BH49" s="39">
        <v>0</v>
      </c>
      <c r="BI49" s="39">
        <v>0</v>
      </c>
      <c r="BJ49" s="39" t="s">
        <v>1125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1054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969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1</v>
      </c>
      <c r="AL50" s="4" t="s">
        <v>1031</v>
      </c>
      <c r="AM50" s="4">
        <v>0</v>
      </c>
      <c r="AN50" s="4">
        <v>0</v>
      </c>
      <c r="AO50" s="4">
        <v>0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1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1055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985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1</v>
      </c>
      <c r="AL51" s="4" t="s">
        <v>1031</v>
      </c>
      <c r="AM51" s="4">
        <v>0</v>
      </c>
      <c r="AN51" s="4">
        <v>0</v>
      </c>
      <c r="AO51" s="4">
        <v>0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140</v>
      </c>
      <c r="B52" s="39">
        <v>1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1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1131</v>
      </c>
      <c r="BK52" s="39">
        <v>0</v>
      </c>
      <c r="BL52" s="39">
        <v>0</v>
      </c>
      <c r="BM52" s="39">
        <v>0</v>
      </c>
    </row>
    <row r="53" spans="1:65" x14ac:dyDescent="0.25">
      <c r="A53" t="s">
        <v>171</v>
      </c>
      <c r="B53" s="39">
        <v>1</v>
      </c>
      <c r="C53" s="39">
        <v>1</v>
      </c>
      <c r="D53" s="39">
        <v>0</v>
      </c>
      <c r="E53" s="39">
        <v>5</v>
      </c>
      <c r="F53" s="39">
        <v>0</v>
      </c>
      <c r="G53" s="39">
        <v>0</v>
      </c>
      <c r="H53" s="40">
        <f>AVERAGE(65.2,57.2,43.4)</f>
        <v>55.266666666666673</v>
      </c>
      <c r="I53" s="41">
        <f>AVERAGE(31.29%,20.98%,15.21%)</f>
        <v>0.22493333333333335</v>
      </c>
      <c r="J53" s="39">
        <v>1.86</v>
      </c>
      <c r="K53" s="39" t="s">
        <v>942</v>
      </c>
      <c r="L53" s="39">
        <v>1</v>
      </c>
      <c r="M53" s="39">
        <v>0</v>
      </c>
      <c r="N53" s="4" t="s">
        <v>955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0.85</v>
      </c>
      <c r="AA53" s="4" t="s">
        <v>993</v>
      </c>
      <c r="AB53" s="4" t="s">
        <v>996</v>
      </c>
      <c r="AC53" s="4" t="s">
        <v>1108</v>
      </c>
      <c r="AD53" s="39">
        <v>1</v>
      </c>
      <c r="AE53" s="4">
        <v>0.65</v>
      </c>
      <c r="AF53" s="4" t="s">
        <v>1007</v>
      </c>
      <c r="AG53" s="4" t="s">
        <v>1013</v>
      </c>
      <c r="AH53" s="4" t="s">
        <v>966</v>
      </c>
      <c r="AI53" s="4">
        <v>1.2</v>
      </c>
      <c r="AJ53" s="4" t="s">
        <v>1016</v>
      </c>
      <c r="AK53" s="4">
        <v>0</v>
      </c>
      <c r="AL53" s="4" t="s">
        <v>1029</v>
      </c>
      <c r="AM53" s="4">
        <v>0</v>
      </c>
      <c r="AN53" s="4">
        <v>0.05</v>
      </c>
      <c r="AO53" s="4">
        <v>0.3</v>
      </c>
      <c r="AP53" s="4" t="s">
        <v>45</v>
      </c>
      <c r="AQ53" s="4">
        <v>0</v>
      </c>
      <c r="AR53" s="4" t="s">
        <v>1059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1</v>
      </c>
      <c r="BD53" s="4">
        <v>0</v>
      </c>
      <c r="BE53" s="4">
        <v>0</v>
      </c>
      <c r="BF53" s="4">
        <v>1</v>
      </c>
      <c r="BG53" s="39">
        <v>0.25</v>
      </c>
      <c r="BH53" s="39">
        <v>0.1</v>
      </c>
      <c r="BI53" s="39">
        <v>2.5000000000000001E-2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x14ac:dyDescent="0.25">
      <c r="A54" t="s">
        <v>672</v>
      </c>
      <c r="B54" s="39">
        <v>0</v>
      </c>
      <c r="C54" s="39">
        <v>1</v>
      </c>
      <c r="D54" s="39">
        <v>0</v>
      </c>
      <c r="E54" s="39">
        <v>11</v>
      </c>
      <c r="F54" s="39">
        <v>0</v>
      </c>
      <c r="G54" s="39">
        <v>0</v>
      </c>
      <c r="H54" s="40">
        <v>267</v>
      </c>
      <c r="I54" s="41">
        <f>H54/1000/54</f>
        <v>4.9444444444444449E-3</v>
      </c>
      <c r="J54" s="39">
        <v>2.7</v>
      </c>
      <c r="K54" s="39">
        <v>0.32</v>
      </c>
      <c r="L54" s="39">
        <v>1</v>
      </c>
      <c r="M54" s="39">
        <v>0</v>
      </c>
      <c r="N54" s="4" t="s">
        <v>956</v>
      </c>
      <c r="O54" s="4">
        <v>0</v>
      </c>
      <c r="P54" s="4">
        <v>0</v>
      </c>
      <c r="Q54" s="4" t="s">
        <v>45</v>
      </c>
      <c r="R54" s="4" t="s">
        <v>45</v>
      </c>
      <c r="S54" s="4" t="s">
        <v>45</v>
      </c>
      <c r="T54" s="4" t="s">
        <v>45</v>
      </c>
      <c r="U54" s="4" t="s">
        <v>45</v>
      </c>
      <c r="V54" s="4" t="s">
        <v>45</v>
      </c>
      <c r="W54" s="4" t="s">
        <v>45</v>
      </c>
      <c r="X54" s="4" t="s">
        <v>45</v>
      </c>
      <c r="Y54" s="4" t="s">
        <v>45</v>
      </c>
      <c r="Z54" s="4">
        <v>1</v>
      </c>
      <c r="AA54" s="4" t="s">
        <v>992</v>
      </c>
      <c r="AB54" s="4" t="s">
        <v>1000</v>
      </c>
      <c r="AC54" s="4" t="s">
        <v>1108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1019</v>
      </c>
      <c r="AK54" s="4">
        <v>0</v>
      </c>
      <c r="AL54" s="4" t="s">
        <v>672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1</v>
      </c>
      <c r="BD54" s="4">
        <v>0</v>
      </c>
      <c r="BE54" s="4">
        <v>0</v>
      </c>
      <c r="BF54" s="4">
        <v>0</v>
      </c>
      <c r="BG54" s="39">
        <v>0.25</v>
      </c>
      <c r="BH54" s="39">
        <v>0</v>
      </c>
      <c r="BI54" s="39">
        <v>0</v>
      </c>
      <c r="BJ54" s="39" t="s">
        <v>1127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1110</v>
      </c>
      <c r="B55" s="39">
        <v>2</v>
      </c>
      <c r="C55" s="39">
        <v>1.5</v>
      </c>
      <c r="D55" s="39">
        <v>0</v>
      </c>
      <c r="E55" s="39">
        <v>1</v>
      </c>
      <c r="F55" s="39">
        <v>0</v>
      </c>
      <c r="G55" s="39">
        <v>0</v>
      </c>
      <c r="H55" s="40">
        <v>21</v>
      </c>
      <c r="I55" s="41">
        <v>0.85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174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0.8</v>
      </c>
      <c r="AA55" s="4" t="s">
        <v>992</v>
      </c>
      <c r="AB55" s="4" t="s">
        <v>1001</v>
      </c>
      <c r="AC55" s="4" t="s">
        <v>1109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1017</v>
      </c>
      <c r="AK55" s="4">
        <v>0</v>
      </c>
      <c r="AL55" s="4" t="s">
        <v>174</v>
      </c>
      <c r="AM55" s="4">
        <v>0</v>
      </c>
      <c r="AN55" s="4">
        <v>0.1</v>
      </c>
      <c r="AO55" s="4">
        <v>0.3</v>
      </c>
      <c r="AP55" s="4" t="s">
        <v>45</v>
      </c>
      <c r="AQ55" s="4">
        <v>0</v>
      </c>
      <c r="AR55" s="4" t="s">
        <v>685</v>
      </c>
      <c r="AS55" s="4">
        <v>1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1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39">
        <v>0.5</v>
      </c>
      <c r="BH55" s="39">
        <v>0.1</v>
      </c>
      <c r="BI55" s="39">
        <v>2.5000000000000001E-2</v>
      </c>
      <c r="BJ55" s="39" t="s">
        <v>1132</v>
      </c>
      <c r="BK55" s="39">
        <v>0</v>
      </c>
      <c r="BL55" s="39">
        <v>0</v>
      </c>
      <c r="BM55" s="39">
        <v>0</v>
      </c>
    </row>
    <row r="56" spans="1:65" x14ac:dyDescent="0.25">
      <c r="A56" t="s">
        <v>174</v>
      </c>
      <c r="B56" s="39">
        <v>2</v>
      </c>
      <c r="C56" s="39">
        <v>1.5</v>
      </c>
      <c r="D56" s="39">
        <v>0</v>
      </c>
      <c r="E56" s="39">
        <v>1</v>
      </c>
      <c r="F56" s="39">
        <v>0</v>
      </c>
      <c r="G56" s="39">
        <v>0</v>
      </c>
      <c r="H56" s="40">
        <v>21</v>
      </c>
      <c r="I56" s="41">
        <v>0.85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174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</v>
      </c>
      <c r="AA56" s="4" t="s">
        <v>992</v>
      </c>
      <c r="AB56" s="4" t="s">
        <v>1001</v>
      </c>
      <c r="AC56" s="4" t="s">
        <v>1108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1017</v>
      </c>
      <c r="AK56" s="4">
        <v>0</v>
      </c>
      <c r="AL56" s="4" t="s">
        <v>174</v>
      </c>
      <c r="AM56" s="4">
        <v>0</v>
      </c>
      <c r="AN56" s="4">
        <v>0.1</v>
      </c>
      <c r="AO56" s="4">
        <v>0.3</v>
      </c>
      <c r="AP56" s="4" t="s">
        <v>45</v>
      </c>
      <c r="AQ56" s="4">
        <v>0</v>
      </c>
      <c r="AR56" s="4" t="s">
        <v>685</v>
      </c>
      <c r="AS56" s="4">
        <v>1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1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39">
        <v>0.5</v>
      </c>
      <c r="BH56" s="39">
        <v>0.1</v>
      </c>
      <c r="BI56" s="39">
        <v>2.5000000000000001E-2</v>
      </c>
      <c r="BJ56" s="39" t="s">
        <v>1132</v>
      </c>
      <c r="BK56" s="39">
        <v>0</v>
      </c>
      <c r="BL56" s="39">
        <v>0</v>
      </c>
      <c r="BM56" s="39">
        <v>0</v>
      </c>
    </row>
    <row r="57" spans="1:65" x14ac:dyDescent="0.25">
      <c r="A57" t="s">
        <v>117</v>
      </c>
      <c r="B57" s="39">
        <v>2</v>
      </c>
      <c r="C57" s="39">
        <v>2</v>
      </c>
      <c r="D57" s="39">
        <v>0</v>
      </c>
      <c r="E57" s="39">
        <v>5</v>
      </c>
      <c r="F57" s="39">
        <v>2</v>
      </c>
      <c r="G57" s="39">
        <v>0</v>
      </c>
      <c r="H57" s="40">
        <v>200</v>
      </c>
      <c r="I57" s="41">
        <v>0.2</v>
      </c>
      <c r="J57" s="39">
        <v>1.0900000000000001</v>
      </c>
      <c r="K57" s="39" t="s">
        <v>942</v>
      </c>
      <c r="L57" s="39">
        <v>1</v>
      </c>
      <c r="M57" s="39">
        <v>0</v>
      </c>
      <c r="N57" s="4" t="s">
        <v>45</v>
      </c>
      <c r="O57" s="4">
        <v>0</v>
      </c>
      <c r="P57" s="4">
        <v>1</v>
      </c>
      <c r="Q57" s="4">
        <v>0.9</v>
      </c>
      <c r="R57" s="4" t="s">
        <v>968</v>
      </c>
      <c r="S57" s="4" t="s">
        <v>970</v>
      </c>
      <c r="T57" s="4" t="s">
        <v>969</v>
      </c>
      <c r="U57" s="4">
        <v>2</v>
      </c>
      <c r="V57" s="4">
        <v>0.6</v>
      </c>
      <c r="W57" s="4" t="s">
        <v>983</v>
      </c>
      <c r="X57" s="4" t="s">
        <v>984</v>
      </c>
      <c r="Y57" s="4" t="s">
        <v>966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1.5</v>
      </c>
      <c r="AJ57" s="4" t="s">
        <v>1016</v>
      </c>
      <c r="AK57" s="4">
        <v>0</v>
      </c>
      <c r="AL57" s="4" t="s">
        <v>1034</v>
      </c>
      <c r="AM57" s="4">
        <v>0</v>
      </c>
      <c r="AN57" s="4">
        <v>0</v>
      </c>
      <c r="AO57" s="4">
        <v>1</v>
      </c>
      <c r="AP57" s="4" t="s">
        <v>45</v>
      </c>
      <c r="AQ57" s="4">
        <v>0</v>
      </c>
      <c r="AR57" s="4" t="s">
        <v>1057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0</v>
      </c>
      <c r="BG57" s="39">
        <v>0.7</v>
      </c>
      <c r="BH57" s="39">
        <v>0.15</v>
      </c>
      <c r="BI57" s="39">
        <v>0.05</v>
      </c>
      <c r="BJ57" s="39" t="s">
        <v>1131</v>
      </c>
      <c r="BK57" s="39">
        <v>0</v>
      </c>
      <c r="BL57" s="39">
        <v>1</v>
      </c>
      <c r="BM57" s="39">
        <v>0</v>
      </c>
    </row>
    <row r="58" spans="1:65" x14ac:dyDescent="0.25">
      <c r="A58" t="s">
        <v>177</v>
      </c>
      <c r="B58" s="39">
        <v>1</v>
      </c>
      <c r="C58" s="39">
        <v>1.3</v>
      </c>
      <c r="D58" s="39">
        <v>1</v>
      </c>
      <c r="E58" s="39">
        <v>1</v>
      </c>
      <c r="F58" s="39">
        <v>0</v>
      </c>
      <c r="G58" s="39">
        <v>0</v>
      </c>
      <c r="H58" s="40">
        <v>165.1</v>
      </c>
      <c r="I58" s="41">
        <f>H58/AVERAGE(985,530,315,500,256,230)</f>
        <v>0.35177556818181821</v>
      </c>
      <c r="J58" s="39">
        <f>AVERAGE(1.52,1.47,1)</f>
        <v>1.33</v>
      </c>
      <c r="K58" s="39">
        <v>0.32</v>
      </c>
      <c r="L58" s="39">
        <v>1</v>
      </c>
      <c r="M58" s="39">
        <v>0</v>
      </c>
      <c r="N58" s="4" t="s">
        <v>956</v>
      </c>
      <c r="O58" s="4">
        <v>1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991</v>
      </c>
      <c r="AB58" s="4" t="s">
        <v>995</v>
      </c>
      <c r="AC58" s="4" t="s">
        <v>1108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1133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685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39">
        <v>0.25</v>
      </c>
      <c r="BH58" s="39">
        <v>0</v>
      </c>
      <c r="BI58" s="39">
        <v>0</v>
      </c>
      <c r="BJ58" s="39" t="s">
        <v>1127</v>
      </c>
      <c r="BK58" s="39">
        <v>0</v>
      </c>
      <c r="BL58" s="39">
        <v>0</v>
      </c>
      <c r="BM58" s="39">
        <v>0</v>
      </c>
    </row>
    <row r="59" spans="1:65" x14ac:dyDescent="0.25">
      <c r="A59" t="s">
        <v>181</v>
      </c>
      <c r="B59" s="39">
        <v>1</v>
      </c>
      <c r="C59" s="39">
        <v>1.1000000000000001</v>
      </c>
      <c r="D59" s="39">
        <v>0</v>
      </c>
      <c r="E59" s="39">
        <v>1</v>
      </c>
      <c r="F59" s="39">
        <v>1</v>
      </c>
      <c r="G59" s="39">
        <v>0</v>
      </c>
      <c r="H59" s="40">
        <f>MAX(21.6,12,10,13.1)</f>
        <v>21.6</v>
      </c>
      <c r="I59" s="41">
        <f>MAX(0.54,1.5,1.5,0.86)</f>
        <v>1.5</v>
      </c>
      <c r="J59" s="39">
        <v>1.0900000000000001</v>
      </c>
      <c r="K59" s="42">
        <f>AVERAGE(0.13,0.106,0.134,0.129)</f>
        <v>0.12475</v>
      </c>
      <c r="L59" s="39">
        <v>0</v>
      </c>
      <c r="M59" s="39">
        <v>0</v>
      </c>
      <c r="N59" s="4" t="s">
        <v>953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0.85</v>
      </c>
      <c r="AA59" s="4" t="s">
        <v>993</v>
      </c>
      <c r="AB59" s="4" t="s">
        <v>997</v>
      </c>
      <c r="AC59" s="4" t="s">
        <v>1108</v>
      </c>
      <c r="AD59" s="39">
        <v>1</v>
      </c>
      <c r="AE59" s="4">
        <v>0.65</v>
      </c>
      <c r="AF59" s="4" t="s">
        <v>1007</v>
      </c>
      <c r="AG59" s="4" t="s">
        <v>1013</v>
      </c>
      <c r="AH59" s="4" t="s">
        <v>966</v>
      </c>
      <c r="AI59" s="4">
        <v>1.2</v>
      </c>
      <c r="AJ59" s="4" t="s">
        <v>1016</v>
      </c>
      <c r="AK59" s="4">
        <v>0</v>
      </c>
      <c r="AL59" s="4" t="s">
        <v>1027</v>
      </c>
      <c r="AM59" s="4">
        <v>1</v>
      </c>
      <c r="AN59" s="4">
        <v>0.1</v>
      </c>
      <c r="AO59" s="4">
        <v>0.3</v>
      </c>
      <c r="AP59" s="4">
        <v>0.5</v>
      </c>
      <c r="AQ59" s="4">
        <v>0</v>
      </c>
      <c r="AR59" s="4" t="s">
        <v>1057</v>
      </c>
      <c r="AS59" s="4">
        <v>1</v>
      </c>
      <c r="AT59" s="4">
        <v>1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2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0</v>
      </c>
      <c r="BG59" s="39">
        <v>0.7</v>
      </c>
      <c r="BH59" s="39">
        <v>0.15</v>
      </c>
      <c r="BI59" s="39">
        <v>2.5000000000000001E-2</v>
      </c>
      <c r="BJ59" s="39" t="s">
        <v>1125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1026</v>
      </c>
      <c r="B60" s="39">
        <v>1</v>
      </c>
      <c r="C60" s="39">
        <v>1.1000000000000001</v>
      </c>
      <c r="D60" s="39">
        <v>0</v>
      </c>
      <c r="E60" s="39">
        <v>1</v>
      </c>
      <c r="F60" s="39">
        <v>1</v>
      </c>
      <c r="G60" s="39">
        <v>0</v>
      </c>
      <c r="H60" s="40">
        <f>MAX(21.6,12,10,13.1)</f>
        <v>21.6</v>
      </c>
      <c r="I60" s="41">
        <f>MAX(0.54,1.5,1.5,0.86)</f>
        <v>1.5</v>
      </c>
      <c r="J60" s="39">
        <v>1.0900000000000001</v>
      </c>
      <c r="K60" s="42">
        <f>AVERAGE(0.13,0.106,0.134,0.129)</f>
        <v>0.12475</v>
      </c>
      <c r="L60" s="39">
        <v>0</v>
      </c>
      <c r="M60" s="39">
        <v>0</v>
      </c>
      <c r="N60" s="4" t="s">
        <v>953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0.85</v>
      </c>
      <c r="AA60" s="4" t="s">
        <v>993</v>
      </c>
      <c r="AB60" s="4" t="s">
        <v>997</v>
      </c>
      <c r="AC60" s="4" t="s">
        <v>1108</v>
      </c>
      <c r="AD60" s="39">
        <v>1</v>
      </c>
      <c r="AE60" s="4">
        <v>0.65</v>
      </c>
      <c r="AF60" s="4" t="s">
        <v>1007</v>
      </c>
      <c r="AG60" s="4" t="s">
        <v>1013</v>
      </c>
      <c r="AH60" s="4" t="s">
        <v>966</v>
      </c>
      <c r="AI60" s="4">
        <v>1.2</v>
      </c>
      <c r="AJ60" s="4" t="s">
        <v>1016</v>
      </c>
      <c r="AK60" s="4">
        <v>0</v>
      </c>
      <c r="AL60" s="4" t="s">
        <v>1029</v>
      </c>
      <c r="AM60" s="4">
        <v>1</v>
      </c>
      <c r="AN60" s="4">
        <v>0</v>
      </c>
      <c r="AO60" s="4">
        <v>0</v>
      </c>
      <c r="AP60" s="4">
        <v>0.5</v>
      </c>
      <c r="AQ60" s="4">
        <v>0</v>
      </c>
      <c r="AR60" s="4" t="s">
        <v>1057</v>
      </c>
      <c r="AS60" s="4">
        <v>0</v>
      </c>
      <c r="AT60" s="4">
        <v>1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1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0</v>
      </c>
      <c r="BG60" s="39">
        <v>0.7</v>
      </c>
      <c r="BH60" s="39">
        <v>0.1</v>
      </c>
      <c r="BI60" s="39">
        <v>2.5000000000000001E-2</v>
      </c>
      <c r="BJ60" s="39" t="s">
        <v>1125</v>
      </c>
      <c r="BK60" s="39">
        <v>0</v>
      </c>
      <c r="BL60" s="39">
        <v>0</v>
      </c>
      <c r="BM60" s="39">
        <v>0</v>
      </c>
    </row>
    <row r="61" spans="1:65" s="16" customFormat="1" x14ac:dyDescent="0.25">
      <c r="A61" s="16" t="s">
        <v>1239</v>
      </c>
      <c r="B61" s="39">
        <v>2</v>
      </c>
      <c r="C61" s="4" t="s">
        <v>1228</v>
      </c>
      <c r="D61" s="39">
        <v>0</v>
      </c>
      <c r="E61" s="39">
        <v>1</v>
      </c>
      <c r="F61" s="39">
        <v>2</v>
      </c>
      <c r="G61" s="39">
        <v>2</v>
      </c>
      <c r="H61" s="40">
        <v>1833.2</v>
      </c>
      <c r="I61" s="41">
        <v>1.2031000000000001</v>
      </c>
      <c r="J61" s="39">
        <v>2.21</v>
      </c>
      <c r="K61" s="42">
        <v>0.27100000000000002</v>
      </c>
      <c r="L61" s="39">
        <v>1</v>
      </c>
      <c r="M61" s="39">
        <v>0</v>
      </c>
      <c r="N61" s="4" t="s">
        <v>951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0.5</v>
      </c>
      <c r="AA61" s="4" t="s">
        <v>993</v>
      </c>
      <c r="AB61" s="4" t="s">
        <v>997</v>
      </c>
      <c r="AC61" s="4" t="s">
        <v>1108</v>
      </c>
      <c r="AD61" s="39">
        <v>1</v>
      </c>
      <c r="AE61" s="4">
        <v>0.45</v>
      </c>
      <c r="AF61" s="4" t="s">
        <v>1007</v>
      </c>
      <c r="AG61" s="4" t="s">
        <v>1013</v>
      </c>
      <c r="AH61" s="4" t="s">
        <v>966</v>
      </c>
      <c r="AI61" s="4">
        <v>1.2</v>
      </c>
      <c r="AJ61" s="4" t="s">
        <v>1211</v>
      </c>
      <c r="AK61" s="4">
        <v>0</v>
      </c>
      <c r="AL61" s="4" t="s">
        <v>1240</v>
      </c>
      <c r="AM61" s="4">
        <v>0</v>
      </c>
      <c r="AN61" s="4">
        <v>1</v>
      </c>
      <c r="AO61" s="4">
        <v>1</v>
      </c>
      <c r="AP61" s="4" t="s">
        <v>45</v>
      </c>
      <c r="AQ61" s="4">
        <v>0</v>
      </c>
      <c r="AR61" s="4" t="s">
        <v>1059</v>
      </c>
      <c r="AS61" s="4">
        <v>1</v>
      </c>
      <c r="AT61" s="4">
        <v>1</v>
      </c>
      <c r="AU61" s="4">
        <v>0</v>
      </c>
      <c r="AV61" s="4" t="s">
        <v>45</v>
      </c>
      <c r="AW61" s="4">
        <v>1</v>
      </c>
      <c r="AX61" s="4">
        <v>1</v>
      </c>
      <c r="AY61" s="4">
        <v>1</v>
      </c>
      <c r="AZ61" s="4">
        <v>2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2.5</v>
      </c>
      <c r="BH61" s="39">
        <v>0.5</v>
      </c>
      <c r="BI61" s="39">
        <v>0.25</v>
      </c>
      <c r="BJ61" s="39" t="s">
        <v>1125</v>
      </c>
      <c r="BK61" s="39">
        <v>1</v>
      </c>
      <c r="BL61" s="39">
        <v>0</v>
      </c>
      <c r="BM61" s="39">
        <v>1</v>
      </c>
    </row>
    <row r="62" spans="1:65" s="16" customFormat="1" x14ac:dyDescent="0.25">
      <c r="A62" s="16" t="s">
        <v>1226</v>
      </c>
      <c r="B62" s="39">
        <v>2</v>
      </c>
      <c r="C62" s="4" t="s">
        <v>1228</v>
      </c>
      <c r="D62" s="39">
        <v>0</v>
      </c>
      <c r="E62" s="39">
        <v>5</v>
      </c>
      <c r="F62" s="39">
        <v>2</v>
      </c>
      <c r="G62" s="39">
        <v>2</v>
      </c>
      <c r="H62" s="40">
        <v>1833.2</v>
      </c>
      <c r="I62" s="41">
        <v>1.2031000000000001</v>
      </c>
      <c r="J62" s="39">
        <v>2.21</v>
      </c>
      <c r="K62" s="42">
        <v>0.27100000000000002</v>
      </c>
      <c r="L62" s="39">
        <v>1</v>
      </c>
      <c r="M62" s="39">
        <v>0</v>
      </c>
      <c r="N62" s="4" t="s">
        <v>45</v>
      </c>
      <c r="O62" s="4">
        <v>0</v>
      </c>
      <c r="P62" s="4">
        <v>1</v>
      </c>
      <c r="Q62" s="4">
        <v>0.8</v>
      </c>
      <c r="R62" s="4" t="s">
        <v>968</v>
      </c>
      <c r="S62" s="4" t="s">
        <v>971</v>
      </c>
      <c r="T62" s="4" t="s">
        <v>969</v>
      </c>
      <c r="U62" s="4">
        <v>2</v>
      </c>
      <c r="V62" s="4">
        <v>0.7</v>
      </c>
      <c r="W62" s="4" t="s">
        <v>983</v>
      </c>
      <c r="X62" s="4" t="s">
        <v>984</v>
      </c>
      <c r="Y62" s="4" t="s">
        <v>966</v>
      </c>
      <c r="Z62" s="4" t="s">
        <v>45</v>
      </c>
      <c r="AA62" s="4" t="s">
        <v>45</v>
      </c>
      <c r="AB62" s="4" t="s">
        <v>45</v>
      </c>
      <c r="AC62" s="4" t="s">
        <v>45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1211</v>
      </c>
      <c r="AK62" s="4">
        <v>0</v>
      </c>
      <c r="AL62" s="4" t="s">
        <v>1229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1</v>
      </c>
      <c r="AX62" s="4">
        <v>1</v>
      </c>
      <c r="AY62" s="4">
        <v>1</v>
      </c>
      <c r="AZ62" s="4">
        <v>2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1</v>
      </c>
      <c r="BH62" s="39">
        <v>0.25</v>
      </c>
      <c r="BI62" s="39">
        <v>0.1</v>
      </c>
      <c r="BJ62" s="39" t="s">
        <v>1125</v>
      </c>
      <c r="BK62" s="39">
        <v>0</v>
      </c>
      <c r="BL62" s="39">
        <v>1</v>
      </c>
      <c r="BM62" s="39">
        <v>0</v>
      </c>
    </row>
    <row r="63" spans="1:65" s="16" customFormat="1" x14ac:dyDescent="0.25">
      <c r="A63" s="16" t="s">
        <v>1230</v>
      </c>
      <c r="B63" s="39">
        <v>2</v>
      </c>
      <c r="C63" s="4" t="s">
        <v>1228</v>
      </c>
      <c r="D63" s="39">
        <v>0</v>
      </c>
      <c r="E63" s="39">
        <v>1</v>
      </c>
      <c r="F63" s="39">
        <v>2</v>
      </c>
      <c r="G63" s="39">
        <v>2</v>
      </c>
      <c r="H63" s="40">
        <v>1833.2</v>
      </c>
      <c r="I63" s="41">
        <v>1.2031000000000001</v>
      </c>
      <c r="J63" s="39">
        <v>2.21</v>
      </c>
      <c r="K63" s="42">
        <v>0.27100000000000002</v>
      </c>
      <c r="L63" s="39">
        <v>1</v>
      </c>
      <c r="M63" s="39">
        <v>1</v>
      </c>
      <c r="N63" s="4" t="s">
        <v>951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0.6</v>
      </c>
      <c r="AA63" s="4" t="s">
        <v>993</v>
      </c>
      <c r="AB63" s="4" t="s">
        <v>996</v>
      </c>
      <c r="AC63" s="4" t="s">
        <v>1108</v>
      </c>
      <c r="AD63" s="39">
        <v>1</v>
      </c>
      <c r="AE63" s="4">
        <v>0.45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1211</v>
      </c>
      <c r="AK63" s="4">
        <v>0</v>
      </c>
      <c r="AL63" s="4" t="s">
        <v>1227</v>
      </c>
      <c r="AM63" s="4">
        <v>0</v>
      </c>
      <c r="AN63" s="4">
        <v>1</v>
      </c>
      <c r="AO63" s="4">
        <v>1</v>
      </c>
      <c r="AP63" s="4" t="s">
        <v>45</v>
      </c>
      <c r="AQ63" s="4">
        <v>0</v>
      </c>
      <c r="AR63" s="4" t="s">
        <v>685</v>
      </c>
      <c r="AS63" s="4">
        <v>1</v>
      </c>
      <c r="AT63" s="4">
        <v>1</v>
      </c>
      <c r="AU63" s="4">
        <v>0</v>
      </c>
      <c r="AV63" s="4" t="s">
        <v>45</v>
      </c>
      <c r="AW63" s="4">
        <v>1</v>
      </c>
      <c r="AX63" s="4">
        <v>1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1</v>
      </c>
      <c r="BH63" s="39">
        <v>0.35</v>
      </c>
      <c r="BI63" s="39">
        <v>0.15</v>
      </c>
      <c r="BJ63" s="39" t="s">
        <v>1132</v>
      </c>
      <c r="BK63" s="39">
        <v>1</v>
      </c>
      <c r="BL63" s="39">
        <v>0</v>
      </c>
      <c r="BM63" s="39">
        <v>1</v>
      </c>
    </row>
    <row r="64" spans="1:65" s="16" customFormat="1" x14ac:dyDescent="0.25">
      <c r="A64" s="16" t="s">
        <v>1231</v>
      </c>
      <c r="B64" s="39">
        <v>2</v>
      </c>
      <c r="C64" s="4" t="s">
        <v>1228</v>
      </c>
      <c r="D64" s="39">
        <v>0</v>
      </c>
      <c r="E64" s="39">
        <v>5</v>
      </c>
      <c r="F64" s="39">
        <v>2</v>
      </c>
      <c r="G64" s="39">
        <v>2</v>
      </c>
      <c r="H64" s="40">
        <v>1833.2</v>
      </c>
      <c r="I64" s="41">
        <v>1.2031000000000001</v>
      </c>
      <c r="J64" s="39">
        <v>2.21</v>
      </c>
      <c r="K64" s="42">
        <v>0.27100000000000002</v>
      </c>
      <c r="L64" s="39">
        <v>1</v>
      </c>
      <c r="M64" s="39">
        <v>0</v>
      </c>
      <c r="N64" s="4" t="s">
        <v>951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</v>
      </c>
      <c r="AA64" s="4" t="s">
        <v>1234</v>
      </c>
      <c r="AB64" s="4" t="s">
        <v>1232</v>
      </c>
      <c r="AC64" s="4" t="s">
        <v>966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1211</v>
      </c>
      <c r="AK64" s="4">
        <v>0</v>
      </c>
      <c r="AL64" s="4" t="s">
        <v>1233</v>
      </c>
      <c r="AM64" s="4">
        <v>0</v>
      </c>
      <c r="AN64" s="4">
        <v>2.5000000000000001E-2</v>
      </c>
      <c r="AO64" s="4">
        <v>0.1</v>
      </c>
      <c r="AP64" s="4" t="s">
        <v>45</v>
      </c>
      <c r="AQ64" s="4">
        <v>0</v>
      </c>
      <c r="AR64" s="4" t="s">
        <v>685</v>
      </c>
      <c r="AS64" s="4">
        <v>0</v>
      </c>
      <c r="AT64" s="4">
        <v>0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1</v>
      </c>
      <c r="BH64" s="39">
        <v>0.25</v>
      </c>
      <c r="BI64" s="39">
        <v>0.1</v>
      </c>
      <c r="BJ64" s="39" t="s">
        <v>1127</v>
      </c>
      <c r="BK64" s="39">
        <v>0</v>
      </c>
      <c r="BL64" s="39">
        <v>1</v>
      </c>
      <c r="BM6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180"/>
  <sheetViews>
    <sheetView zoomScaleNormal="100" workbookViewId="0">
      <pane xSplit="1" topLeftCell="B1" activePane="topRight" state="frozen"/>
      <selection pane="topRight" activeCell="E148" sqref="E148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Groups!A59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IFERROR(AVERAGE(_xlfn.XLOOKUP(B2,Animals!B:B,Animals!N:N),_xlfn.XLOOKUP(B2,Animals!B:B,Animals!O:O)),0)</f>
        <v>0</v>
      </c>
      <c r="AT2" s="8">
        <f>MROUND(40*Animals!AO2*_xlfn.XLOOKUP(Animals!BA2,Leathers!$A$2:$A$100,Leathers!$B$2:$B$100,0)+(140*_xlfn.XLOOKUP(B2,Animals!B:B,Animals!AO:AO)*2),5)</f>
        <v>990</v>
      </c>
      <c r="AU2" s="8">
        <f>IFERROR(ROUND(SQRT(V2-1)*IF(_xlfn.XLOOKUP(E2,Groups!A:A,Groups!BF:BF)=0,2,1)*IF(_xlfn.XLOOKUP('Base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stats'!AY2,IF(OR(_xlfn.XLOOKUP(E2,Groups!A:A,Groups!BD:BD)=1,_xlfn.XLOOKUP(E2,Groups!A:A,Groups!U:U)=2),BA2,IF(_xlfn.XLOOKUP(B2,Animals!B:B,Animals!AO:AO)&gt;4,AVERAGE(BA2,BC2),BC2))))</f>
        <v>No</v>
      </c>
      <c r="BA2" s="8">
        <f t="shared" ref="BA2:BA33" si="5">(0.0392*C2^IF(OR(Y2="Herbivore",Y2="Dendrovore",Y2="OmnivoreRough"),0.889,0.966))*C2^-0.135</f>
        <v>4.6941011943922941</v>
      </c>
      <c r="BB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EXP(1.076*LN(AO2)-4.5397)*IF(_xlfn.XLOOKUP(E2,Groups!A:A,Groups!BC:BC)=1,1.25,IF(_xlfn.XLOOKUP(E2,Groups!A:A,Groups!BD:BD)=1,3.5,2.5))</f>
        <v>368.79822015740808</v>
      </c>
      <c r="BE2" s="8">
        <f>EXP(1.076*LN(AP2)-4.5397)*IF(_xlfn.XLOOKUP(E2,Groups!A:A,Groups!M:M)=1,0.8,IF(_xlfn.XLOOKUP(E2,Groups!A:A,Groups!BC:BC)=1,1.3,3))</f>
        <v>435.26315562346088</v>
      </c>
      <c r="BF2" s="8" t="str">
        <f>IF(W2="No","No",IF(_xlfn.XLOOKUP(E2,Groups!A:A,Groups!U:U)=1,'Base stats'!BG2,IF(OR(_xlfn.XLOOKUP(E2,Groups!A:A,Groups!BD:BD)=1,_xlfn.XLOOKUP(E2,Groups!A:A,Groups!U:U)=2),BD2,BE2))*1.2)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 t="shared" ref="BJ2:BJ33" si="6">IF(W2="No","No",ROUNDDOWN(SQRT((2*BF2)/AZ2),0))</f>
        <v>No</v>
      </c>
      <c r="BK2" s="8">
        <f t="shared" ref="BK2:BK33" si="7"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N2" s="8" t="str">
        <f>IF(W2="No","No",IF(_xlfn.XLOOKUP(E2,Groups!A:A,Groups!BD:BD)=1,(AL2*5%),EXP(0.7354*LN(C2)^0.4078)*2/IF(_xlfn.XLOOKUP(E2,Groups!A:A,Groups!BL:BL)=1,1000,100)))</f>
        <v>No</v>
      </c>
      <c r="BO2" s="8">
        <f>IF(BG2="No","No",IF(_xlfn.XLOOKUP(E2,Groups!A:A,Groups!BF:BF)=1,(0.0315*C2+2.1825)*2,(0.7354*C2^0.4078)*2)/IF(_xlfn.XLOOKUP(E2,Groups!A:A,Groups!BM:BM)=1,1000,100))</f>
        <v>0.15396773123122506</v>
      </c>
      <c r="BP2" s="8">
        <f t="shared" ref="BP2:BP33" si="8">BD2/(AL2*5%)</f>
        <v>0.15736073588464672</v>
      </c>
      <c r="BQ2" s="8">
        <f>IF(BM2="No","No",BE2/BM2)</f>
        <v>2826.9764848960012</v>
      </c>
      <c r="BR2" s="8" t="str">
        <f t="shared" ref="BR2:BR33" si="9"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Groups!A59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IFERROR(AVERAGE(_xlfn.XLOOKUP(B3,Animals!B:B,Animals!N:N),_xlfn.XLOOKUP(B3,Animals!B:B,Animals!O:O)),0)</f>
        <v>0</v>
      </c>
      <c r="AT3" s="8">
        <f>MROUND(40*Animals!AO3*_xlfn.XLOOKUP(Animals!BA3,Leathers!$A$2:$A$100,Leathers!$B$2:$B$100,0)+(140*_xlfn.XLOOKUP(B3,Animals!B:B,Animals!AO:AO)*2),5)</f>
        <v>880</v>
      </c>
      <c r="AU3" s="8">
        <f>IFERROR(ROUND(SQRT(V3-1)*IF(_xlfn.XLOOKUP(E3,Groups!A:A,Groups!BF:BF)=0,2,1)*IF(_xlfn.XLOOKUP('Base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stats'!AY3,IF(OR(_xlfn.XLOOKUP(E3,Groups!A:A,Groups!BD:BD)=1,_xlfn.XLOOKUP(E3,Groups!A:A,Groups!U:U)=2),BA3,IF(_xlfn.XLOOKUP(B3,Animals!B:B,Animals!AO:AO)&gt;4,AVERAGE(BA3,BC3),BC3))))</f>
        <v>No</v>
      </c>
      <c r="BA3" s="8">
        <f t="shared" si="5"/>
        <v>3.9232246249126477</v>
      </c>
      <c r="BB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EXP(1.076*LN(AO3)-4.5397)*IF(_xlfn.XLOOKUP(E3,Groups!A:A,Groups!BC:BC)=1,1.25,IF(_xlfn.XLOOKUP(E3,Groups!A:A,Groups!BD:BD)=1,3.5,2.5))</f>
        <v>303.09334256608031</v>
      </c>
      <c r="BE3" s="8">
        <f>EXP(1.076*LN(AP3)-4.5397)*IF(_xlfn.XLOOKUP(E3,Groups!A:A,Groups!M:M)=1,0.8,IF(_xlfn.XLOOKUP(E3,Groups!A:A,Groups!BC:BC)=1,1.3,3))</f>
        <v>362.06387124720493</v>
      </c>
      <c r="BF3" s="8" t="str">
        <f>IF(W3="No","No",IF(_xlfn.XLOOKUP(E3,Groups!A:A,Groups!U:U)=1,'Base stats'!BG3,IF(OR(_xlfn.XLOOKUP(E3,Groups!A:A,Groups!BD:BD)=1,_xlfn.XLOOKUP(E3,Groups!A:A,Groups!U:U)=2),BD3,BE3))*1.2)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10">ROUNDDOWN(SQRT((2*BD3)/BA3),0)</f>
        <v>12</v>
      </c>
      <c r="BI3" s="8">
        <f t="shared" ref="BI3:BI66" si="11">ROUNDDOWN(SQRT((2*BE3)/BB3),0)</f>
        <v>11</v>
      </c>
      <c r="BJ3" s="8" t="str">
        <f t="shared" si="6"/>
        <v>No</v>
      </c>
      <c r="BK3" s="8">
        <f t="shared" si="7"/>
        <v>11</v>
      </c>
      <c r="BL3" s="8">
        <f t="shared" ref="BL3:BL66" si="12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N3" s="8" t="str">
        <f>IF(W3="No","No",IF(_xlfn.XLOOKUP(E3,Groups!A:A,Groups!BD:BD)=1,(AL3*5%),EXP(0.7354*LN(C3)^0.4078)*2/IF(_xlfn.XLOOKUP(E3,Groups!A:A,Groups!BL:BL)=1,1000,100)))</f>
        <v>No</v>
      </c>
      <c r="BO3" s="8">
        <f>IF(BG3="No","No",IF(_xlfn.XLOOKUP(E3,Groups!A:A,Groups!BF:BF)=1,(0.0315*C3+2.1825)*2,(0.7354*C3^0.4078)*2)/IF(_xlfn.XLOOKUP(E3,Groups!A:A,Groups!BM:BM)=1,1000,100))</f>
        <v>0.14099281341876332</v>
      </c>
      <c r="BP3" s="8">
        <f t="shared" si="8"/>
        <v>0.14880715836559977</v>
      </c>
      <c r="BQ3" s="8">
        <f t="shared" ref="BQ3:BQ66" si="13">IF(BM3="No","No",BE3/BM3)</f>
        <v>2567.9597595647488</v>
      </c>
      <c r="BR3" s="8" t="str">
        <f t="shared" si="9"/>
        <v>No</v>
      </c>
      <c r="BS3" s="8">
        <f t="shared" ref="BS3:BS66" si="14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Groups!A60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IFERROR(AVERAGE(_xlfn.XLOOKUP(B4,Animals!B:B,Animals!N:N),_xlfn.XLOOKUP(B4,Animals!B:B,Animals!O:O)),0)</f>
        <v>0</v>
      </c>
      <c r="AT4" s="8">
        <f>MROUND(40*Animals!AO4*_xlfn.XLOOKUP(Animals!BA4,Leathers!$A$2:$A$100,Leathers!$B$2:$B$100,0)+(140*_xlfn.XLOOKUP(B4,Animals!B:B,Animals!AO:AO)*2),5)</f>
        <v>125</v>
      </c>
      <c r="AU4" s="8">
        <f>IFERROR(ROUND(SQRT(V4-1)*IF(_xlfn.XLOOKUP(E4,Groups!A:A,Groups!BF:BF)=0,2,1)*IF(_xlfn.XLOOKUP('Base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stats'!AY4,IF(OR(_xlfn.XLOOKUP(E4,Groups!A:A,Groups!BD:BD)=1,_xlfn.XLOOKUP(E4,Groups!A:A,Groups!U:U)=2),BA4,IF(_xlfn.XLOOKUP(B4,Animals!B:B,Animals!AO:AO)&gt;4,AVERAGE(BA4,BC4),BC4))))</f>
        <v>No</v>
      </c>
      <c r="BA4" s="8">
        <f t="shared" si="5"/>
        <v>0.17375197750865831</v>
      </c>
      <c r="BB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EXP(1.076*LN(AO4)-4.5397)*IF(_xlfn.XLOOKUP(E4,Groups!A:A,Groups!BC:BC)=1,1.25,IF(_xlfn.XLOOKUP(E4,Groups!A:A,Groups!BD:BD)=1,3.5,2.5))</f>
        <v>10.022292847033164</v>
      </c>
      <c r="BE4" s="8">
        <f>EXP(1.076*LN(AP4)-4.5397)*IF(_xlfn.XLOOKUP(E4,Groups!A:A,Groups!M:M)=1,0.8,IF(_xlfn.XLOOKUP(E4,Groups!A:A,Groups!BC:BC)=1,1.3,3))</f>
        <v>14.768033224201108</v>
      </c>
      <c r="BF4" s="8" t="str">
        <f>IF(W4="No","No",IF(_xlfn.XLOOKUP(E4,Groups!A:A,Groups!U:U)=1,'Base stats'!BG4,IF(OR(_xlfn.XLOOKUP(E4,Groups!A:A,Groups!BD:BD)=1,_xlfn.XLOOKUP(E4,Groups!A:A,Groups!U:U)=2),BD4,BE4))*1.2)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10"/>
        <v>10</v>
      </c>
      <c r="BI4" s="8">
        <f t="shared" si="11"/>
        <v>10</v>
      </c>
      <c r="BJ4" s="8" t="str">
        <f t="shared" si="6"/>
        <v>No</v>
      </c>
      <c r="BK4" s="8">
        <f t="shared" si="7"/>
        <v>7</v>
      </c>
      <c r="BL4" s="8">
        <f t="shared" si="12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N4" s="8" t="str">
        <f>IF(W4="No","No",IF(_xlfn.XLOOKUP(E4,Groups!A:A,Groups!BD:BD)=1,(AL4*5%),EXP(0.7354*LN(C4)^0.4078)*2/IF(_xlfn.XLOOKUP(E4,Groups!A:A,Groups!BL:BL)=1,1000,100)))</f>
        <v>No</v>
      </c>
      <c r="BO4" s="8">
        <f>IF(BG4="No","No",IF(_xlfn.XLOOKUP(E4,Groups!A:A,Groups!BF:BF)=1,(0.0315*C4+2.1825)*2,(0.7354*C4^0.4078)*2)/IF(_xlfn.XLOOKUP(E4,Groups!A:A,Groups!BM:BM)=1,1000,100))</f>
        <v>3.0541031512019721E-2</v>
      </c>
      <c r="BP4" s="8">
        <f t="shared" si="8"/>
        <v>5.6347647959220322E-2</v>
      </c>
      <c r="BQ4" s="8">
        <f t="shared" si="13"/>
        <v>483.54729663891686</v>
      </c>
      <c r="BR4" s="8" t="str">
        <f t="shared" si="9"/>
        <v>No</v>
      </c>
      <c r="BS4" s="8">
        <f t="shared" si="14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IFERROR(AVERAGE(_xlfn.XLOOKUP(B5,Animals!B:B,Animals!N:N),_xlfn.XLOOKUP(B5,Animals!B:B,Animals!O:O)),0)</f>
        <v>0</v>
      </c>
      <c r="AT5" s="8">
        <f>MROUND(40*Animals!AO5*_xlfn.XLOOKUP(Animals!BA5,Leathers!$A$2:$A$100,Leathers!$B$2:$B$100,0)+(140*_xlfn.XLOOKUP(B5,Animals!B:B,Animals!AO:AO)*2),5)</f>
        <v>460</v>
      </c>
      <c r="AU5" s="8">
        <f>IFERROR(ROUND(SQRT(V5-1)*IF(_xlfn.XLOOKUP(E5,Groups!A:A,Groups!BF:BF)=0,2,1)*IF(_xlfn.XLOOKUP('Base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stats'!AY5,IF(OR(_xlfn.XLOOKUP(E5,Groups!A:A,Groups!BD:BD)=1,_xlfn.XLOOKUP(E5,Groups!A:A,Groups!U:U)=2),BA5,IF(_xlfn.XLOOKUP(B5,Animals!B:B,Animals!AO:AO)&gt;4,AVERAGE(BA5,BC5),BC5))))</f>
        <v>No</v>
      </c>
      <c r="BA5" s="8">
        <f t="shared" si="5"/>
        <v>1.3660279738562071</v>
      </c>
      <c r="BB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EXP(1.076*LN(AO5)-4.5397)*IF(_xlfn.XLOOKUP(E5,Groups!A:A,Groups!BC:BC)=1,1.25,IF(_xlfn.XLOOKUP(E5,Groups!A:A,Groups!BD:BD)=1,3.5,2.5))</f>
        <v>142.13332778712689</v>
      </c>
      <c r="BE5" s="8">
        <f>EXP(1.076*LN(AP5)-4.5397)*IF(_xlfn.XLOOKUP(E5,Groups!A:A,Groups!M:M)=1,0.8,IF(_xlfn.XLOOKUP(E5,Groups!A:A,Groups!BC:BC)=1,1.3,3))</f>
        <v>177.88965958918951</v>
      </c>
      <c r="BF5" s="8" t="str">
        <f>IF(W5="No","No",IF(_xlfn.XLOOKUP(E5,Groups!A:A,Groups!U:U)=1,'Base stats'!BG5,IF(OR(_xlfn.XLOOKUP(E5,Groups!A:A,Groups!BD:BD)=1,_xlfn.XLOOKUP(E5,Groups!A:A,Groups!U:U)=2),BD5,BE5))*1.2)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10"/>
        <v>14</v>
      </c>
      <c r="BI5" s="8">
        <f t="shared" si="11"/>
        <v>8</v>
      </c>
      <c r="BJ5" s="8" t="str">
        <f t="shared" si="6"/>
        <v>No</v>
      </c>
      <c r="BK5" s="8">
        <f t="shared" si="7"/>
        <v>7</v>
      </c>
      <c r="BL5" s="8">
        <f t="shared" si="12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N5" s="8" t="str">
        <f>IF(W5="No","No",IF(_xlfn.XLOOKUP(E5,Groups!A:A,Groups!BD:BD)=1,(AL5*5%),EXP(0.7354*LN(C5)^0.4078)*2/IF(_xlfn.XLOOKUP(E5,Groups!A:A,Groups!BL:BL)=1,1000,100)))</f>
        <v>No</v>
      </c>
      <c r="BO5" s="8">
        <f>IF(BG5="No","No",IF(_xlfn.XLOOKUP(E5,Groups!A:A,Groups!BF:BF)=1,(0.0315*C5+2.1825)*2,(0.7354*C5^0.4078)*2)/IF(_xlfn.XLOOKUP(E5,Groups!A:A,Groups!BM:BM)=1,1000,100))</f>
        <v>0.10037749006033786</v>
      </c>
      <c r="BP5" s="8">
        <f t="shared" si="8"/>
        <v>0.11993418962330435</v>
      </c>
      <c r="BQ5" s="8">
        <f t="shared" si="13"/>
        <v>1772.2066917817765</v>
      </c>
      <c r="BR5" s="8" t="str">
        <f t="shared" si="9"/>
        <v>No</v>
      </c>
      <c r="BS5" s="8">
        <f t="shared" si="14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IFERROR(AVERAGE(_xlfn.XLOOKUP(B6,Animals!B:B,Animals!N:N),_xlfn.XLOOKUP(B6,Animals!B:B,Animals!O:O)),0)</f>
        <v>0</v>
      </c>
      <c r="AT6" s="8">
        <f>MROUND(40*Animals!AO6*_xlfn.XLOOKUP(Animals!BA6,Leathers!$A$2:$A$100,Leathers!$B$2:$B$100,0)+(140*_xlfn.XLOOKUP(B6,Animals!B:B,Animals!AO:AO)*2),5)</f>
        <v>280</v>
      </c>
      <c r="AU6" s="8">
        <f>IFERROR(ROUND(SQRT(V6-1)*IF(_xlfn.XLOOKUP(E6,Groups!A:A,Groups!BF:BF)=0,2,1)*IF(_xlfn.XLOOKUP('Base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stats'!AY6,IF(OR(_xlfn.XLOOKUP(E6,Groups!A:A,Groups!BD:BD)=1,_xlfn.XLOOKUP(E6,Groups!A:A,Groups!U:U)=2),BA6,IF(_xlfn.XLOOKUP(B6,Animals!B:B,Animals!AO:AO)&gt;4,AVERAGE(BA6,BC6),BC6))))</f>
        <v>No</v>
      </c>
      <c r="BA6" s="8">
        <f t="shared" si="5"/>
        <v>0.67990680055587938</v>
      </c>
      <c r="BB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EXP(1.076*LN(AO6)-4.5397)*IF(_xlfn.XLOOKUP(E6,Groups!A:A,Groups!BC:BC)=1,1.25,IF(_xlfn.XLOOKUP(E6,Groups!A:A,Groups!BD:BD)=1,3.5,2.5))</f>
        <v>61.296705303612796</v>
      </c>
      <c r="BE6" s="8">
        <f>EXP(1.076*LN(AP6)-4.5397)*IF(_xlfn.XLOOKUP(E6,Groups!A:A,Groups!M:M)=1,0.8,IF(_xlfn.XLOOKUP(E6,Groups!A:A,Groups!BC:BC)=1,1.3,3))</f>
        <v>80.7936741959725</v>
      </c>
      <c r="BF6" s="8" t="str">
        <f>IF(W6="No","No",IF(_xlfn.XLOOKUP(E6,Groups!A:A,Groups!U:U)=1,'Base stats'!BG6,IF(OR(_xlfn.XLOOKUP(E6,Groups!A:A,Groups!BD:BD)=1,_xlfn.XLOOKUP(E6,Groups!A:A,Groups!U:U)=2),BD6,BE6))*1.2)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10"/>
        <v>13</v>
      </c>
      <c r="BI6" s="8">
        <f t="shared" si="11"/>
        <v>8</v>
      </c>
      <c r="BJ6" s="8" t="str">
        <f t="shared" si="6"/>
        <v>No</v>
      </c>
      <c r="BK6" s="8">
        <f t="shared" si="7"/>
        <v>7</v>
      </c>
      <c r="BL6" s="8">
        <f t="shared" si="12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N6" s="8" t="str">
        <f>IF(W6="No","No",IF(_xlfn.XLOOKUP(E6,Groups!A:A,Groups!BD:BD)=1,(AL6*5%),EXP(0.7354*LN(C6)^0.4078)*2/IF(_xlfn.XLOOKUP(E6,Groups!A:A,Groups!BL:BL)=1,1000,100)))</f>
        <v>No</v>
      </c>
      <c r="BO6" s="8">
        <f>IF(BG6="No","No",IF(_xlfn.XLOOKUP(E6,Groups!A:A,Groups!BF:BF)=1,(0.0315*C6+2.1825)*2,(0.7354*C6^0.4078)*2)/IF(_xlfn.XLOOKUP(E6,Groups!A:A,Groups!BM:BM)=1,1000,100))</f>
        <v>6.8826173140535019E-2</v>
      </c>
      <c r="BP6" s="8">
        <f t="shared" si="8"/>
        <v>9.4384332546908756E-2</v>
      </c>
      <c r="BQ6" s="8">
        <f t="shared" si="13"/>
        <v>1173.8800881897246</v>
      </c>
      <c r="BR6" s="8" t="str">
        <f t="shared" si="9"/>
        <v>No</v>
      </c>
      <c r="BS6" s="8">
        <f t="shared" si="14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IFERROR(AVERAGE(_xlfn.XLOOKUP(B7,Animals!B:B,Animals!N:N),_xlfn.XLOOKUP(B7,Animals!B:B,Animals!O:O)),0)</f>
        <v>0</v>
      </c>
      <c r="AT7" s="8">
        <f>MROUND(40*Animals!AO7*_xlfn.XLOOKUP(Animals!BA7,Leathers!$A$2:$A$100,Leathers!$B$2:$B$100,0)+(140*_xlfn.XLOOKUP(B7,Animals!B:B,Animals!AO:AO)*2),5)</f>
        <v>265</v>
      </c>
      <c r="AU7" s="8">
        <f>IFERROR(ROUND(SQRT(V7-1)*IF(_xlfn.XLOOKUP(E7,Groups!A:A,Groups!BF:BF)=0,2,1)*IF(_xlfn.XLOOKUP('Base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stats'!AY7,IF(OR(_xlfn.XLOOKUP(E7,Groups!A:A,Groups!BD:BD)=1,_xlfn.XLOOKUP(E7,Groups!A:A,Groups!U:U)=2),BA7,IF(_xlfn.XLOOKUP(B7,Animals!B:B,Animals!AO:AO)&gt;4,AVERAGE(BA7,BC7),BC7))))</f>
        <v>No</v>
      </c>
      <c r="BA7" s="8">
        <f t="shared" si="5"/>
        <v>0.61989544824565768</v>
      </c>
      <c r="BB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EXP(1.076*LN(AO7)-4.5397)*IF(_xlfn.XLOOKUP(E7,Groups!A:A,Groups!BC:BC)=1,1.25,IF(_xlfn.XLOOKUP(E7,Groups!A:A,Groups!BD:BD)=1,3.5,2.5))</f>
        <v>54.835516318642945</v>
      </c>
      <c r="BE7" s="8">
        <f>EXP(1.076*LN(AP7)-4.5397)*IF(_xlfn.XLOOKUP(E7,Groups!A:A,Groups!M:M)=1,0.8,IF(_xlfn.XLOOKUP(E7,Groups!A:A,Groups!BC:BC)=1,1.3,3))</f>
        <v>72.774655160809999</v>
      </c>
      <c r="BF7" s="8" t="str">
        <f>IF(W7="No","No",IF(_xlfn.XLOOKUP(E7,Groups!A:A,Groups!U:U)=1,'Base stats'!BG7,IF(OR(_xlfn.XLOOKUP(E7,Groups!A:A,Groups!BD:BD)=1,_xlfn.XLOOKUP(E7,Groups!A:A,Groups!U:U)=2),BD7,BE7))*1.2)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10"/>
        <v>13</v>
      </c>
      <c r="BI7" s="8">
        <f t="shared" si="11"/>
        <v>8</v>
      </c>
      <c r="BJ7" s="8" t="str">
        <f t="shared" si="6"/>
        <v>No</v>
      </c>
      <c r="BK7" s="8">
        <f t="shared" si="7"/>
        <v>7</v>
      </c>
      <c r="BL7" s="8">
        <f t="shared" si="12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N7" s="8" t="str">
        <f>IF(W7="No","No",IF(_xlfn.XLOOKUP(E7,Groups!A:A,Groups!BD:BD)=1,(AL7*5%),EXP(0.7354*LN(C7)^0.4078)*2/IF(_xlfn.XLOOKUP(E7,Groups!A:A,Groups!BL:BL)=1,1000,100)))</f>
        <v>No</v>
      </c>
      <c r="BO7" s="8">
        <f>IF(BG7="No","No",IF(_xlfn.XLOOKUP(E7,Groups!A:A,Groups!BF:BF)=1,(0.0315*C7+2.1825)*2,(0.7354*C7^0.4078)*2)/IF(_xlfn.XLOOKUP(E7,Groups!A:A,Groups!BM:BM)=1,1000,100))</f>
        <v>6.5470981695459313E-2</v>
      </c>
      <c r="BP7" s="8">
        <f t="shared" si="8"/>
        <v>9.1436659232256065E-2</v>
      </c>
      <c r="BQ7" s="8">
        <f t="shared" si="13"/>
        <v>1111.5558874513902</v>
      </c>
      <c r="BR7" s="8" t="str">
        <f t="shared" si="9"/>
        <v>No</v>
      </c>
      <c r="BS7" s="8">
        <f t="shared" si="14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IFERROR(AVERAGE(_xlfn.XLOOKUP(B8,Animals!B:B,Animals!N:N),_xlfn.XLOOKUP(B8,Animals!B:B,Animals!O:O)),0)</f>
        <v>0</v>
      </c>
      <c r="AT8" s="8">
        <f>MROUND(40*Animals!AO8*_xlfn.XLOOKUP(Animals!BA8,Leathers!$A$2:$A$100,Leathers!$B$2:$B$100,0)+(140*_xlfn.XLOOKUP(B8,Animals!B:B,Animals!AO:AO)*2),5)</f>
        <v>100</v>
      </c>
      <c r="AU8" s="8">
        <f>IFERROR(ROUND(SQRT(V8-1)*IF(_xlfn.XLOOKUP(E8,Groups!A:A,Groups!BF:BF)=0,2,1)*IF(_xlfn.XLOOKUP('Base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stats'!AY8,IF(OR(_xlfn.XLOOKUP(E8,Groups!A:A,Groups!BD:BD)=1,_xlfn.XLOOKUP(E8,Groups!A:A,Groups!U:U)=2),BA8,IF(_xlfn.XLOOKUP(B8,Animals!B:B,Animals!AO:AO)&gt;4,AVERAGE(BA8,BC8),BC8))))</f>
        <v>No</v>
      </c>
      <c r="BA8" s="8">
        <f t="shared" si="5"/>
        <v>0.15231042133409653</v>
      </c>
      <c r="BB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EXP(1.076*LN(AO8)-4.5397)*IF(_xlfn.XLOOKUP(E8,Groups!A:A,Groups!BC:BC)=1,1.25,IF(_xlfn.XLOOKUP(E8,Groups!A:A,Groups!BD:BD)=1,3.5,2.5))</f>
        <v>10.098174401377193</v>
      </c>
      <c r="BE8" s="8">
        <f>EXP(1.076*LN(AP8)-4.5397)*IF(_xlfn.XLOOKUP(E8,Groups!A:A,Groups!M:M)=1,0.8,IF(_xlfn.XLOOKUP(E8,Groups!A:A,Groups!BC:BC)=1,1.3,3))</f>
        <v>14.872938469288957</v>
      </c>
      <c r="BF8" s="8" t="str">
        <f>IF(W8="No","No",IF(_xlfn.XLOOKUP(E8,Groups!A:A,Groups!U:U)=1,'Base stats'!BG8,IF(OR(_xlfn.XLOOKUP(E8,Groups!A:A,Groups!BD:BD)=1,_xlfn.XLOOKUP(E8,Groups!A:A,Groups!U:U)=2),BD8,BE8))*1.2)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10"/>
        <v>11</v>
      </c>
      <c r="BI8" s="8">
        <f t="shared" si="11"/>
        <v>7</v>
      </c>
      <c r="BJ8" s="8" t="str">
        <f t="shared" si="6"/>
        <v>No</v>
      </c>
      <c r="BK8" s="8">
        <f t="shared" si="7"/>
        <v>6</v>
      </c>
      <c r="BL8" s="8">
        <f t="shared" si="12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N8" s="8" t="str">
        <f>IF(W8="No","No",IF(_xlfn.XLOOKUP(E8,Groups!A:A,Groups!BD:BD)=1,(AL8*5%),EXP(0.7354*LN(C8)^0.4078)*2/IF(_xlfn.XLOOKUP(E8,Groups!A:A,Groups!BL:BL)=1,1000,100)))</f>
        <v>No</v>
      </c>
      <c r="BO8" s="8">
        <f>IF(BG8="No","No",IF(_xlfn.XLOOKUP(E8,Groups!A:A,Groups!BF:BF)=1,(0.0315*C8+2.1825)*2,(0.7354*C8^0.4078)*2)/IF(_xlfn.XLOOKUP(E8,Groups!A:A,Groups!BM:BM)=1,1000,100))</f>
        <v>3.0644565145643288E-2</v>
      </c>
      <c r="BP8" s="8">
        <f t="shared" si="8"/>
        <v>5.6468843104628477E-2</v>
      </c>
      <c r="BQ8" s="8">
        <f t="shared" si="13"/>
        <v>485.33690716780922</v>
      </c>
      <c r="BR8" s="8" t="str">
        <f t="shared" si="9"/>
        <v>No</v>
      </c>
      <c r="BS8" s="8">
        <f t="shared" si="14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IFERROR(AVERAGE(_xlfn.XLOOKUP(B9,Animals!B:B,Animals!N:N),_xlfn.XLOOKUP(B9,Animals!B:B,Animals!O:O)),0)</f>
        <v>0</v>
      </c>
      <c r="AT9" s="8">
        <f>MROUND(40*Animals!AO9*_xlfn.XLOOKUP(Animals!BA9,Leathers!$A$2:$A$100,Leathers!$B$2:$B$100,0)+(140*_xlfn.XLOOKUP(B9,Animals!B:B,Animals!AO:AO)*2),5)</f>
        <v>100</v>
      </c>
      <c r="AU9" s="8">
        <f>IFERROR(ROUND(SQRT(V9-1)*IF(_xlfn.XLOOKUP(E9,Groups!A:A,Groups!BF:BF)=0,2,1)*IF(_xlfn.XLOOKUP('Base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stats'!AY9,IF(OR(_xlfn.XLOOKUP(E9,Groups!A:A,Groups!BD:BD)=1,_xlfn.XLOOKUP(E9,Groups!A:A,Groups!U:U)=2),BA9,IF(_xlfn.XLOOKUP(B9,Animals!B:B,Animals!AO:AO)&gt;4,AVERAGE(BA9,BC9),BC9))))</f>
        <v>No</v>
      </c>
      <c r="BA9" s="8">
        <f t="shared" si="5"/>
        <v>0.17001607632285015</v>
      </c>
      <c r="BB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EXP(1.076*LN(AO9)-4.5397)*IF(_xlfn.XLOOKUP(E9,Groups!A:A,Groups!BC:BC)=1,1.25,IF(_xlfn.XLOOKUP(E9,Groups!A:A,Groups!BD:BD)=1,3.5,2.5))</f>
        <v>11.529615867397807</v>
      </c>
      <c r="BE9" s="8">
        <f>EXP(1.076*LN(AP9)-4.5397)*IF(_xlfn.XLOOKUP(E9,Groups!A:A,Groups!M:M)=1,0.8,IF(_xlfn.XLOOKUP(E9,Groups!A:A,Groups!BC:BC)=1,1.3,3))</f>
        <v>16.843199922878384</v>
      </c>
      <c r="BF9" s="8" t="str">
        <f>IF(W9="No","No",IF(_xlfn.XLOOKUP(E9,Groups!A:A,Groups!U:U)=1,'Base stats'!BG9,IF(OR(_xlfn.XLOOKUP(E9,Groups!A:A,Groups!BD:BD)=1,_xlfn.XLOOKUP(E9,Groups!A:A,Groups!U:U)=2),BD9,BE9))*1.2)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10"/>
        <v>11</v>
      </c>
      <c r="BI9" s="8">
        <f t="shared" si="11"/>
        <v>7</v>
      </c>
      <c r="BJ9" s="8" t="str">
        <f t="shared" si="6"/>
        <v>No</v>
      </c>
      <c r="BK9" s="8">
        <f t="shared" si="7"/>
        <v>6</v>
      </c>
      <c r="BL9" s="8">
        <f t="shared" si="12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N9" s="8" t="str">
        <f>IF(W9="No","No",IF(_xlfn.XLOOKUP(E9,Groups!A:A,Groups!BD:BD)=1,(AL9*5%),EXP(0.7354*LN(C9)^0.4078)*2/IF(_xlfn.XLOOKUP(E9,Groups!A:A,Groups!BL:BL)=1,1000,100)))</f>
        <v>No</v>
      </c>
      <c r="BO9" s="8">
        <f>IF(BG9="No","No",IF(_xlfn.XLOOKUP(E9,Groups!A:A,Groups!BF:BF)=1,(0.0315*C9+2.1825)*2,(0.7354*C9^0.4078)*2)/IF(_xlfn.XLOOKUP(E9,Groups!A:A,Groups!BM:BM)=1,1000,100))</f>
        <v>3.2522550888977909E-2</v>
      </c>
      <c r="BP9" s="8">
        <f t="shared" si="8"/>
        <v>5.8641912959920536E-2</v>
      </c>
      <c r="BQ9" s="8" t="str">
        <f t="shared" si="13"/>
        <v>No</v>
      </c>
      <c r="BR9" s="8" t="str">
        <f t="shared" si="9"/>
        <v>No</v>
      </c>
      <c r="BS9" s="8">
        <f t="shared" si="14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IFERROR(AVERAGE(_xlfn.XLOOKUP(B10,Animals!B:B,Animals!N:N),_xlfn.XLOOKUP(B10,Animals!B:B,Animals!O:O)),0)</f>
        <v>0</v>
      </c>
      <c r="AT10" s="8">
        <f>MROUND(40*Animals!AO10*_xlfn.XLOOKUP(Animals!BA10,Leathers!$A$2:$A$100,Leathers!$B$2:$B$100,0)+(140*_xlfn.XLOOKUP(B10,Animals!B:B,Animals!AO:AO)*2),5)</f>
        <v>40</v>
      </c>
      <c r="AU10" s="8">
        <f>IFERROR(ROUND(SQRT(V10-1)*IF(_xlfn.XLOOKUP(E10,Groups!A:A,Groups!BF:BF)=0,2,1)*IF(_xlfn.XLOOKUP('Base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stats'!AY10,IF(OR(_xlfn.XLOOKUP(E10,Groups!A:A,Groups!BD:BD)=1,_xlfn.XLOOKUP(E10,Groups!A:A,Groups!U:U)=2),BA10,IF(_xlfn.XLOOKUP(B10,Animals!B:B,Animals!AO:AO)&gt;4,AVERAGE(BA10,BC10),BC10))))</f>
        <v>No</v>
      </c>
      <c r="BA10" s="8">
        <f t="shared" si="5"/>
        <v>4.0610512861484392E-2</v>
      </c>
      <c r="BB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EXP(1.076*LN(AO10)-4.5397)*IF(_xlfn.XLOOKUP(E10,Groups!A:A,Groups!BC:BC)=1,1.25,IF(_xlfn.XLOOKUP(E10,Groups!A:A,Groups!BD:BD)=1,3.5,2.5))</f>
        <v>2.0521727128529421</v>
      </c>
      <c r="BE10" s="8">
        <f>EXP(1.076*LN(AP10)-4.5397)*IF(_xlfn.XLOOKUP(E10,Groups!A:A,Groups!M:M)=1,0.8,IF(_xlfn.XLOOKUP(E10,Groups!A:A,Groups!BC:BC)=1,1.3,3))</f>
        <v>3.3340287855159279</v>
      </c>
      <c r="BF10" s="8" t="str">
        <f>IF(W10="No","No",IF(_xlfn.XLOOKUP(E10,Groups!A:A,Groups!U:U)=1,'Base stats'!BG10,IF(OR(_xlfn.XLOOKUP(E10,Groups!A:A,Groups!BD:BD)=1,_xlfn.XLOOKUP(E10,Groups!A:A,Groups!U:U)=2),BD10,BE10))*1.2)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10"/>
        <v>10</v>
      </c>
      <c r="BI10" s="8">
        <f t="shared" si="11"/>
        <v>7</v>
      </c>
      <c r="BJ10" s="8" t="str">
        <f t="shared" si="6"/>
        <v>No</v>
      </c>
      <c r="BK10" s="8">
        <f t="shared" si="7"/>
        <v>5</v>
      </c>
      <c r="BL10" s="8">
        <f t="shared" si="12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N10" s="8" t="str">
        <f>IF(W10="No","No",IF(_xlfn.XLOOKUP(E10,Groups!A:A,Groups!BD:BD)=1,(AL10*5%),EXP(0.7354*LN(C10)^0.4078)*2/IF(_xlfn.XLOOKUP(E10,Groups!A:A,Groups!BL:BL)=1,1000,100)))</f>
        <v>No</v>
      </c>
      <c r="BO10" s="8">
        <f>IF(BG10="No","No",IF(_xlfn.XLOOKUP(E10,Groups!A:A,Groups!BF:BF)=1,(0.0315*C10+2.1825)*2,(0.7354*C10^0.4078)*2)/IF(_xlfn.XLOOKUP(E10,Groups!A:A,Groups!BM:BM)=1,1000,100))</f>
        <v>1.4991909512646557E-2</v>
      </c>
      <c r="BP10" s="8">
        <f t="shared" si="8"/>
        <v>3.586625994669352E-2</v>
      </c>
      <c r="BQ10" s="8" t="str">
        <f t="shared" si="13"/>
        <v>No</v>
      </c>
      <c r="BR10" s="8" t="str">
        <f t="shared" si="9"/>
        <v>No</v>
      </c>
      <c r="BS10" s="8">
        <f t="shared" si="14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IFERROR(AVERAGE(_xlfn.XLOOKUP(B11,Animals!B:B,Animals!N:N),_xlfn.XLOOKUP(B11,Animals!B:B,Animals!O:O)),0)</f>
        <v>0</v>
      </c>
      <c r="AT11" s="8">
        <f>MROUND(40*Animals!AO11*_xlfn.XLOOKUP(Animals!BA11,Leathers!$A$2:$A$100,Leathers!$B$2:$B$100,0)+(140*_xlfn.XLOOKUP(B11,Animals!B:B,Animals!AO:AO)*2),5)</f>
        <v>55</v>
      </c>
      <c r="AU11" s="8">
        <f>IFERROR(ROUND(SQRT(V11-1)*IF(_xlfn.XLOOKUP(E11,Groups!A:A,Groups!BF:BF)=0,2,1)*IF(_xlfn.XLOOKUP('Base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stats'!AY11,IF(OR(_xlfn.XLOOKUP(E11,Groups!A:A,Groups!BD:BD)=1,_xlfn.XLOOKUP(E11,Groups!A:A,Groups!U:U)=2),BA11,IF(_xlfn.XLOOKUP(B11,Animals!B:B,Animals!AO:AO)&gt;4,AVERAGE(BA11,BC11),BC11))))</f>
        <v>No</v>
      </c>
      <c r="BA11" s="8">
        <f t="shared" si="5"/>
        <v>7.5255185733858032E-2</v>
      </c>
      <c r="BB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EXP(1.076*LN(AO11)-4.5397)*IF(_xlfn.XLOOKUP(E11,Groups!A:A,Groups!BC:BC)=1,1.25,IF(_xlfn.XLOOKUP(E11,Groups!A:A,Groups!BD:BD)=1,3.5,2.5))</f>
        <v>4.3166536361177759</v>
      </c>
      <c r="BE11" s="8">
        <f>EXP(1.076*LN(AP11)-4.5397)*IF(_xlfn.XLOOKUP(E11,Groups!A:A,Groups!M:M)=1,0.8,IF(_xlfn.XLOOKUP(E11,Groups!A:A,Groups!BC:BC)=1,1.3,3))</f>
        <v>6.699197217835331</v>
      </c>
      <c r="BF11" s="8" t="str">
        <f>IF(W11="No","No",IF(_xlfn.XLOOKUP(E11,Groups!A:A,Groups!U:U)=1,'Base stats'!BG11,IF(OR(_xlfn.XLOOKUP(E11,Groups!A:A,Groups!BD:BD)=1,_xlfn.XLOOKUP(E11,Groups!A:A,Groups!U:U)=2),BD11,BE11))*1.2)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10"/>
        <v>10</v>
      </c>
      <c r="BI11" s="8">
        <f t="shared" si="11"/>
        <v>7</v>
      </c>
      <c r="BJ11" s="8" t="str">
        <f t="shared" si="6"/>
        <v>No</v>
      </c>
      <c r="BK11" s="8">
        <f t="shared" si="7"/>
        <v>5</v>
      </c>
      <c r="BL11" s="8">
        <f t="shared" si="12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N11" s="8" t="str">
        <f>IF(W11="No","No",IF(_xlfn.XLOOKUP(E11,Groups!A:A,Groups!BD:BD)=1,(AL11*5%),EXP(0.7354*LN(C11)^0.4078)*2/IF(_xlfn.XLOOKUP(E11,Groups!A:A,Groups!BL:BL)=1,1000,100)))</f>
        <v>No</v>
      </c>
      <c r="BO11" s="8">
        <f>IF(BG11="No","No",IF(_xlfn.XLOOKUP(E11,Groups!A:A,Groups!BF:BF)=1,(0.0315*C11+2.1825)*2,(0.7354*C11^0.4078)*2)/IF(_xlfn.XLOOKUP(E11,Groups!A:A,Groups!BM:BM)=1,1000,100))</f>
        <v>2.0929036865173018E-2</v>
      </c>
      <c r="BP11" s="8">
        <f t="shared" si="8"/>
        <v>4.4327462442537734E-2</v>
      </c>
      <c r="BQ11" s="8">
        <f t="shared" si="13"/>
        <v>320.09104198115949</v>
      </c>
      <c r="BR11" s="8" t="str">
        <f t="shared" si="9"/>
        <v>No</v>
      </c>
      <c r="BS11" s="8">
        <f t="shared" si="14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Groups!A21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IFERROR(AVERAGE(_xlfn.XLOOKUP(B12,Animals!B:B,Animals!N:N),_xlfn.XLOOKUP(B12,Animals!B:B,Animals!O:O)),0)</f>
        <v>0</v>
      </c>
      <c r="AT12" s="8">
        <f>MROUND(40*Animals!AO12*_xlfn.XLOOKUP(Animals!BA12,Leathers!$A$2:$A$100,Leathers!$B$2:$B$100,0)+(140*_xlfn.XLOOKUP(B12,Animals!B:B,Animals!AO:AO)*2),5)</f>
        <v>1025</v>
      </c>
      <c r="AU12" s="8">
        <f>IFERROR(ROUND(SQRT(V12-1)*IF(_xlfn.XLOOKUP(E12,Groups!A:A,Groups!BF:BF)=0,2,1)*IF(_xlfn.XLOOKUP('Base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stats'!AY12,IF(OR(_xlfn.XLOOKUP(E12,Groups!A:A,Groups!BD:BD)=1,_xlfn.XLOOKUP(E12,Groups!A:A,Groups!U:U)=2),BA12,IF(_xlfn.XLOOKUP(B12,Animals!B:B,Animals!AO:AO)&gt;4,AVERAGE(BA12,BC12),BC12))))</f>
        <v>No</v>
      </c>
      <c r="BA12" s="8">
        <f t="shared" si="5"/>
        <v>3.81903222593724</v>
      </c>
      <c r="BB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EXP(1.076*LN(AO12)-4.5397)*IF(_xlfn.XLOOKUP(E12,Groups!A:A,Groups!BC:BC)=1,1.25,IF(_xlfn.XLOOKUP(E12,Groups!A:A,Groups!BD:BD)=1,3.5,2.5))</f>
        <v>490.81138254794962</v>
      </c>
      <c r="BE12" s="8">
        <f>EXP(1.076*LN(AP12)-4.5397)*IF(_xlfn.XLOOKUP(E12,Groups!A:A,Groups!M:M)=1,0.8,IF(_xlfn.XLOOKUP(E12,Groups!A:A,Groups!BC:BC)=1,1.3,3))</f>
        <v>569.16277963499192</v>
      </c>
      <c r="BF12" s="8" t="str">
        <f>IF(W12="No","No",IF(_xlfn.XLOOKUP(E12,Groups!A:A,Groups!U:U)=1,'Base stats'!BG12,IF(OR(_xlfn.XLOOKUP(E12,Groups!A:A,Groups!BD:BD)=1,_xlfn.XLOOKUP(E12,Groups!A:A,Groups!U:U)=2),BD12,BE12))*1.2)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10"/>
        <v>16</v>
      </c>
      <c r="BI12" s="8">
        <f t="shared" si="11"/>
        <v>11</v>
      </c>
      <c r="BJ12" s="8" t="str">
        <f t="shared" si="6"/>
        <v>No</v>
      </c>
      <c r="BK12" s="8">
        <f t="shared" si="7"/>
        <v>10</v>
      </c>
      <c r="BL12" s="8">
        <f t="shared" si="12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N12" s="8" t="str">
        <f>IF(W12="No","No",IF(_xlfn.XLOOKUP(E12,Groups!A:A,Groups!BD:BD)=1,(AL12*5%),EXP(0.7354*LN(C12)^0.4078)*2/IF(_xlfn.XLOOKUP(E12,Groups!A:A,Groups!BL:BL)=1,1000,100)))</f>
        <v>No</v>
      </c>
      <c r="BO12" s="8">
        <f>IF(BG12="No","No",IF(_xlfn.XLOOKUP(E12,Groups!A:A,Groups!BF:BF)=1,(0.0315*C12+2.1825)*2,(0.7354*C12^0.4078)*2)/IF(_xlfn.XLOOKUP(E12,Groups!A:A,Groups!BM:BM)=1,1000,100))</f>
        <v>0.31707000000000002</v>
      </c>
      <c r="BP12" s="8">
        <f t="shared" si="8"/>
        <v>0.17070778164908404</v>
      </c>
      <c r="BQ12" s="8">
        <f t="shared" si="13"/>
        <v>7.3079431848808003</v>
      </c>
      <c r="BR12" s="8" t="str">
        <f t="shared" si="9"/>
        <v>No</v>
      </c>
      <c r="BS12" s="8">
        <f t="shared" si="14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Groups!A20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IFERROR(AVERAGE(_xlfn.XLOOKUP(B13,Animals!B:B,Animals!N:N),_xlfn.XLOOKUP(B13,Animals!B:B,Animals!O:O)),0)</f>
        <v>0</v>
      </c>
      <c r="AT13" s="8">
        <f>MROUND(40*Animals!AO13*_xlfn.XLOOKUP(Animals!BA13,Leathers!$A$2:$A$100,Leathers!$B$2:$B$100,0)+(140*_xlfn.XLOOKUP(B13,Animals!B:B,Animals!AO:AO)*2),5)</f>
        <v>390</v>
      </c>
      <c r="AU13" s="8">
        <f>IFERROR(ROUND(SQRT(V13-1)*IF(_xlfn.XLOOKUP(E13,Groups!A:A,Groups!BF:BF)=0,2,1)*IF(_xlfn.XLOOKUP('Base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stats'!AY13,IF(OR(_xlfn.XLOOKUP(E13,Groups!A:A,Groups!BD:BD)=1,_xlfn.XLOOKUP(E13,Groups!A:A,Groups!U:U)=2),BA13,IF(_xlfn.XLOOKUP(B13,Animals!B:B,Animals!AO:AO)&gt;4,AVERAGE(BA13,BC13),BC13))))</f>
        <v>No</v>
      </c>
      <c r="BA13" s="8">
        <f t="shared" si="5"/>
        <v>1.041884436623707</v>
      </c>
      <c r="BB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EXP(1.076*LN(AO13)-4.5397)*IF(_xlfn.XLOOKUP(E13,Groups!A:A,Groups!BC:BC)=1,1.25,IF(_xlfn.XLOOKUP(E13,Groups!A:A,Groups!BD:BD)=1,3.5,2.5))</f>
        <v>102.538892686501</v>
      </c>
      <c r="BE13" s="8">
        <f>EXP(1.076*LN(AP13)-4.5397)*IF(_xlfn.XLOOKUP(E13,Groups!A:A,Groups!M:M)=1,0.8,IF(_xlfn.XLOOKUP(E13,Groups!A:A,Groups!BC:BC)=1,1.3,3))</f>
        <v>130.94023178217128</v>
      </c>
      <c r="BF13" s="8" t="str">
        <f>IF(W13="No","No",IF(_xlfn.XLOOKUP(E13,Groups!A:A,Groups!U:U)=1,'Base stats'!BG13,IF(OR(_xlfn.XLOOKUP(E13,Groups!A:A,Groups!BD:BD)=1,_xlfn.XLOOKUP(E13,Groups!A:A,Groups!U:U)=2),BD13,BE13))*1.2)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10"/>
        <v>14</v>
      </c>
      <c r="BI13" s="8">
        <f t="shared" si="11"/>
        <v>11</v>
      </c>
      <c r="BJ13" s="8" t="str">
        <f t="shared" si="6"/>
        <v>No</v>
      </c>
      <c r="BK13" s="8">
        <f t="shared" si="7"/>
        <v>9</v>
      </c>
      <c r="BL13" s="8">
        <f t="shared" si="12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N13" s="8" t="str">
        <f>IF(W13="No","No",IF(_xlfn.XLOOKUP(E13,Groups!A:A,Groups!BD:BD)=1,(AL13*5%),EXP(0.7354*LN(C13)^0.4078)*2/IF(_xlfn.XLOOKUP(E13,Groups!A:A,Groups!BL:BL)=1,1000,100)))</f>
        <v>No</v>
      </c>
      <c r="BO13" s="8">
        <f>IF(BG13="No","No",IF(_xlfn.XLOOKUP(E13,Groups!A:A,Groups!BF:BF)=1,(0.0315*C13+2.1825)*2,(0.7354*C13^0.4078)*2)/IF(_xlfn.XLOOKUP(E13,Groups!A:A,Groups!BM:BM)=1,1000,100))</f>
        <v>9.2475000000000002E-2</v>
      </c>
      <c r="BP13" s="8">
        <f t="shared" si="8"/>
        <v>0.10928222619032066</v>
      </c>
      <c r="BQ13" s="8">
        <f t="shared" si="13"/>
        <v>7.7754500459296958</v>
      </c>
      <c r="BR13" s="8" t="str">
        <f t="shared" si="9"/>
        <v>No</v>
      </c>
      <c r="BS13" s="8">
        <f t="shared" si="14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IFERROR(AVERAGE(_xlfn.XLOOKUP(B14,Animals!B:B,Animals!N:N),_xlfn.XLOOKUP(B14,Animals!B:B,Animals!O:O)),0)</f>
        <v>0</v>
      </c>
      <c r="AT14" s="8">
        <f>MROUND(40*Animals!AO14*_xlfn.XLOOKUP(Animals!BA14,Leathers!$A$2:$A$100,Leathers!$B$2:$B$100,0)+(140*_xlfn.XLOOKUP(B14,Animals!B:B,Animals!AO:AO)*2),5)</f>
        <v>70</v>
      </c>
      <c r="AU14" s="8">
        <f>IFERROR(ROUND(SQRT(V14-1)*IF(_xlfn.XLOOKUP(E14,Groups!A:A,Groups!BF:BF)=0,2,1)*IF(_xlfn.XLOOKUP('Base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stats'!AY14,IF(OR(_xlfn.XLOOKUP(E14,Groups!A:A,Groups!BD:BD)=1,_xlfn.XLOOKUP(E14,Groups!A:A,Groups!U:U)=2),BA14,IF(_xlfn.XLOOKUP(B14,Animals!B:B,Animals!AO:AO)&gt;4,AVERAGE(BA14,BC14),BC14))))</f>
        <v>No</v>
      </c>
      <c r="BA14" s="8">
        <f t="shared" si="5"/>
        <v>7.7329953049139977E-2</v>
      </c>
      <c r="BB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EXP(1.076*LN(AO14)-4.5397)*IF(_xlfn.XLOOKUP(E14,Groups!A:A,Groups!BC:BC)=1,1.25,IF(_xlfn.XLOOKUP(E14,Groups!A:A,Groups!BD:BD)=1,3.5,2.5))</f>
        <v>4.1345485346873936</v>
      </c>
      <c r="BE14" s="8">
        <f>EXP(1.076*LN(AP14)-4.5397)*IF(_xlfn.XLOOKUP(E14,Groups!A:A,Groups!M:M)=1,0.8,IF(_xlfn.XLOOKUP(E14,Groups!A:A,Groups!BC:BC)=1,1.3,3))</f>
        <v>6.4336289369953583</v>
      </c>
      <c r="BF14" s="8" t="str">
        <f>IF(W14="No","No",IF(_xlfn.XLOOKUP(E14,Groups!A:A,Groups!U:U)=1,'Base stats'!BG14,IF(OR(_xlfn.XLOOKUP(E14,Groups!A:A,Groups!BD:BD)=1,_xlfn.XLOOKUP(E14,Groups!A:A,Groups!U:U)=2),BD14,BE14))*1.2)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10"/>
        <v>10</v>
      </c>
      <c r="BI14" s="8">
        <f t="shared" si="11"/>
        <v>9</v>
      </c>
      <c r="BJ14" s="8" t="str">
        <f t="shared" si="6"/>
        <v>No</v>
      </c>
      <c r="BK14" s="8">
        <f t="shared" si="7"/>
        <v>7</v>
      </c>
      <c r="BL14" s="8">
        <f t="shared" si="12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N14" s="8" t="str">
        <f>IF(W14="No","No",IF(_xlfn.XLOOKUP(E14,Groups!A:A,Groups!BD:BD)=1,(AL14*5%),EXP(0.7354*LN(C14)^0.4078)*2/IF(_xlfn.XLOOKUP(E14,Groups!A:A,Groups!BL:BL)=1,1000,100)))</f>
        <v>No</v>
      </c>
      <c r="BO14" s="8">
        <f>IF(BG14="No","No",IF(_xlfn.XLOOKUP(E14,Groups!A:A,Groups!BF:BF)=1,(0.0315*C14+2.1825)*2,(0.7354*C14^0.4078)*2)/IF(_xlfn.XLOOKUP(E14,Groups!A:A,Groups!BM:BM)=1,1000,100))</f>
        <v>2.0528179461886172E-2</v>
      </c>
      <c r="BP14" s="8">
        <f t="shared" si="8"/>
        <v>4.3786554964694809E-2</v>
      </c>
      <c r="BQ14" s="8" t="str">
        <f t="shared" si="13"/>
        <v>No</v>
      </c>
      <c r="BR14" s="8" t="str">
        <f t="shared" si="9"/>
        <v>No</v>
      </c>
      <c r="BS14" s="8">
        <f t="shared" si="14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IFERROR(AVERAGE(_xlfn.XLOOKUP(B15,Animals!B:B,Animals!N:N),_xlfn.XLOOKUP(B15,Animals!B:B,Animals!O:O)),0)</f>
        <v>0</v>
      </c>
      <c r="AT15" s="8">
        <f>MROUND(40*Animals!AO15*_xlfn.XLOOKUP(Animals!BA15,Leathers!$A$2:$A$100,Leathers!$B$2:$B$100,0)+(140*_xlfn.XLOOKUP(B15,Animals!B:B,Animals!AO:AO)*2),5)</f>
        <v>250</v>
      </c>
      <c r="AU15" s="8">
        <f>IFERROR(ROUND(SQRT(V15-1)*IF(_xlfn.XLOOKUP(E15,Groups!A:A,Groups!BF:BF)=0,2,1)*IF(_xlfn.XLOOKUP('Base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stats'!AY15,IF(OR(_xlfn.XLOOKUP(E15,Groups!A:A,Groups!BD:BD)=1,_xlfn.XLOOKUP(E15,Groups!A:A,Groups!U:U)=2),BA15,IF(_xlfn.XLOOKUP(B15,Animals!B:B,Animals!AO:AO)&gt;4,AVERAGE(BA15,BC15),BC15))))</f>
        <v>No</v>
      </c>
      <c r="BA15" s="8">
        <f t="shared" si="5"/>
        <v>0.67102582319877924</v>
      </c>
      <c r="BB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EXP(1.076*LN(AO15)-4.5397)*IF(_xlfn.XLOOKUP(E15,Groups!A:A,Groups!BC:BC)=1,1.25,IF(_xlfn.XLOOKUP(E15,Groups!A:A,Groups!BD:BD)=1,3.5,2.5))</f>
        <v>43.932261881608525</v>
      </c>
      <c r="BE15" s="8">
        <f>EXP(1.076*LN(AP15)-4.5397)*IF(_xlfn.XLOOKUP(E15,Groups!A:A,Groups!M:M)=1,0.8,IF(_xlfn.XLOOKUP(E15,Groups!A:A,Groups!BC:BC)=1,1.3,3))</f>
        <v>59.105610863125953</v>
      </c>
      <c r="BF15" s="8" t="str">
        <f>IF(W15="No","No",IF(_xlfn.XLOOKUP(E15,Groups!A:A,Groups!U:U)=1,'Base stats'!BG15,IF(OR(_xlfn.XLOOKUP(E15,Groups!A:A,Groups!BD:BD)=1,_xlfn.XLOOKUP(E15,Groups!A:A,Groups!U:U)=2),BD15,BE15))*1.2)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10"/>
        <v>11</v>
      </c>
      <c r="BI15" s="8">
        <f t="shared" si="11"/>
        <v>10</v>
      </c>
      <c r="BJ15" s="8" t="str">
        <f t="shared" si="6"/>
        <v>No</v>
      </c>
      <c r="BK15" s="8">
        <f t="shared" si="7"/>
        <v>9</v>
      </c>
      <c r="BL15" s="8">
        <f t="shared" si="12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N15" s="8" t="str">
        <f>IF(W15="No","No",IF(_xlfn.XLOOKUP(E15,Groups!A:A,Groups!BD:BD)=1,(AL15*5%),EXP(0.7354*LN(C15)^0.4078)*2/IF(_xlfn.XLOOKUP(E15,Groups!A:A,Groups!BL:BL)=1,1000,100)))</f>
        <v>No</v>
      </c>
      <c r="BO15" s="8">
        <f>IF(BG15="No","No",IF(_xlfn.XLOOKUP(E15,Groups!A:A,Groups!BF:BF)=1,(0.0315*C15+2.1825)*2,(0.7354*C15^0.4078)*2)/IF(_xlfn.XLOOKUP(E15,Groups!A:A,Groups!BM:BM)=1,1000,100))</f>
        <v>5.9272206616755349E-2</v>
      </c>
      <c r="BP15" s="8">
        <f t="shared" si="8"/>
        <v>8.5841181212386833E-2</v>
      </c>
      <c r="BQ15" s="8" t="str">
        <f t="shared" si="13"/>
        <v>No</v>
      </c>
      <c r="BR15" s="8" t="str">
        <f t="shared" si="9"/>
        <v>No</v>
      </c>
      <c r="BS15" s="8">
        <f t="shared" si="14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IFERROR(AVERAGE(_xlfn.XLOOKUP(B16,Animals!B:B,Animals!N:N),_xlfn.XLOOKUP(B16,Animals!B:B,Animals!O:O)),0)</f>
        <v>0</v>
      </c>
      <c r="AT16" s="8">
        <f>MROUND(40*Animals!AO16*_xlfn.XLOOKUP(Animals!BA16,Leathers!$A$2:$A$100,Leathers!$B$2:$B$100,0)+(140*_xlfn.XLOOKUP(B16,Animals!B:B,Animals!AO:AO)*2),5)</f>
        <v>270</v>
      </c>
      <c r="AU16" s="8">
        <f>IFERROR(ROUND(SQRT(V16-1)*IF(_xlfn.XLOOKUP(E16,Groups!A:A,Groups!BF:BF)=0,2,1)*IF(_xlfn.XLOOKUP('Base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stats'!AY16,IF(OR(_xlfn.XLOOKUP(E16,Groups!A:A,Groups!BD:BD)=1,_xlfn.XLOOKUP(E16,Groups!A:A,Groups!U:U)=2),BA16,IF(_xlfn.XLOOKUP(B16,Animals!B:B,Animals!AO:AO)&gt;4,AVERAGE(BA16,BC16),BC16))))</f>
        <v>No</v>
      </c>
      <c r="BA16" s="8">
        <f t="shared" si="5"/>
        <v>0.77014667571860451</v>
      </c>
      <c r="BB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EXP(1.076*LN(AO16)-4.5397)*IF(_xlfn.XLOOKUP(E16,Groups!A:A,Groups!BC:BC)=1,1.25,IF(_xlfn.XLOOKUP(E16,Groups!A:A,Groups!BD:BD)=1,3.5,2.5))</f>
        <v>51.077141133404595</v>
      </c>
      <c r="BE16" s="8">
        <f>EXP(1.076*LN(AP16)-4.5397)*IF(_xlfn.XLOOKUP(E16,Groups!A:A,Groups!M:M)=1,0.8,IF(_xlfn.XLOOKUP(E16,Groups!A:A,Groups!BC:BC)=1,1.3,3))</f>
        <v>68.083682006769152</v>
      </c>
      <c r="BF16" s="8" t="str">
        <f>IF(W16="No","No",IF(_xlfn.XLOOKUP(E16,Groups!A:A,Groups!U:U)=1,'Base stats'!BG16,IF(OR(_xlfn.XLOOKUP(E16,Groups!A:A,Groups!BD:BD)=1,_xlfn.XLOOKUP(E16,Groups!A:A,Groups!U:U)=2),BD16,BE16))*1.2)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10"/>
        <v>11</v>
      </c>
      <c r="BI16" s="8">
        <f t="shared" si="11"/>
        <v>10</v>
      </c>
      <c r="BJ16" s="8" t="str">
        <f t="shared" si="6"/>
        <v>No</v>
      </c>
      <c r="BK16" s="8">
        <f t="shared" si="7"/>
        <v>10</v>
      </c>
      <c r="BL16" s="8">
        <f t="shared" si="12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N16" s="8" t="str">
        <f>IF(W16="No","No",IF(_xlfn.XLOOKUP(E16,Groups!A:A,Groups!BD:BD)=1,(AL16*5%),EXP(0.7354*LN(C16)^0.4078)*2/IF(_xlfn.XLOOKUP(E16,Groups!A:A,Groups!BL:BL)=1,1000,100)))</f>
        <v>No</v>
      </c>
      <c r="BO16" s="8">
        <f>IF(BG16="No","No",IF(_xlfn.XLOOKUP(E16,Groups!A:A,Groups!BF:BF)=1,(0.0315*C16+2.1825)*2,(0.7354*C16^0.4078)*2)/IF(_xlfn.XLOOKUP(E16,Groups!A:A,Groups!BM:BM)=1,1000,100))</f>
        <v>6.3418180977575608E-2</v>
      </c>
      <c r="BP16" s="8">
        <f t="shared" si="8"/>
        <v>8.960597557274208E-2</v>
      </c>
      <c r="BQ16" s="8" t="str">
        <f t="shared" si="13"/>
        <v>No</v>
      </c>
      <c r="BR16" s="8" t="str">
        <f t="shared" si="9"/>
        <v>No</v>
      </c>
      <c r="BS16" s="8">
        <f t="shared" si="14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Groups!A17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IFERROR(AVERAGE(_xlfn.XLOOKUP(B17,Animals!B:B,Animals!N:N),_xlfn.XLOOKUP(B17,Animals!B:B,Animals!O:O)),0)</f>
        <v>0</v>
      </c>
      <c r="AT17" s="8">
        <f>MROUND(40*Animals!AO17*_xlfn.XLOOKUP(Animals!BA17,Leathers!$A$2:$A$100,Leathers!$B$2:$B$100,0)+(140*_xlfn.XLOOKUP(B17,Animals!B:B,Animals!AO:AO)*2),5)</f>
        <v>425</v>
      </c>
      <c r="AU17" s="8">
        <f>IFERROR(ROUND(SQRT(V17-1)*IF(_xlfn.XLOOKUP(E17,Groups!A:A,Groups!BF:BF)=0,2,1)*IF(_xlfn.XLOOKUP('Base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stats'!AY17,IF(OR(_xlfn.XLOOKUP(E17,Groups!A:A,Groups!BD:BD)=1,_xlfn.XLOOKUP(E17,Groups!A:A,Groups!U:U)=2),BA17,IF(_xlfn.XLOOKUP(B17,Animals!B:B,Animals!AO:AO)&gt;4,AVERAGE(BA17,BC17),BC17))))</f>
        <v>No</v>
      </c>
      <c r="BA17" s="8">
        <f t="shared" si="5"/>
        <v>1.2261343621662715</v>
      </c>
      <c r="BB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EXP(1.076*LN(AO17)-4.5397)*IF(_xlfn.XLOOKUP(E17,Groups!A:A,Groups!BC:BC)=1,1.25,IF(_xlfn.XLOOKUP(E17,Groups!A:A,Groups!BD:BD)=1,3.5,2.5))</f>
        <v>84.942137034811097</v>
      </c>
      <c r="BE17" s="8">
        <f>EXP(1.076*LN(AP17)-4.5397)*IF(_xlfn.XLOOKUP(E17,Groups!A:A,Groups!M:M)=1,0.8,IF(_xlfn.XLOOKUP(E17,Groups!A:A,Groups!BC:BC)=1,1.3,3))</f>
        <v>109.73399023878679</v>
      </c>
      <c r="BF17" s="8" t="str">
        <f>IF(W17="No","No",IF(_xlfn.XLOOKUP(E17,Groups!A:A,Groups!U:U)=1,'Base stats'!BG17,IF(OR(_xlfn.XLOOKUP(E17,Groups!A:A,Groups!BD:BD)=1,_xlfn.XLOOKUP(E17,Groups!A:A,Groups!U:U)=2),BD17,BE17))*1.2)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10"/>
        <v>11</v>
      </c>
      <c r="BI17" s="8">
        <f t="shared" si="11"/>
        <v>11</v>
      </c>
      <c r="BJ17" s="8" t="str">
        <f t="shared" si="6"/>
        <v>No</v>
      </c>
      <c r="BK17" s="8">
        <f t="shared" si="7"/>
        <v>10</v>
      </c>
      <c r="BL17" s="8">
        <f t="shared" si="12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N17" s="8" t="str">
        <f>IF(W17="No","No",IF(_xlfn.XLOOKUP(E17,Groups!A:A,Groups!BD:BD)=1,(AL17*5%),EXP(0.7354*LN(C17)^0.4078)*2/IF(_xlfn.XLOOKUP(E17,Groups!A:A,Groups!BL:BL)=1,1000,100)))</f>
        <v>No</v>
      </c>
      <c r="BO17" s="8">
        <f>IF(BG17="No","No",IF(_xlfn.XLOOKUP(E17,Groups!A:A,Groups!BF:BF)=1,(0.0315*C17+2.1825)*2,(0.7354*C17^0.4078)*2)/IF(_xlfn.XLOOKUP(E17,Groups!A:A,Groups!BM:BM)=1,1000,100))</f>
        <v>7.9675481601621551E-2</v>
      </c>
      <c r="BP17" s="8">
        <f t="shared" si="8"/>
        <v>0.10357593031751808</v>
      </c>
      <c r="BQ17" s="8">
        <f t="shared" si="13"/>
        <v>1377.2617125486379</v>
      </c>
      <c r="BR17" s="8" t="str">
        <f t="shared" si="9"/>
        <v>No</v>
      </c>
      <c r="BS17" s="8">
        <f t="shared" si="14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Groups!A17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IFERROR(AVERAGE(_xlfn.XLOOKUP(B18,Animals!B:B,Animals!N:N),_xlfn.XLOOKUP(B18,Animals!B:B,Animals!O:O)),0)</f>
        <v>0</v>
      </c>
      <c r="AT18" s="8">
        <f>MROUND(40*Animals!AO18*_xlfn.XLOOKUP(Animals!BA18,Leathers!$A$2:$A$100,Leathers!$B$2:$B$100,0)+(140*_xlfn.XLOOKUP(B18,Animals!B:B,Animals!AO:AO)*2),5)</f>
        <v>405</v>
      </c>
      <c r="AU18" s="8">
        <f>IFERROR(ROUND(SQRT(V18-1)*IF(_xlfn.XLOOKUP(E18,Groups!A:A,Groups!BF:BF)=0,2,1)*IF(_xlfn.XLOOKUP('Base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stats'!AY18,IF(OR(_xlfn.XLOOKUP(E18,Groups!A:A,Groups!BD:BD)=1,_xlfn.XLOOKUP(E18,Groups!A:A,Groups!U:U)=2),BA18,IF(_xlfn.XLOOKUP(B18,Animals!B:B,Animals!AO:AO)&gt;4,AVERAGE(BA18,BC18),BC18))))</f>
        <v>No</v>
      </c>
      <c r="BA18" s="8">
        <f t="shared" si="5"/>
        <v>1.0745597632000488</v>
      </c>
      <c r="BB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EXP(1.076*LN(AO18)-4.5397)*IF(_xlfn.XLOOKUP(E18,Groups!A:A,Groups!BC:BC)=1,1.25,IF(_xlfn.XLOOKUP(E18,Groups!A:A,Groups!BD:BD)=1,3.5,2.5))</f>
        <v>73.526474206851105</v>
      </c>
      <c r="BE18" s="8">
        <f>EXP(1.076*LN(AP18)-4.5397)*IF(_xlfn.XLOOKUP(E18,Groups!A:A,Groups!M:M)=1,0.8,IF(_xlfn.XLOOKUP(E18,Groups!A:A,Groups!BC:BC)=1,1.3,3))</f>
        <v>95.834150126565405</v>
      </c>
      <c r="BF18" s="8" t="str">
        <f>IF(W18="No","No",IF(_xlfn.XLOOKUP(E18,Groups!A:A,Groups!U:U)=1,'Base stats'!BG18,IF(OR(_xlfn.XLOOKUP(E18,Groups!A:A,Groups!BD:BD)=1,_xlfn.XLOOKUP(E18,Groups!A:A,Groups!U:U)=2),BD18,BE18))*1.2)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10"/>
        <v>11</v>
      </c>
      <c r="BI18" s="8">
        <f t="shared" si="11"/>
        <v>10</v>
      </c>
      <c r="BJ18" s="8" t="str">
        <f t="shared" si="6"/>
        <v>No</v>
      </c>
      <c r="BK18" s="8">
        <f t="shared" si="7"/>
        <v>10</v>
      </c>
      <c r="BL18" s="8">
        <f t="shared" si="12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N18" s="8" t="str">
        <f>IF(W18="No","No",IF(_xlfn.XLOOKUP(E18,Groups!A:A,Groups!BD:BD)=1,(AL18*5%),EXP(0.7354*LN(C18)^0.4078)*2/IF(_xlfn.XLOOKUP(E18,Groups!A:A,Groups!BL:BL)=1,1000,100)))</f>
        <v>No</v>
      </c>
      <c r="BO18" s="8">
        <f>IF(BG18="No","No",IF(_xlfn.XLOOKUP(E18,Groups!A:A,Groups!BF:BF)=1,(0.0315*C18+2.1825)*2,(0.7354*C18^0.4078)*2)/IF(_xlfn.XLOOKUP(E18,Groups!A:A,Groups!BM:BM)=1,1000,100))</f>
        <v>7.4679596144442667E-2</v>
      </c>
      <c r="BP18" s="8">
        <f t="shared" si="8"/>
        <v>9.9404204278252237E-2</v>
      </c>
      <c r="BQ18" s="8">
        <f t="shared" si="13"/>
        <v>1283.2708674696946</v>
      </c>
      <c r="BR18" s="8" t="str">
        <f t="shared" si="9"/>
        <v>No</v>
      </c>
      <c r="BS18" s="8">
        <f t="shared" si="14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Groups!A17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IFERROR(AVERAGE(_xlfn.XLOOKUP(B19,Animals!B:B,Animals!N:N),_xlfn.XLOOKUP(B19,Animals!B:B,Animals!O:O)),0)</f>
        <v>0</v>
      </c>
      <c r="AT19" s="8">
        <f>MROUND(40*Animals!AO19*_xlfn.XLOOKUP(Animals!BA19,Leathers!$A$2:$A$100,Leathers!$B$2:$B$100,0)+(140*_xlfn.XLOOKUP(B19,Animals!B:B,Animals!AO:AO)*2),5)</f>
        <v>270</v>
      </c>
      <c r="AU19" s="8">
        <f>IFERROR(ROUND(SQRT(V19-1)*IF(_xlfn.XLOOKUP(E19,Groups!A:A,Groups!BF:BF)=0,2,1)*IF(_xlfn.XLOOKUP('Base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stats'!AY19,IF(OR(_xlfn.XLOOKUP(E19,Groups!A:A,Groups!BD:BD)=1,_xlfn.XLOOKUP(E19,Groups!A:A,Groups!U:U)=2),BA19,IF(_xlfn.XLOOKUP(B19,Animals!B:B,Animals!AO:AO)&gt;4,AVERAGE(BA19,BC19),BC19))))</f>
        <v>No</v>
      </c>
      <c r="BA19" s="8">
        <f t="shared" si="5"/>
        <v>0.53074009611173534</v>
      </c>
      <c r="BB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EXP(1.076*LN(AO19)-4.5397)*IF(_xlfn.XLOOKUP(E19,Groups!A:A,Groups!BC:BC)=1,1.25,IF(_xlfn.XLOOKUP(E19,Groups!A:A,Groups!BD:BD)=1,3.5,2.5))</f>
        <v>33.992117018879853</v>
      </c>
      <c r="BE19" s="8">
        <f>EXP(1.076*LN(AP19)-4.5397)*IF(_xlfn.XLOOKUP(E19,Groups!A:A,Groups!M:M)=1,0.8,IF(_xlfn.XLOOKUP(E19,Groups!A:A,Groups!BC:BC)=1,1.3,3))</f>
        <v>46.460246351568529</v>
      </c>
      <c r="BF19" s="8" t="str">
        <f>IF(W19="No","No",IF(_xlfn.XLOOKUP(E19,Groups!A:A,Groups!U:U)=1,'Base stats'!BG19,IF(OR(_xlfn.XLOOKUP(E19,Groups!A:A,Groups!BD:BD)=1,_xlfn.XLOOKUP(E19,Groups!A:A,Groups!U:U)=2),BD19,BE19))*1.2)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10"/>
        <v>11</v>
      </c>
      <c r="BI19" s="8">
        <f t="shared" si="11"/>
        <v>10</v>
      </c>
      <c r="BJ19" s="8" t="str">
        <f t="shared" si="6"/>
        <v>No</v>
      </c>
      <c r="BK19" s="8">
        <f t="shared" si="7"/>
        <v>9</v>
      </c>
      <c r="BL19" s="8">
        <f t="shared" si="12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N19" s="8" t="str">
        <f>IF(W19="No","No",IF(_xlfn.XLOOKUP(E19,Groups!A:A,Groups!BD:BD)=1,(AL19*5%),EXP(0.7354*LN(C19)^0.4078)*2/IF(_xlfn.XLOOKUP(E19,Groups!A:A,Groups!BL:BL)=1,1000,100)))</f>
        <v>No</v>
      </c>
      <c r="BO19" s="8">
        <f>IF(BG19="No","No",IF(_xlfn.XLOOKUP(E19,Groups!A:A,Groups!BF:BF)=1,(0.0315*C19+2.1825)*2,(0.7354*C19^0.4078)*2)/IF(_xlfn.XLOOKUP(E19,Groups!A:A,Groups!BM:BM)=1,1000,100))</f>
        <v>5.2828251013544915E-2</v>
      </c>
      <c r="BP19" s="8">
        <f t="shared" si="8"/>
        <v>7.9792511821073206E-2</v>
      </c>
      <c r="BQ19" s="8">
        <f t="shared" si="13"/>
        <v>879.45834776275933</v>
      </c>
      <c r="BR19" s="8" t="str">
        <f t="shared" si="9"/>
        <v>No</v>
      </c>
      <c r="BS19" s="8">
        <f t="shared" si="14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Groups!A17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IFERROR(AVERAGE(_xlfn.XLOOKUP(B20,Animals!B:B,Animals!N:N),_xlfn.XLOOKUP(B20,Animals!B:B,Animals!O:O)),0)</f>
        <v>0</v>
      </c>
      <c r="AT20" s="8">
        <f>MROUND(40*Animals!AO20*_xlfn.XLOOKUP(Animals!BA20,Leathers!$A$2:$A$100,Leathers!$B$2:$B$100,0)+(140*_xlfn.XLOOKUP(B20,Animals!B:B,Animals!AO:AO)*2),5)</f>
        <v>105</v>
      </c>
      <c r="AU20" s="8">
        <f>IFERROR(ROUND(SQRT(V20-1)*IF(_xlfn.XLOOKUP(E20,Groups!A:A,Groups!BF:BF)=0,2,1)*IF(_xlfn.XLOOKUP('Base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stats'!AY20,IF(OR(_xlfn.XLOOKUP(E20,Groups!A:A,Groups!BD:BD)=1,_xlfn.XLOOKUP(E20,Groups!A:A,Groups!U:U)=2),BA20,IF(_xlfn.XLOOKUP(B20,Animals!B:B,Animals!AO:AO)&gt;4,AVERAGE(BA20,BC20),BC20))))</f>
        <v>No</v>
      </c>
      <c r="BA20" s="8">
        <f t="shared" si="5"/>
        <v>0.12146768525814348</v>
      </c>
      <c r="BB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EXP(1.076*LN(AO20)-4.5397)*IF(_xlfn.XLOOKUP(E20,Groups!A:A,Groups!BC:BC)=1,1.25,IF(_xlfn.XLOOKUP(E20,Groups!A:A,Groups!BD:BD)=1,3.5,2.5))</f>
        <v>6.7752381015249945</v>
      </c>
      <c r="BE20" s="8">
        <f>EXP(1.076*LN(AP20)-4.5397)*IF(_xlfn.XLOOKUP(E20,Groups!A:A,Groups!M:M)=1,0.8,IF(_xlfn.XLOOKUP(E20,Groups!A:A,Groups!BC:BC)=1,1.3,3))</f>
        <v>10.226994121049504</v>
      </c>
      <c r="BF20" s="8" t="str">
        <f>IF(W20="No","No",IF(_xlfn.XLOOKUP(E20,Groups!A:A,Groups!U:U)=1,'Base stats'!BG20,IF(OR(_xlfn.XLOOKUP(E20,Groups!A:A,Groups!BD:BD)=1,_xlfn.XLOOKUP(E20,Groups!A:A,Groups!U:U)=2),BD20,BE20))*1.2)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10"/>
        <v>10</v>
      </c>
      <c r="BI20" s="8">
        <f t="shared" si="11"/>
        <v>9</v>
      </c>
      <c r="BJ20" s="8" t="str">
        <f t="shared" si="6"/>
        <v>No</v>
      </c>
      <c r="BK20" s="8">
        <f t="shared" si="7"/>
        <v>8</v>
      </c>
      <c r="BL20" s="8">
        <f t="shared" si="12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N20" s="8" t="str">
        <f>IF(W20="No","No",IF(_xlfn.XLOOKUP(E20,Groups!A:A,Groups!BD:BD)=1,(AL20*5%),EXP(0.7354*LN(C20)^0.4078)*2/IF(_xlfn.XLOOKUP(E20,Groups!A:A,Groups!BL:BL)=1,1000,100)))</f>
        <v>No</v>
      </c>
      <c r="BO20" s="8">
        <f>IF(BG20="No","No",IF(_xlfn.XLOOKUP(E20,Groups!A:A,Groups!BF:BF)=1,(0.0315*C20+2.1825)*2,(0.7354*C20^0.4078)*2)/IF(_xlfn.XLOOKUP(E20,Groups!A:A,Groups!BM:BM)=1,1000,100))</f>
        <v>2.5620627834481265E-2</v>
      </c>
      <c r="BP20" s="8">
        <f t="shared" si="8"/>
        <v>5.0401050039449752E-2</v>
      </c>
      <c r="BQ20" s="8">
        <f t="shared" si="13"/>
        <v>399.17031647778771</v>
      </c>
      <c r="BR20" s="8" t="str">
        <f t="shared" si="9"/>
        <v>No</v>
      </c>
      <c r="BS20" s="8">
        <f t="shared" si="14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Groups!A23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IFERROR(AVERAGE(_xlfn.XLOOKUP(B21,Animals!B:B,Animals!N:N),_xlfn.XLOOKUP(B21,Animals!B:B,Animals!O:O)),0)</f>
        <v>0</v>
      </c>
      <c r="AT21" s="8">
        <f>MROUND(40*Animals!AO21*_xlfn.XLOOKUP(Animals!BA21,Leathers!$A$2:$A$100,Leathers!$B$2:$B$100,0)+(140*_xlfn.XLOOKUP(B21,Animals!B:B,Animals!AO:AO)*2),5)</f>
        <v>1000</v>
      </c>
      <c r="AU21" s="8">
        <f>IFERROR(ROUND(SQRT(V21-1)*IF(_xlfn.XLOOKUP(E21,Groups!A:A,Groups!BF:BF)=0,2,1)*IF(_xlfn.XLOOKUP('Base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stats'!AY21,IF(OR(_xlfn.XLOOKUP(E21,Groups!A:A,Groups!BD:BD)=1,_xlfn.XLOOKUP(E21,Groups!A:A,Groups!U:U)=2),BA21,IF(_xlfn.XLOOKUP(B21,Animals!B:B,Animals!AO:AO)&gt;4,AVERAGE(BA21,BC21),BC21))))</f>
        <v>No</v>
      </c>
      <c r="BA21" s="8">
        <f t="shared" si="5"/>
        <v>3.660703974942348</v>
      </c>
      <c r="BB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EXP(1.076*LN(AO21)-4.5397)*IF(_xlfn.XLOOKUP(E21,Groups!A:A,Groups!BC:BC)=1,1.25,IF(_xlfn.XLOOKUP(E21,Groups!A:A,Groups!BD:BD)=1,3.5,2.5))</f>
        <v>466.3889453261533</v>
      </c>
      <c r="BE21" s="8">
        <f>EXP(1.076*LN(AP21)-4.5397)*IF(_xlfn.XLOOKUP(E21,Groups!A:A,Groups!M:M)=1,0.8,IF(_xlfn.XLOOKUP(E21,Groups!A:A,Groups!BC:BC)=1,1.3,3))</f>
        <v>542.54364755574011</v>
      </c>
      <c r="BF21" s="8" t="str">
        <f>IF(W21="No","No",IF(_xlfn.XLOOKUP(E21,Groups!A:A,Groups!U:U)=1,'Base stats'!BG21,IF(OR(_xlfn.XLOOKUP(E21,Groups!A:A,Groups!BD:BD)=1,_xlfn.XLOOKUP(E21,Groups!A:A,Groups!U:U)=2),BD21,BE21))*1.2)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10"/>
        <v>15</v>
      </c>
      <c r="BI21" s="8">
        <f t="shared" si="11"/>
        <v>11</v>
      </c>
      <c r="BJ21" s="8" t="str">
        <f t="shared" si="6"/>
        <v>No</v>
      </c>
      <c r="BK21" s="8">
        <f t="shared" si="7"/>
        <v>10</v>
      </c>
      <c r="BL21" s="8">
        <f t="shared" si="12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N21" s="8" t="str">
        <f>IF(W21="No","No",IF(_xlfn.XLOOKUP(E21,Groups!A:A,Groups!BD:BD)=1,(AL21*5%),EXP(0.7354*LN(C21)^0.4078)*2/IF(_xlfn.XLOOKUP(E21,Groups!A:A,Groups!BL:BL)=1,1000,100)))</f>
        <v>No</v>
      </c>
      <c r="BO21" s="8">
        <f>IF(BG21="No","No",IF(_xlfn.XLOOKUP(E21,Groups!A:A,Groups!BF:BF)=1,(0.0315*C21+2.1825)*2,(0.7354*C21^0.4078)*2)/IF(_xlfn.XLOOKUP(E21,Groups!A:A,Groups!BM:BM)=1,1000,100))</f>
        <v>0.30213900000000005</v>
      </c>
      <c r="BP21" s="8">
        <f t="shared" si="8"/>
        <v>0.16824388131103579</v>
      </c>
      <c r="BQ21" s="8">
        <f t="shared" si="13"/>
        <v>7.3300376054213663</v>
      </c>
      <c r="BR21" s="8" t="str">
        <f t="shared" si="9"/>
        <v>No</v>
      </c>
      <c r="BS21" s="8">
        <f t="shared" si="14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Groups!A23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IFERROR(AVERAGE(_xlfn.XLOOKUP(B22,Animals!B:B,Animals!N:N),_xlfn.XLOOKUP(B22,Animals!B:B,Animals!O:O)),0)</f>
        <v>0</v>
      </c>
      <c r="AT22" s="8">
        <f>MROUND(40*Animals!AO22*_xlfn.XLOOKUP(Animals!BA22,Leathers!$A$2:$A$100,Leathers!$B$2:$B$100,0)+(140*_xlfn.XLOOKUP(B22,Animals!B:B,Animals!AO:AO)*2),5)</f>
        <v>580</v>
      </c>
      <c r="AU22" s="8">
        <f>IFERROR(ROUND(SQRT(V22-1)*IF(_xlfn.XLOOKUP(E22,Groups!A:A,Groups!BF:BF)=0,2,1)*IF(_xlfn.XLOOKUP('Base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stats'!AY22,IF(OR(_xlfn.XLOOKUP(E22,Groups!A:A,Groups!BD:BD)=1,_xlfn.XLOOKUP(E22,Groups!A:A,Groups!U:U)=2),BA22,IF(_xlfn.XLOOKUP(B22,Animals!B:B,Animals!AO:AO)&gt;4,AVERAGE(BA22,BC22),BC22))))</f>
        <v>No</v>
      </c>
      <c r="BA22" s="8">
        <f t="shared" si="5"/>
        <v>1.8418955207681615</v>
      </c>
      <c r="BB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EXP(1.076*LN(AO22)-4.5397)*IF(_xlfn.XLOOKUP(E22,Groups!A:A,Groups!BC:BC)=1,1.25,IF(_xlfn.XLOOKUP(E22,Groups!A:A,Groups!BD:BD)=1,3.5,2.5))</f>
        <v>203.78290977632054</v>
      </c>
      <c r="BE22" s="8">
        <f>EXP(1.076*LN(AP22)-4.5397)*IF(_xlfn.XLOOKUP(E22,Groups!A:A,Groups!M:M)=1,0.8,IF(_xlfn.XLOOKUP(E22,Groups!A:A,Groups!BC:BC)=1,1.3,3))</f>
        <v>249.45377645062257</v>
      </c>
      <c r="BF22" s="8" t="str">
        <f>IF(W22="No","No",IF(_xlfn.XLOOKUP(E22,Groups!A:A,Groups!U:U)=1,'Base stats'!BG22,IF(OR(_xlfn.XLOOKUP(E22,Groups!A:A,Groups!BD:BD)=1,_xlfn.XLOOKUP(E22,Groups!A:A,Groups!U:U)=2),BD22,BE22))*1.2)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10"/>
        <v>14</v>
      </c>
      <c r="BI22" s="8">
        <f t="shared" si="11"/>
        <v>11</v>
      </c>
      <c r="BJ22" s="8" t="str">
        <f t="shared" si="6"/>
        <v>No</v>
      </c>
      <c r="BK22" s="8">
        <f t="shared" si="7"/>
        <v>9</v>
      </c>
      <c r="BL22" s="8">
        <f t="shared" si="12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N22" s="8" t="str">
        <f>IF(W22="No","No",IF(_xlfn.XLOOKUP(E22,Groups!A:A,Groups!BD:BD)=1,(AL22*5%),EXP(0.7354*LN(C22)^0.4078)*2/IF(_xlfn.XLOOKUP(E22,Groups!A:A,Groups!BL:BL)=1,1000,100)))</f>
        <v>No</v>
      </c>
      <c r="BO22" s="8">
        <f>IF(BG22="No","No",IF(_xlfn.XLOOKUP(E22,Groups!A:A,Groups!BF:BF)=1,(0.0315*C22+2.1825)*2,(0.7354*C22^0.4078)*2)/IF(_xlfn.XLOOKUP(E22,Groups!A:A,Groups!BM:BM)=1,1000,100))</f>
        <v>0.14759874000000001</v>
      </c>
      <c r="BP22" s="8">
        <f t="shared" si="8"/>
        <v>0.13289652773560848</v>
      </c>
      <c r="BQ22" s="8">
        <f t="shared" si="13"/>
        <v>7.6282729889532384</v>
      </c>
      <c r="BR22" s="8" t="str">
        <f t="shared" si="9"/>
        <v>No</v>
      </c>
      <c r="BS22" s="8">
        <f t="shared" si="14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Groups!A45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IFERROR(AVERAGE(_xlfn.XLOOKUP(B23,Animals!B:B,Animals!N:N),_xlfn.XLOOKUP(B23,Animals!B:B,Animals!O:O)),0)</f>
        <v>0</v>
      </c>
      <c r="AT23" s="8">
        <f>MROUND(40*Animals!AO23*_xlfn.XLOOKUP(Animals!BA23,Leathers!$A$2:$A$100,Leathers!$B$2:$B$100,0)+(140*_xlfn.XLOOKUP(B23,Animals!B:B,Animals!AO:AO)*2),5)</f>
        <v>105</v>
      </c>
      <c r="AU23" s="8">
        <f>IFERROR(ROUND(SQRT(V23-1)*IF(_xlfn.XLOOKUP(E23,Groups!A:A,Groups!BF:BF)=0,2,1)*IF(_xlfn.XLOOKUP('Base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stats'!AY23,IF(OR(_xlfn.XLOOKUP(E23,Groups!A:A,Groups!BD:BD)=1,_xlfn.XLOOKUP(E23,Groups!A:A,Groups!U:U)=2),BA23,IF(_xlfn.XLOOKUP(B23,Animals!B:B,Animals!AO:AO)&gt;4,AVERAGE(BA23,BC23),BC23))))</f>
        <v>No</v>
      </c>
      <c r="BA23" s="8">
        <f t="shared" si="5"/>
        <v>0.11514923387390767</v>
      </c>
      <c r="BB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EXP(1.076*LN(AO23)-4.5397)*IF(_xlfn.XLOOKUP(E23,Groups!A:A,Groups!BC:BC)=1,1.25,IF(_xlfn.XLOOKUP(E23,Groups!A:A,Groups!BD:BD)=1,3.5,2.5))</f>
        <v>7.2080955088625318</v>
      </c>
      <c r="BE23" s="8">
        <f>EXP(1.076*LN(AP23)-4.5397)*IF(_xlfn.XLOOKUP(E23,Groups!A:A,Groups!M:M)=1,0.8,IF(_xlfn.XLOOKUP(E23,Groups!A:A,Groups!BC:BC)=1,1.3,3))</f>
        <v>10.838975937446341</v>
      </c>
      <c r="BF23" s="8" t="str">
        <f>IF(W23="No","No",IF(_xlfn.XLOOKUP(E23,Groups!A:A,Groups!U:U)=1,'Base stats'!BG23,IF(OR(_xlfn.XLOOKUP(E23,Groups!A:A,Groups!BD:BD)=1,_xlfn.XLOOKUP(E23,Groups!A:A,Groups!U:U)=2),BD23,BE23))*1.2)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10"/>
        <v>11</v>
      </c>
      <c r="BI23" s="8">
        <f t="shared" si="11"/>
        <v>10</v>
      </c>
      <c r="BJ23" s="8" t="str">
        <f t="shared" si="6"/>
        <v>No</v>
      </c>
      <c r="BK23" s="8">
        <f t="shared" si="7"/>
        <v>7</v>
      </c>
      <c r="BL23" s="8">
        <f t="shared" si="12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N23" s="8" t="str">
        <f>IF(W23="No","No",IF(_xlfn.XLOOKUP(E23,Groups!A:A,Groups!BD:BD)=1,(AL23*5%),EXP(0.7354*LN(C23)^0.4078)*2/IF(_xlfn.XLOOKUP(E23,Groups!A:A,Groups!BL:BL)=1,1000,100)))</f>
        <v>No</v>
      </c>
      <c r="BO23" s="8">
        <f>IF(BG23="No","No",IF(_xlfn.XLOOKUP(E23,Groups!A:A,Groups!BF:BF)=1,(0.0315*C23+2.1825)*2,(0.7354*C23^0.4078)*2)/IF(_xlfn.XLOOKUP(E23,Groups!A:A,Groups!BM:BM)=1,1000,100))</f>
        <v>2.6342520922891119E-2</v>
      </c>
      <c r="BP23" s="8">
        <f t="shared" si="8"/>
        <v>5.1298047752629666E-2</v>
      </c>
      <c r="BQ23" s="8" t="str">
        <f t="shared" si="13"/>
        <v>No</v>
      </c>
      <c r="BR23" s="8" t="str">
        <f t="shared" si="9"/>
        <v>No</v>
      </c>
      <c r="BS23" s="8">
        <f t="shared" si="14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Groups!A45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IFERROR(AVERAGE(_xlfn.XLOOKUP(B24,Animals!B:B,Animals!N:N),_xlfn.XLOOKUP(B24,Animals!B:B,Animals!O:O)),0)</f>
        <v>0</v>
      </c>
      <c r="AT24" s="8">
        <f>MROUND(40*Animals!AO24*_xlfn.XLOOKUP(Animals!BA24,Leathers!$A$2:$A$100,Leathers!$B$2:$B$100,0)+(140*_xlfn.XLOOKUP(B24,Animals!B:B,Animals!AO:AO)*2),5)</f>
        <v>105</v>
      </c>
      <c r="AU24" s="8">
        <f>IFERROR(ROUND(SQRT(V24-1)*IF(_xlfn.XLOOKUP(E24,Groups!A:A,Groups!BF:BF)=0,2,1)*IF(_xlfn.XLOOKUP('Base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stats'!AY24,IF(OR(_xlfn.XLOOKUP(E24,Groups!A:A,Groups!BD:BD)=1,_xlfn.XLOOKUP(E24,Groups!A:A,Groups!U:U)=2),BA24,IF(_xlfn.XLOOKUP(B24,Animals!B:B,Animals!AO:AO)&gt;4,AVERAGE(BA24,BC24),BC24))))</f>
        <v>No</v>
      </c>
      <c r="BA24" s="8">
        <f t="shared" si="5"/>
        <v>0.11514923387390767</v>
      </c>
      <c r="BB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EXP(1.076*LN(AO24)-4.5397)*IF(_xlfn.XLOOKUP(E24,Groups!A:A,Groups!BC:BC)=1,1.25,IF(_xlfn.XLOOKUP(E24,Groups!A:A,Groups!BD:BD)=1,3.5,2.5))</f>
        <v>7.2080955088625318</v>
      </c>
      <c r="BE24" s="8">
        <f>EXP(1.076*LN(AP24)-4.5397)*IF(_xlfn.XLOOKUP(E24,Groups!A:A,Groups!M:M)=1,0.8,IF(_xlfn.XLOOKUP(E24,Groups!A:A,Groups!BC:BC)=1,1.3,3))</f>
        <v>10.838975937446341</v>
      </c>
      <c r="BF24" s="8" t="str">
        <f>IF(W24="No","No",IF(_xlfn.XLOOKUP(E24,Groups!A:A,Groups!U:U)=1,'Base stats'!BG24,IF(OR(_xlfn.XLOOKUP(E24,Groups!A:A,Groups!BD:BD)=1,_xlfn.XLOOKUP(E24,Groups!A:A,Groups!U:U)=2),BD24,BE24))*1.2)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10"/>
        <v>11</v>
      </c>
      <c r="BI24" s="8">
        <f t="shared" si="11"/>
        <v>10</v>
      </c>
      <c r="BJ24" s="8" t="str">
        <f t="shared" si="6"/>
        <v>No</v>
      </c>
      <c r="BK24" s="8">
        <f t="shared" si="7"/>
        <v>7</v>
      </c>
      <c r="BL24" s="8">
        <f t="shared" si="12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N24" s="8" t="str">
        <f>IF(W24="No","No",IF(_xlfn.XLOOKUP(E24,Groups!A:A,Groups!BD:BD)=1,(AL24*5%),EXP(0.7354*LN(C24)^0.4078)*2/IF(_xlfn.XLOOKUP(E24,Groups!A:A,Groups!BL:BL)=1,1000,100)))</f>
        <v>No</v>
      </c>
      <c r="BO24" s="8">
        <f>IF(BG24="No","No",IF(_xlfn.XLOOKUP(E24,Groups!A:A,Groups!BF:BF)=1,(0.0315*C24+2.1825)*2,(0.7354*C24^0.4078)*2)/IF(_xlfn.XLOOKUP(E24,Groups!A:A,Groups!BM:BM)=1,1000,100))</f>
        <v>2.6342520922891119E-2</v>
      </c>
      <c r="BP24" s="8">
        <f t="shared" si="8"/>
        <v>5.1298047752629666E-2</v>
      </c>
      <c r="BQ24" s="8" t="str">
        <f t="shared" si="13"/>
        <v>No</v>
      </c>
      <c r="BR24" s="8" t="str">
        <f t="shared" si="9"/>
        <v>No</v>
      </c>
      <c r="BS24" s="8">
        <f t="shared" si="14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Groups!A43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IFERROR(AVERAGE(_xlfn.XLOOKUP(B25,Animals!B:B,Animals!N:N),_xlfn.XLOOKUP(B25,Animals!B:B,Animals!O:O)),0)</f>
        <v>0</v>
      </c>
      <c r="AT25" s="8">
        <f>MROUND(40*Animals!AO25*_xlfn.XLOOKUP(Animals!BA25,Leathers!$A$2:$A$100,Leathers!$B$2:$B$100,0)+(140*_xlfn.XLOOKUP(B25,Animals!B:B,Animals!AO:AO)*2),5)</f>
        <v>1680</v>
      </c>
      <c r="AU25" s="8">
        <f>IFERROR(ROUND(SQRT(V25-1)*IF(_xlfn.XLOOKUP(E25,Groups!A:A,Groups!BF:BF)=0,2,1)*IF(_xlfn.XLOOKUP('Base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9.5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stats'!AY25,IF(OR(_xlfn.XLOOKUP(E25,Groups!A:A,Groups!BD:BD)=1,_xlfn.XLOOKUP(E25,Groups!A:A,Groups!U:U)=2),BA25,IF(_xlfn.XLOOKUP(B25,Animals!B:B,Animals!AO:AO)&gt;4,AVERAGE(BA25,BC25),BC25))))</f>
        <v>12.87449936124731</v>
      </c>
      <c r="BA25" s="8">
        <f t="shared" si="5"/>
        <v>12.87449936124731</v>
      </c>
      <c r="BB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EXP(1.076*LN(AO25)-4.5397)*IF(_xlfn.XLOOKUP(E25,Groups!A:A,Groups!BC:BC)=1,1.25,IF(_xlfn.XLOOKUP(E25,Groups!A:A,Groups!BD:BD)=1,3.5,2.5))</f>
        <v>2123.8066364122428</v>
      </c>
      <c r="BE25" s="8">
        <f>EXP(1.076*LN(AP25)-4.5397)*IF(_xlfn.XLOOKUP(E25,Groups!A:A,Groups!M:M)=1,0.8,IF(_xlfn.XLOOKUP(E25,Groups!A:A,Groups!BC:BC)=1,1.3,3))</f>
        <v>2250.4643829685419</v>
      </c>
      <c r="BF25" s="8">
        <f>IF(W25="No","No",IF(_xlfn.XLOOKUP(E25,Groups!A:A,Groups!U:U)=1,'Base stats'!BG25,IF(OR(_xlfn.XLOOKUP(E25,Groups!A:A,Groups!BD:BD)=1,_xlfn.XLOOKUP(E25,Groups!A:A,Groups!U:U)=2),BD25,BE25))*1.2)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10"/>
        <v>18</v>
      </c>
      <c r="BI25" s="8">
        <f t="shared" si="11"/>
        <v>12</v>
      </c>
      <c r="BJ25" s="8">
        <f t="shared" si="6"/>
        <v>19</v>
      </c>
      <c r="BK25" s="8">
        <f t="shared" si="7"/>
        <v>12</v>
      </c>
      <c r="BL25" s="8">
        <f t="shared" si="12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N25" s="8">
        <f>IF(W25="No","No",IF(_xlfn.XLOOKUP(E25,Groups!A:A,Groups!BD:BD)=1,(AL25*5%),EXP(0.7354*LN(C25)^0.4078)*2/IF(_xlfn.XLOOKUP(E25,Groups!A:A,Groups!BL:BL)=1,1000,100)))</f>
        <v>0.10830426171036688</v>
      </c>
      <c r="BO25" s="8">
        <f>IF(BG25="No","No",IF(_xlfn.XLOOKUP(E25,Groups!A:A,Groups!BF:BF)=1,(0.0315*C25+2.1825)*2,(0.7354*C25^0.4078)*2)/IF(_xlfn.XLOOKUP(E25,Groups!A:A,Groups!BM:BM)=1,1000,100))</f>
        <v>0.33772989730193315</v>
      </c>
      <c r="BP25" s="8">
        <f t="shared" si="8"/>
        <v>0.25910361398279691</v>
      </c>
      <c r="BQ25" s="8" t="str">
        <f t="shared" si="13"/>
        <v>No</v>
      </c>
      <c r="BR25" s="8">
        <f t="shared" si="9"/>
        <v>23531.557516270317</v>
      </c>
      <c r="BS25" s="8">
        <f t="shared" si="14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Groups!A16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IFERROR(AVERAGE(_xlfn.XLOOKUP(B26,Animals!B:B,Animals!N:N),_xlfn.XLOOKUP(B26,Animals!B:B,Animals!O:O)),0)</f>
        <v>0</v>
      </c>
      <c r="AT26" s="8">
        <f>MROUND(40*Animals!AO26*_xlfn.XLOOKUP(Animals!BA26,Leathers!$A$2:$A$100,Leathers!$B$2:$B$100,0)+(140*_xlfn.XLOOKUP(B26,Animals!B:B,Animals!AO:AO)*2),5)</f>
        <v>2000</v>
      </c>
      <c r="AU26" s="8">
        <f>IFERROR(ROUND(SQRT(V26-1)*IF(_xlfn.XLOOKUP(E26,Groups!A:A,Groups!BF:BF)=0,2,1)*IF(_xlfn.XLOOKUP('Base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stats'!AY26,IF(OR(_xlfn.XLOOKUP(E26,Groups!A:A,Groups!BD:BD)=1,_xlfn.XLOOKUP(E26,Groups!A:A,Groups!U:U)=2),BA26,IF(_xlfn.XLOOKUP(B26,Animals!B:B,Animals!AO:AO)&gt;4,AVERAGE(BA26,BC26),BC26))))</f>
        <v>29.066535189734225</v>
      </c>
      <c r="BA26" s="8">
        <f t="shared" si="5"/>
        <v>22.274517350066827</v>
      </c>
      <c r="BB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EXP(1.076*LN(AO26)-4.5397)*IF(_xlfn.XLOOKUP(E26,Groups!A:A,Groups!BC:BC)=1,1.25,IF(_xlfn.XLOOKUP(E26,Groups!A:A,Groups!BD:BD)=1,3.5,2.5))</f>
        <v>2056.2325274309005</v>
      </c>
      <c r="BE26" s="8">
        <f>EXP(1.076*LN(AP26)-4.5397)*IF(_xlfn.XLOOKUP(E26,Groups!A:A,Groups!M:M)=1,0.8,IF(_xlfn.XLOOKUP(E26,Groups!A:A,Groups!BC:BC)=1,1.3,3))</f>
        <v>1813.0695438509977</v>
      </c>
      <c r="BF26" s="8">
        <f>IF(W26="No","No",IF(_xlfn.XLOOKUP(E26,Groups!A:A,Groups!U:U)=1,'Base stats'!BG26,IF(OR(_xlfn.XLOOKUP(E26,Groups!A:A,Groups!BD:BD)=1,_xlfn.XLOOKUP(E26,Groups!A:A,Groups!U:U)=2),BD26,BE26))*1.2)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10"/>
        <v>13</v>
      </c>
      <c r="BI26" s="8">
        <f t="shared" si="11"/>
        <v>11</v>
      </c>
      <c r="BJ26" s="8">
        <f t="shared" si="6"/>
        <v>12</v>
      </c>
      <c r="BK26" s="8" t="str">
        <f t="shared" si="7"/>
        <v>No</v>
      </c>
      <c r="BL26" s="8">
        <f t="shared" si="12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N26" s="8">
        <f>IF(W26="No","No",IF(_xlfn.XLOOKUP(E26,Groups!A:A,Groups!BD:BD)=1,(AL26*5%),EXP(0.7354*LN(C26)^0.4078)*2/IF(_xlfn.XLOOKUP(E26,Groups!A:A,Groups!BL:BL)=1,1000,100)))</f>
        <v>0.11539690490306942</v>
      </c>
      <c r="BO26" s="8" t="str">
        <f>IF(BG26="No","No",IF(_xlfn.XLOOKUP(E26,Groups!A:A,Groups!BF:BF)=1,(0.0315*C26+2.1825)*2,(0.7354*C26^0.4078)*2)/IF(_xlfn.XLOOKUP(E26,Groups!A:A,Groups!BM:BM)=1,1000,100))</f>
        <v>No</v>
      </c>
      <c r="BP26" s="8">
        <f t="shared" si="8"/>
        <v>0.15638356448345406</v>
      </c>
      <c r="BQ26" s="8">
        <f t="shared" si="13"/>
        <v>2.6608142543520259</v>
      </c>
      <c r="BR26" s="8">
        <f t="shared" si="9"/>
        <v>18853.91514138718</v>
      </c>
      <c r="BS26" s="8" t="str">
        <f t="shared" si="14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Groups!A57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IFERROR(AVERAGE(_xlfn.XLOOKUP(B27,Animals!B:B,Animals!N:N),_xlfn.XLOOKUP(B27,Animals!B:B,Animals!O:O)),0)</f>
        <v>1.1500000000000001</v>
      </c>
      <c r="AT27" s="8">
        <f>MROUND(40*Animals!AO27*_xlfn.XLOOKUP(Animals!BA27,Leathers!$A$2:$A$100,Leathers!$B$2:$B$100,0)+(140*_xlfn.XLOOKUP(B27,Animals!B:B,Animals!AO:AO)*2),5)</f>
        <v>4620</v>
      </c>
      <c r="AU27" s="8">
        <f>IFERROR(ROUND(SQRT(V27-1)*IF(_xlfn.XLOOKUP(E27,Groups!A:A,Groups!BF:BF)=0,2,1)*IF(_xlfn.XLOOKUP('Base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stats'!AY27,IF(OR(_xlfn.XLOOKUP(E27,Groups!A:A,Groups!BD:BD)=1,_xlfn.XLOOKUP(E27,Groups!A:A,Groups!U:U)=2),BA27,IF(_xlfn.XLOOKUP(B27,Animals!B:B,Animals!AO:AO)&gt;4,AVERAGE(BA27,BC27),BC27))))</f>
        <v>27.670187995209911</v>
      </c>
      <c r="BA27" s="8">
        <f t="shared" si="5"/>
        <v>27.670187995209911</v>
      </c>
      <c r="BB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EXP(1.076*LN(AO27)-4.5397)*IF(_xlfn.XLOOKUP(E27,Groups!A:A,Groups!BC:BC)=1,1.25,IF(_xlfn.XLOOKUP(E27,Groups!A:A,Groups!BD:BD)=1,3.5,2.5))</f>
        <v>2670.7220547406591</v>
      </c>
      <c r="BE27" s="8">
        <f>EXP(1.076*LN(AP27)-4.5397)*IF(_xlfn.XLOOKUP(E27,Groups!A:A,Groups!M:M)=1,0.8,IF(_xlfn.XLOOKUP(E27,Groups!A:A,Groups!BC:BC)=1,1.3,3))</f>
        <v>2317.2898443594122</v>
      </c>
      <c r="BF27" s="8">
        <f>IF(W27="No","No",IF(_xlfn.XLOOKUP(E27,Groups!A:A,Groups!U:U)=1,'Base stats'!BG27,IF(OR(_xlfn.XLOOKUP(E27,Groups!A:A,Groups!BD:BD)=1,_xlfn.XLOOKUP(E27,Groups!A:A,Groups!U:U)=2),BD27,BE27))*1.2)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10"/>
        <v>13</v>
      </c>
      <c r="BI27" s="8">
        <f t="shared" si="11"/>
        <v>11</v>
      </c>
      <c r="BJ27" s="8">
        <f t="shared" si="6"/>
        <v>15</v>
      </c>
      <c r="BK27" s="8" t="str">
        <f t="shared" si="7"/>
        <v>No</v>
      </c>
      <c r="BL27" s="8">
        <f t="shared" si="12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N27" s="8">
        <f>IF(W27="No","No",IF(_xlfn.XLOOKUP(E27,Groups!A:A,Groups!BD:BD)=1,(AL27*5%),EXP(0.7354*LN(C27)^0.4078)*2/IF(_xlfn.XLOOKUP(E27,Groups!A:A,Groups!BL:BL)=1,1000,100)))</f>
        <v>1.1822361841876084E-2</v>
      </c>
      <c r="BO27" s="8" t="str">
        <f>IF(BG27="No","No",IF(_xlfn.XLOOKUP(E27,Groups!A:A,Groups!BF:BF)=1,(0.0315*C27+2.1825)*2,(0.7354*C27^0.4078)*2)/IF(_xlfn.XLOOKUP(E27,Groups!A:A,Groups!BM:BM)=1,1000,100))</f>
        <v>No</v>
      </c>
      <c r="BP27" s="8">
        <f t="shared" si="8"/>
        <v>0.16847574944282484</v>
      </c>
      <c r="BQ27" s="8">
        <f t="shared" si="13"/>
        <v>2.5902091152033417</v>
      </c>
      <c r="BR27" s="8">
        <f t="shared" si="9"/>
        <v>271085.12736742728</v>
      </c>
      <c r="BS27" s="8" t="str">
        <f t="shared" si="14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Groups!A53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IFERROR(AVERAGE(_xlfn.XLOOKUP(B28,Animals!B:B,Animals!N:N),_xlfn.XLOOKUP(B28,Animals!B:B,Animals!O:O)),0)</f>
        <v>0.22500000000000001</v>
      </c>
      <c r="AT28" s="8">
        <f>MROUND(40*Animals!AO28*_xlfn.XLOOKUP(Animals!BA28,Leathers!$A$2:$A$100,Leathers!$B$2:$B$100,0)+(140*_xlfn.XLOOKUP(B28,Animals!B:B,Animals!AO:AO)*2),5)</f>
        <v>1955</v>
      </c>
      <c r="AU28" s="8">
        <f>IFERROR(ROUND(SQRT(V28-1)*IF(_xlfn.XLOOKUP(E28,Groups!A:A,Groups!BF:BF)=0,2,1)*IF(_xlfn.XLOOKUP('Base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stats'!AY28,IF(OR(_xlfn.XLOOKUP(E28,Groups!A:A,Groups!BD:BD)=1,_xlfn.XLOOKUP(E28,Groups!A:A,Groups!U:U)=2),BA28,IF(_xlfn.XLOOKUP(B28,Animals!B:B,Animals!AO:AO)&gt;4,AVERAGE(BA28,BC28),BC28))))</f>
        <v>No</v>
      </c>
      <c r="BA28" s="8">
        <f t="shared" si="5"/>
        <v>19.240406405231251</v>
      </c>
      <c r="BB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EXP(1.076*LN(AO28)-4.5397)*IF(_xlfn.XLOOKUP(E28,Groups!A:A,Groups!BC:BC)=1,1.25,IF(_xlfn.XLOOKUP(E28,Groups!A:A,Groups!BD:BD)=1,3.5,2.5))</f>
        <v>1723.5099079485713</v>
      </c>
      <c r="BE28" s="8">
        <f>EXP(1.076*LN(AP28)-4.5397)*IF(_xlfn.XLOOKUP(E28,Groups!A:A,Groups!M:M)=1,0.8,IF(_xlfn.XLOOKUP(E28,Groups!A:A,Groups!BC:BC)=1,1.3,3))</f>
        <v>1536.2968496689477</v>
      </c>
      <c r="BF28" s="8" t="str">
        <f>IF(W28="No","No",IF(_xlfn.XLOOKUP(E28,Groups!A:A,Groups!U:U)=1,'Base stats'!BG28,IF(OR(_xlfn.XLOOKUP(E28,Groups!A:A,Groups!BD:BD)=1,_xlfn.XLOOKUP(E28,Groups!A:A,Groups!U:U)=2),BD28,BE28))*1.2)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10"/>
        <v>13</v>
      </c>
      <c r="BI28" s="8">
        <f t="shared" si="11"/>
        <v>11</v>
      </c>
      <c r="BJ28" s="8" t="str">
        <f t="shared" si="6"/>
        <v>No</v>
      </c>
      <c r="BK28" s="8">
        <f t="shared" si="7"/>
        <v>12</v>
      </c>
      <c r="BL28" s="8">
        <f t="shared" si="12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N28" s="8" t="str">
        <f>IF(W28="No","No",IF(_xlfn.XLOOKUP(E28,Groups!A:A,Groups!BD:BD)=1,(AL28*5%),EXP(0.7354*LN(C28)^0.4078)*2/IF(_xlfn.XLOOKUP(E28,Groups!A:A,Groups!BL:BL)=1,1000,100)))</f>
        <v>No</v>
      </c>
      <c r="BO28" s="8">
        <f>IF(BG28="No","No",IF(_xlfn.XLOOKUP(E28,Groups!A:A,Groups!BF:BF)=1,(0.0315*C28+2.1825)*2,(0.7354*C28^0.4078)*2)/IF(_xlfn.XLOOKUP(E28,Groups!A:A,Groups!BM:BM)=1,1000,100))</f>
        <v>2.378241</v>
      </c>
      <c r="BP28" s="8">
        <f t="shared" si="8"/>
        <v>0.14871512274091045</v>
      </c>
      <c r="BQ28" s="8">
        <f t="shared" si="13"/>
        <v>3660.4647398629722</v>
      </c>
      <c r="BR28" s="8" t="str">
        <f t="shared" si="9"/>
        <v>No</v>
      </c>
      <c r="BS28" s="8">
        <f t="shared" si="14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Groups!A35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IFERROR(AVERAGE(_xlfn.XLOOKUP(B29,Animals!B:B,Animals!N:N),_xlfn.XLOOKUP(B29,Animals!B:B,Animals!O:O)),0)</f>
        <v>0</v>
      </c>
      <c r="AT29" s="8">
        <f>MROUND(40*Animals!AO29*_xlfn.XLOOKUP(Animals!BA29,Leathers!$A$2:$A$100,Leathers!$B$2:$B$100,0)+(140*_xlfn.XLOOKUP(B29,Animals!B:B,Animals!AO:AO)*2),5)</f>
        <v>535</v>
      </c>
      <c r="AU29" s="8">
        <f>IFERROR(ROUND(SQRT(V29-1)*IF(_xlfn.XLOOKUP(E29,Groups!A:A,Groups!BF:BF)=0,2,1)*IF(_xlfn.XLOOKUP('Base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stats'!AY29,IF(OR(_xlfn.XLOOKUP(E29,Groups!A:A,Groups!BD:BD)=1,_xlfn.XLOOKUP(E29,Groups!A:A,Groups!U:U)=2),BA29,IF(_xlfn.XLOOKUP(B29,Animals!B:B,Animals!AO:AO)&gt;4,AVERAGE(BA29,BC29),BC29))))</f>
        <v>8.1672088007480177</v>
      </c>
      <c r="BA29" s="8">
        <f t="shared" si="5"/>
        <v>1.7141896806845596</v>
      </c>
      <c r="BB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EXP(1.076*LN(AO29)-4.5397)*IF(_xlfn.XLOOKUP(E29,Groups!A:A,Groups!BC:BC)=1,1.25,IF(_xlfn.XLOOKUP(E29,Groups!A:A,Groups!BD:BD)=1,3.5,2.5))</f>
        <v>186.87484615605439</v>
      </c>
      <c r="BE29" s="8">
        <f>EXP(1.076*LN(AP29)-4.5397)*IF(_xlfn.XLOOKUP(E29,Groups!A:A,Groups!M:M)=1,0.8,IF(_xlfn.XLOOKUP(E29,Groups!A:A,Groups!BC:BC)=1,1.3,3))</f>
        <v>229.97937056804284</v>
      </c>
      <c r="BF29" s="8">
        <f>IF(W29="No","No",IF(_xlfn.XLOOKUP(E29,Groups!A:A,Groups!U:U)=1,'Base stats'!BG29,IF(OR(_xlfn.XLOOKUP(E29,Groups!A:A,Groups!BD:BD)=1,_xlfn.XLOOKUP(E29,Groups!A:A,Groups!U:U)=2),BD29,BE29))*1.2)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10"/>
        <v>14</v>
      </c>
      <c r="BI29" s="8">
        <f t="shared" si="11"/>
        <v>11</v>
      </c>
      <c r="BJ29" s="8">
        <f t="shared" si="6"/>
        <v>11</v>
      </c>
      <c r="BK29" s="8">
        <f t="shared" si="7"/>
        <v>10</v>
      </c>
      <c r="BL29" s="8">
        <f t="shared" si="12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N29" s="8">
        <f>IF(W29="No","No",IF(_xlfn.XLOOKUP(E29,Groups!A:A,Groups!BD:BD)=1,(AL29*5%),EXP(0.7354*LN(C29)^0.4078)*2/IF(_xlfn.XLOOKUP(E29,Groups!A:A,Groups!BL:BL)=1,1000,100)))</f>
        <v>8.2648233730893056E-2</v>
      </c>
      <c r="BO29" s="8">
        <f>IF(BG29="No","No",IF(_xlfn.XLOOKUP(E29,Groups!A:A,Groups!BF:BF)=1,(0.0315*C29+2.1825)*2,(0.7354*C29^0.4078)*2)/IF(_xlfn.XLOOKUP(E29,Groups!A:A,Groups!BM:BM)=1,1000,100))</f>
        <v>0.11349157855001941</v>
      </c>
      <c r="BP29" s="8">
        <f t="shared" si="8"/>
        <v>0.12965776963635597</v>
      </c>
      <c r="BQ29" s="8" t="str">
        <f t="shared" si="13"/>
        <v>No</v>
      </c>
      <c r="BR29" s="8">
        <f t="shared" si="9"/>
        <v>6268.5721181681574</v>
      </c>
      <c r="BS29" s="8">
        <f t="shared" si="14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Groups!A37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IFERROR(AVERAGE(_xlfn.XLOOKUP(B30,Animals!B:B,Animals!N:N),_xlfn.XLOOKUP(B30,Animals!B:B,Animals!O:O)),0)</f>
        <v>0</v>
      </c>
      <c r="AT30" s="8">
        <f>MROUND(40*Animals!AO30*_xlfn.XLOOKUP(Animals!BA30,Leathers!$A$2:$A$100,Leathers!$B$2:$B$100,0)+(140*_xlfn.XLOOKUP(B30,Animals!B:B,Animals!AO:AO)*2),5)</f>
        <v>800</v>
      </c>
      <c r="AU30" s="8">
        <f>IFERROR(ROUND(SQRT(V30-1)*IF(_xlfn.XLOOKUP(E30,Groups!A:A,Groups!BF:BF)=0,2,1)*IF(_xlfn.XLOOKUP('Base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stats'!AY30,IF(OR(_xlfn.XLOOKUP(E30,Groups!A:A,Groups!BD:BD)=1,_xlfn.XLOOKUP(E30,Groups!A:A,Groups!U:U)=2),BA30,IF(_xlfn.XLOOKUP(B30,Animals!B:B,Animals!AO:AO)&gt;4,AVERAGE(BA30,BC30),BC30))))</f>
        <v>No</v>
      </c>
      <c r="BA30" s="8">
        <f t="shared" si="5"/>
        <v>2.7701996922971297</v>
      </c>
      <c r="BB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EXP(1.076*LN(AO30)-4.5397)*IF(_xlfn.XLOOKUP(E30,Groups!A:A,Groups!BC:BC)=1,1.25,IF(_xlfn.XLOOKUP(E30,Groups!A:A,Groups!BD:BD)=1,3.5,2.5))</f>
        <v>333.29301181006872</v>
      </c>
      <c r="BE30" s="8">
        <f>EXP(1.076*LN(AP30)-4.5397)*IF(_xlfn.XLOOKUP(E30,Groups!A:A,Groups!M:M)=1,0.8,IF(_xlfn.XLOOKUP(E30,Groups!A:A,Groups!BC:BC)=1,1.3,3))</f>
        <v>395.81810008560649</v>
      </c>
      <c r="BF30" s="8" t="str">
        <f>IF(W30="No","No",IF(_xlfn.XLOOKUP(E30,Groups!A:A,Groups!U:U)=1,'Base stats'!BG30,IF(OR(_xlfn.XLOOKUP(E30,Groups!A:A,Groups!BD:BD)=1,_xlfn.XLOOKUP(E30,Groups!A:A,Groups!U:U)=2),BD30,BE30))*1.2)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10"/>
        <v>15</v>
      </c>
      <c r="BI30" s="8">
        <f t="shared" si="11"/>
        <v>11</v>
      </c>
      <c r="BJ30" s="8" t="str">
        <f t="shared" si="6"/>
        <v>No</v>
      </c>
      <c r="BK30" s="8">
        <f t="shared" si="7"/>
        <v>10</v>
      </c>
      <c r="BL30" s="8">
        <f t="shared" si="12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N30" s="8" t="str">
        <f>IF(W30="No","No",IF(_xlfn.XLOOKUP(E30,Groups!A:A,Groups!BD:BD)=1,(AL30*5%),EXP(0.7354*LN(C30)^0.4078)*2/IF(_xlfn.XLOOKUP(E30,Groups!A:A,Groups!BL:BL)=1,1000,100)))</f>
        <v>No</v>
      </c>
      <c r="BO30" s="8">
        <f>IF(BG30="No","No",IF(_xlfn.XLOOKUP(E30,Groups!A:A,Groups!BF:BF)=1,(0.0315*C30+2.1825)*2,(0.7354*C30^0.4078)*2)/IF(_xlfn.XLOOKUP(E30,Groups!A:A,Groups!BM:BM)=1,1000,100))</f>
        <v>0.22225500000000004</v>
      </c>
      <c r="BP30" s="8">
        <f t="shared" si="8"/>
        <v>0.15288811763381888</v>
      </c>
      <c r="BQ30" s="8" t="str">
        <f t="shared" si="13"/>
        <v>No</v>
      </c>
      <c r="BR30" s="8" t="str">
        <f t="shared" si="9"/>
        <v>No</v>
      </c>
      <c r="BS30" s="8">
        <f t="shared" si="14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Groups!A42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IFERROR(AVERAGE(_xlfn.XLOOKUP(B31,Animals!B:B,Animals!N:N),_xlfn.XLOOKUP(B31,Animals!B:B,Animals!O:O)),0)</f>
        <v>0</v>
      </c>
      <c r="AT31" s="8">
        <f>MROUND(40*Animals!AO31*_xlfn.XLOOKUP(Animals!BA31,Leathers!$A$2:$A$100,Leathers!$B$2:$B$100,0)+(140*_xlfn.XLOOKUP(B31,Animals!B:B,Animals!AO:AO)*2),5)</f>
        <v>125</v>
      </c>
      <c r="AU31" s="8">
        <f>IFERROR(ROUND(SQRT(V31-1)*IF(_xlfn.XLOOKUP(E31,Groups!A:A,Groups!BF:BF)=0,2,1)*IF(_xlfn.XLOOKUP('Base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stats'!AY31,IF(OR(_xlfn.XLOOKUP(E31,Groups!A:A,Groups!BD:BD)=1,_xlfn.XLOOKUP(E31,Groups!A:A,Groups!U:U)=2),BA31,IF(_xlfn.XLOOKUP(B31,Animals!B:B,Animals!AO:AO)&gt;4,AVERAGE(BA31,BC31),BC31))))</f>
        <v>No</v>
      </c>
      <c r="BA31" s="8">
        <f t="shared" si="5"/>
        <v>0.16114942276054864</v>
      </c>
      <c r="BB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EXP(1.076*LN(AO31)-4.5397)*IF(_xlfn.XLOOKUP(E31,Groups!A:A,Groups!BC:BC)=1,1.25,IF(_xlfn.XLOOKUP(E31,Groups!A:A,Groups!BD:BD)=1,3.5,2.5))</f>
        <v>10.808737150824603</v>
      </c>
      <c r="BE31" s="8">
        <f>EXP(1.076*LN(AP31)-4.5397)*IF(_xlfn.XLOOKUP(E31,Groups!A:A,Groups!M:M)=1,0.8,IF(_xlfn.XLOOKUP(E31,Groups!A:A,Groups!BC:BC)=1,1.3,3))</f>
        <v>15.852978303072906</v>
      </c>
      <c r="BF31" s="8" t="str">
        <f>IF(W31="No","No",IF(_xlfn.XLOOKUP(E31,Groups!A:A,Groups!U:U)=1,'Base stats'!BG31,IF(OR(_xlfn.XLOOKUP(E31,Groups!A:A,Groups!BD:BD)=1,_xlfn.XLOOKUP(E31,Groups!A:A,Groups!U:U)=2),BD31,BE31))*1.2)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10"/>
        <v>11</v>
      </c>
      <c r="BI31" s="8">
        <f t="shared" si="11"/>
        <v>10</v>
      </c>
      <c r="BJ31" s="8" t="str">
        <f t="shared" si="6"/>
        <v>No</v>
      </c>
      <c r="BK31" s="8">
        <f t="shared" si="7"/>
        <v>8</v>
      </c>
      <c r="BL31" s="8">
        <f t="shared" si="12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N31" s="8" t="str">
        <f>IF(W31="No","No",IF(_xlfn.XLOOKUP(E31,Groups!A:A,Groups!BD:BD)=1,(AL31*5%),EXP(0.7354*LN(C31)^0.4078)*2/IF(_xlfn.XLOOKUP(E31,Groups!A:A,Groups!BL:BL)=1,1000,100)))</f>
        <v>No</v>
      </c>
      <c r="BO31" s="8">
        <f>IF(BG31="No","No",IF(_xlfn.XLOOKUP(E31,Groups!A:A,Groups!BF:BF)=1,(0.0315*C31+2.1825)*2,(0.7354*C31^0.4078)*2)/IF(_xlfn.XLOOKUP(E31,Groups!A:A,Groups!BM:BM)=1,1000,100))</f>
        <v>3.1593940123103695E-2</v>
      </c>
      <c r="BP31" s="8">
        <f t="shared" si="8"/>
        <v>5.7573288359809308E-2</v>
      </c>
      <c r="BQ31" s="8">
        <f t="shared" si="13"/>
        <v>37.49913953942314</v>
      </c>
      <c r="BR31" s="8" t="str">
        <f t="shared" si="9"/>
        <v>No</v>
      </c>
      <c r="BS31" s="8">
        <f t="shared" si="14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Groups!A24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IFERROR(AVERAGE(_xlfn.XLOOKUP(B32,Animals!B:B,Animals!N:N),_xlfn.XLOOKUP(B32,Animals!B:B,Animals!O:O)),0)</f>
        <v>0</v>
      </c>
      <c r="AT32" s="8">
        <f>MROUND(40*Animals!AO32*_xlfn.XLOOKUP(Animals!BA32,Leathers!$A$2:$A$100,Leathers!$B$2:$B$100,0)+(140*_xlfn.XLOOKUP(B32,Animals!B:B,Animals!AO:AO)*2),5)</f>
        <v>90</v>
      </c>
      <c r="AU32" s="8">
        <f>IFERROR(ROUND(SQRT(V32-1)*IF(_xlfn.XLOOKUP(E32,Groups!A:A,Groups!BF:BF)=0,2,1)*IF(_xlfn.XLOOKUP('Base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stats'!AY32,IF(OR(_xlfn.XLOOKUP(E32,Groups!A:A,Groups!BD:BD)=1,_xlfn.XLOOKUP(E32,Groups!A:A,Groups!U:U)=2),BA32,IF(_xlfn.XLOOKUP(B32,Animals!B:B,Animals!AO:AO)&gt;4,AVERAGE(BA32,BC32),BC32))))</f>
        <v>No</v>
      </c>
      <c r="BA32" s="8">
        <f t="shared" si="5"/>
        <v>5.4018610133347036E-2</v>
      </c>
      <c r="BB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EXP(1.076*LN(AO32)-4.5397)*IF(_xlfn.XLOOKUP(E32,Groups!A:A,Groups!BC:BC)=1,1.25,IF(_xlfn.XLOOKUP(E32,Groups!A:A,Groups!BD:BD)=1,3.5,2.5))</f>
        <v>2.894497109254401</v>
      </c>
      <c r="BE32" s="8">
        <f>EXP(1.076*LN(AP32)-4.5397)*IF(_xlfn.XLOOKUP(E32,Groups!A:A,Groups!M:M)=1,0.8,IF(_xlfn.XLOOKUP(E32,Groups!A:A,Groups!BC:BC)=1,1.3,3))</f>
        <v>4.603985596116086</v>
      </c>
      <c r="BF32" s="8" t="str">
        <f>IF(W32="No","No",IF(_xlfn.XLOOKUP(E32,Groups!A:A,Groups!U:U)=1,'Base stats'!BG32,IF(OR(_xlfn.XLOOKUP(E32,Groups!A:A,Groups!BD:BD)=1,_xlfn.XLOOKUP(E32,Groups!A:A,Groups!U:U)=2),BD32,BE32))*1.2)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10"/>
        <v>10</v>
      </c>
      <c r="BI32" s="8">
        <f t="shared" si="11"/>
        <v>9</v>
      </c>
      <c r="BJ32" s="8" t="str">
        <f t="shared" si="6"/>
        <v>No</v>
      </c>
      <c r="BK32" s="8">
        <f t="shared" si="7"/>
        <v>7</v>
      </c>
      <c r="BL32" s="8">
        <f t="shared" si="12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N32" s="8" t="str">
        <f>IF(W32="No","No",IF(_xlfn.XLOOKUP(E32,Groups!A:A,Groups!BD:BD)=1,(AL32*5%),EXP(0.7354*LN(C32)^0.4078)*2/IF(_xlfn.XLOOKUP(E32,Groups!A:A,Groups!BL:BL)=1,1000,100)))</f>
        <v>No</v>
      </c>
      <c r="BO32" s="8">
        <f>IF(BG32="No","No",IF(_xlfn.XLOOKUP(E32,Groups!A:A,Groups!BF:BF)=1,(0.0315*C32+2.1825)*2,(0.7354*C32^0.4078)*2)/IF(_xlfn.XLOOKUP(E32,Groups!A:A,Groups!BM:BM)=1,1000,100))</f>
        <v>1.7493261435342175E-2</v>
      </c>
      <c r="BP32" s="8">
        <f t="shared" si="8"/>
        <v>3.9557670352344476E-2</v>
      </c>
      <c r="BQ32" s="8">
        <f t="shared" si="13"/>
        <v>263.18623391830823</v>
      </c>
      <c r="BR32" s="8" t="str">
        <f t="shared" si="9"/>
        <v>No</v>
      </c>
      <c r="BS32" s="8">
        <f t="shared" si="14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Groups!A55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IFERROR(AVERAGE(_xlfn.XLOOKUP(B33,Animals!B:B,Animals!N:N),_xlfn.XLOOKUP(B33,Animals!B:B,Animals!O:O)),0)</f>
        <v>0</v>
      </c>
      <c r="AT33" s="8">
        <f>MROUND(40*Animals!AO33*_xlfn.XLOOKUP(Animals!BA33,Leathers!$A$2:$A$100,Leathers!$B$2:$B$100,0)+(140*_xlfn.XLOOKUP(B33,Animals!B:B,Animals!AO:AO)*2),5)</f>
        <v>180</v>
      </c>
      <c r="AU33" s="8">
        <f>IFERROR(ROUND(SQRT(V33-1)*IF(_xlfn.XLOOKUP(E33,Groups!A:A,Groups!BF:BF)=0,2,1)*IF(_xlfn.XLOOKUP('Base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stats'!AY33,IF(OR(_xlfn.XLOOKUP(E33,Groups!A:A,Groups!BD:BD)=1,_xlfn.XLOOKUP(E33,Groups!A:A,Groups!U:U)=2),BA33,IF(_xlfn.XLOOKUP(B33,Animals!B:B,Animals!AO:AO)&gt;4,AVERAGE(BA33,BC33),BC33))))</f>
        <v>No</v>
      </c>
      <c r="BA33" s="8">
        <f t="shared" si="5"/>
        <v>0.22067536125102225</v>
      </c>
      <c r="BB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EXP(1.076*LN(AO33)-4.5397)*IF(_xlfn.XLOOKUP(E33,Groups!A:A,Groups!BC:BC)=1,1.25,IF(_xlfn.XLOOKUP(E33,Groups!A:A,Groups!BD:BD)=1,3.5,2.5))</f>
        <v>13.017379206175637</v>
      </c>
      <c r="BE33" s="8">
        <f>EXP(1.076*LN(AP33)-4.5397)*IF(_xlfn.XLOOKUP(E33,Groups!A:A,Groups!M:M)=1,0.8,IF(_xlfn.XLOOKUP(E33,Groups!A:A,Groups!BC:BC)=1,1.3,3))</f>
        <v>18.875069369328124</v>
      </c>
      <c r="BF33" s="8" t="str">
        <f>IF(W33="No","No",IF(_xlfn.XLOOKUP(E33,Groups!A:A,Groups!U:U)=1,'Base stats'!BG33,IF(OR(_xlfn.XLOOKUP(E33,Groups!A:A,Groups!BD:BD)=1,_xlfn.XLOOKUP(E33,Groups!A:A,Groups!U:U)=2),BD33,BE33))*1.2)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10"/>
        <v>10</v>
      </c>
      <c r="BI33" s="8">
        <f t="shared" si="11"/>
        <v>10</v>
      </c>
      <c r="BJ33" s="8" t="str">
        <f t="shared" si="6"/>
        <v>No</v>
      </c>
      <c r="BK33" s="8">
        <f t="shared" si="7"/>
        <v>7</v>
      </c>
      <c r="BL33" s="8">
        <f t="shared" si="12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N33" s="8" t="str">
        <f>IF(W33="No","No",IF(_xlfn.XLOOKUP(E33,Groups!A:A,Groups!BD:BD)=1,(AL33*5%),EXP(0.7354*LN(C33)^0.4078)*2/IF(_xlfn.XLOOKUP(E33,Groups!A:A,Groups!BL:BL)=1,1000,100)))</f>
        <v>No</v>
      </c>
      <c r="BO33" s="8">
        <f>IF(BG33="No","No",IF(_xlfn.XLOOKUP(E33,Groups!A:A,Groups!BF:BF)=1,(0.0315*C33+2.1825)*2,(0.7354*C33^0.4078)*2)/IF(_xlfn.XLOOKUP(E33,Groups!A:A,Groups!BM:BM)=1,1000,100))</f>
        <v>3.434264320573633E-2</v>
      </c>
      <c r="BP33" s="8">
        <f t="shared" si="8"/>
        <v>6.07046670833142E-2</v>
      </c>
      <c r="BQ33" s="8" t="str">
        <f t="shared" si="13"/>
        <v>No</v>
      </c>
      <c r="BR33" s="8" t="str">
        <f t="shared" si="9"/>
        <v>No</v>
      </c>
      <c r="BS33" s="8">
        <f t="shared" si="14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Groups!A58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21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22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IFERROR(AVERAGE(_xlfn.XLOOKUP(B34,Animals!B:B,Animals!N:N),_xlfn.XLOOKUP(B34,Animals!B:B,Animals!O:O)),0)</f>
        <v>0.82500000000000007</v>
      </c>
      <c r="AT34" s="8">
        <f>MROUND(40*Animals!AO34*_xlfn.XLOOKUP(Animals!BA34,Leathers!$A$2:$A$100,Leathers!$B$2:$B$100,0)+(140*_xlfn.XLOOKUP(B34,Animals!B:B,Animals!AO:AO)*2),5)</f>
        <v>295</v>
      </c>
      <c r="AU34" s="8">
        <f>IFERROR(ROUND(SQRT(V34-1)*IF(_xlfn.XLOOKUP(E34,Groups!A:A,Groups!BF:BF)=0,2,1)*IF(_xlfn.XLOOKUP('Base stats'!E34,Groups!A:A,Groups!O:O)=0,1,0.1),1),0)</f>
        <v>0.2</v>
      </c>
      <c r="AV34" s="8">
        <f t="shared" ref="AV34:AV65" si="23">IFERROR(ROUND(SQRT(U34-1),1),0)</f>
        <v>0</v>
      </c>
      <c r="AW34" s="8">
        <f t="shared" ref="AW34:AW65" si="24">IFERROR(ROUND(SQRT(W34),1),0)</f>
        <v>0</v>
      </c>
      <c r="AX34" s="8">
        <f t="shared" ref="AX34:AX65" si="25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stats'!AY34,IF(OR(_xlfn.XLOOKUP(E34,Groups!A:A,Groups!BD:BD)=1,_xlfn.XLOOKUP(E34,Groups!A:A,Groups!U:U)=2),BA34,IF(_xlfn.XLOOKUP(B34,Animals!B:B,Animals!AO:AO)&gt;4,AVERAGE(BA34,BC34),BC34))))</f>
        <v>No</v>
      </c>
      <c r="BA34" s="8">
        <f t="shared" ref="BA34:BA65" si="26">(0.0392*C34^IF(OR(Y34="Herbivore",Y34="Dendrovore",Y34="OmnivoreRough"),0.889,0.966))*C34^-0.135</f>
        <v>0.4572734342942808</v>
      </c>
      <c r="BB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EXP(1.076*LN(AO34)-4.5397)*IF(_xlfn.XLOOKUP(E34,Groups!A:A,Groups!BC:BC)=1,1.25,IF(_xlfn.XLOOKUP(E34,Groups!A:A,Groups!BD:BD)=1,3.5,2.5))</f>
        <v>18.999532470570877</v>
      </c>
      <c r="BE34" s="8">
        <f>EXP(1.076*LN(AP34)-4.5397)*IF(_xlfn.XLOOKUP(E34,Groups!A:A,Groups!M:M)=1,0.8,IF(_xlfn.XLOOKUP(E34,Groups!A:A,Groups!BC:BC)=1,1.3,3))</f>
        <v>22.352140040075696</v>
      </c>
      <c r="BF34" s="8" t="str">
        <f>IF(W34="No","No",IF(_xlfn.XLOOKUP(E34,Groups!A:A,Groups!U:U)=1,'Base stats'!BG34,IF(OR(_xlfn.XLOOKUP(E34,Groups!A:A,Groups!BD:BD)=1,_xlfn.XLOOKUP(E34,Groups!A:A,Groups!U:U)=2),BD34,BE34))*1.2)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10"/>
        <v>9</v>
      </c>
      <c r="BI34" s="8">
        <f t="shared" si="11"/>
        <v>9</v>
      </c>
      <c r="BJ34" s="8" t="str">
        <f t="shared" ref="BJ34:BJ65" si="27">IF(W34="No","No",ROUNDDOWN(SQRT((2*BF34)/AZ34),0))</f>
        <v>No</v>
      </c>
      <c r="BK34" s="8">
        <f t="shared" ref="BK34:BK65" si="28">IF(V34="No","No",ROUNDDOWN(SQRT((2*BG34)/AY34),0))</f>
        <v>8</v>
      </c>
      <c r="BL34" s="8">
        <f t="shared" si="12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N34" s="8" t="str">
        <f>IF(W34="No","No",IF(_xlfn.XLOOKUP(E34,Groups!A:A,Groups!BD:BD)=1,(AL34*5%),EXP(0.7354*LN(C34)^0.4078)*2/IF(_xlfn.XLOOKUP(E34,Groups!A:A,Groups!BL:BL)=1,1000,100)))</f>
        <v>No</v>
      </c>
      <c r="BO34" s="8">
        <f>IF(BG34="No","No",IF(_xlfn.XLOOKUP(E34,Groups!A:A,Groups!BF:BF)=1,(0.0315*C34+2.1825)*2,(0.7354*C34^0.4078)*2)/IF(_xlfn.XLOOKUP(E34,Groups!A:A,Groups!BM:BM)=1,1000,100))</f>
        <v>6.003E-2</v>
      </c>
      <c r="BP34" s="8">
        <f t="shared" ref="BP34:BP65" si="29">BD34/(AL34*5%)</f>
        <v>4.1182931254213365E-2</v>
      </c>
      <c r="BQ34" s="8" t="str">
        <f t="shared" si="13"/>
        <v>No</v>
      </c>
      <c r="BR34" s="8" t="str">
        <f t="shared" ref="BR34:BR65" si="30">IF(W34="No","No",BF34/BN34)</f>
        <v>No</v>
      </c>
      <c r="BS34" s="8">
        <f t="shared" si="14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Groups!A46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21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22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IFERROR(AVERAGE(_xlfn.XLOOKUP(B35,Animals!B:B,Animals!N:N),_xlfn.XLOOKUP(B35,Animals!B:B,Animals!O:O)),0)</f>
        <v>0</v>
      </c>
      <c r="AT35" s="8">
        <f>MROUND(40*Animals!AO35*_xlfn.XLOOKUP(Animals!BA35,Leathers!$A$2:$A$100,Leathers!$B$2:$B$100,0)+(140*_xlfn.XLOOKUP(B35,Animals!B:B,Animals!AO:AO)*2),5)</f>
        <v>35</v>
      </c>
      <c r="AU35" s="8">
        <f>IFERROR(ROUND(SQRT(V35-1)*IF(_xlfn.XLOOKUP(E35,Groups!A:A,Groups!BF:BF)=0,2,1)*IF(_xlfn.XLOOKUP('Base stats'!E35,Groups!A:A,Groups!O:O)=0,1,0.1),1),0)</f>
        <v>0</v>
      </c>
      <c r="AV35" s="8">
        <f t="shared" si="23"/>
        <v>0</v>
      </c>
      <c r="AW35" s="8">
        <f t="shared" si="24"/>
        <v>0</v>
      </c>
      <c r="AX35" s="8">
        <f t="shared" si="25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0.11983910660182714</v>
      </c>
      <c r="AZ35" s="8" t="str">
        <f>IF(W35="No","No",IF(_xlfn.XLOOKUP(E35,Groups!A:A,Groups!U:U)=1,'Base stats'!AY35,IF(OR(_xlfn.XLOOKUP(E35,Groups!A:A,Groups!BD:BD)=1,_xlfn.XLOOKUP(E35,Groups!A:A,Groups!U:U)=2),BA35,IF(_xlfn.XLOOKUP(B35,Animals!B:B,Animals!AO:AO)&gt;4,AVERAGE(BA35,BC35),BC35))))</f>
        <v>No</v>
      </c>
      <c r="BA35" s="8">
        <f t="shared" si="26"/>
        <v>1.581377273367229E-2</v>
      </c>
      <c r="BB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EXP(1.076*LN(AO35)-4.5397)*IF(_xlfn.XLOOKUP(E35,Groups!A:A,Groups!BC:BC)=1,1.25,IF(_xlfn.XLOOKUP(E35,Groups!A:A,Groups!BD:BD)=1,3.5,2.5))</f>
        <v>0.6583617156570799</v>
      </c>
      <c r="BE35" s="8">
        <f>EXP(1.076*LN(AP35)-4.5397)*IF(_xlfn.XLOOKUP(E35,Groups!A:A,Groups!M:M)=1,0.8,IF(_xlfn.XLOOKUP(E35,Groups!A:A,Groups!BC:BC)=1,1.3,3))</f>
        <v>1.1471372193905376</v>
      </c>
      <c r="BF35" s="8" t="str">
        <f>IF(W35="No","No",IF(_xlfn.XLOOKUP(E35,Groups!A:A,Groups!U:U)=1,'Base stats'!BG35,IF(OR(_xlfn.XLOOKUP(E35,Groups!A:A,Groups!BD:BD)=1,_xlfn.XLOOKUP(E35,Groups!A:A,Groups!U:U)=2),BD35,BE35))*1.2)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10"/>
        <v>9</v>
      </c>
      <c r="BI35" s="8">
        <f t="shared" si="11"/>
        <v>9</v>
      </c>
      <c r="BJ35" s="8" t="str">
        <f t="shared" si="27"/>
        <v>No</v>
      </c>
      <c r="BK35" s="8">
        <f t="shared" si="28"/>
        <v>6</v>
      </c>
      <c r="BL35" s="8">
        <f t="shared" si="12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N35" s="8" t="str">
        <f>IF(W35="No","No",IF(_xlfn.XLOOKUP(E35,Groups!A:A,Groups!BD:BD)=1,(AL35*5%),EXP(0.7354*LN(C35)^0.4078)*2/IF(_xlfn.XLOOKUP(E35,Groups!A:A,Groups!BL:BL)=1,1000,100)))</f>
        <v>No</v>
      </c>
      <c r="BO35" s="8">
        <f>IF(BG35="No","No",IF(_xlfn.XLOOKUP(E35,Groups!A:A,Groups!BF:BF)=1,(0.0315*C35+2.1825)*2,(0.7354*C35^0.4078)*2)/IF(_xlfn.XLOOKUP(E35,Groups!A:A,Groups!BM:BM)=1,1000,100))</f>
        <v>9.0016820456507111E-3</v>
      </c>
      <c r="BP35" s="8">
        <f t="shared" si="29"/>
        <v>2.5944348512834187E-2</v>
      </c>
      <c r="BQ35" s="8" t="str">
        <f t="shared" si="13"/>
        <v>No</v>
      </c>
      <c r="BR35" s="8" t="str">
        <f t="shared" si="30"/>
        <v>No</v>
      </c>
      <c r="BS35" s="8">
        <f t="shared" si="14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Groups!A47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21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22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IFERROR(AVERAGE(_xlfn.XLOOKUP(B36,Animals!B:B,Animals!N:N),_xlfn.XLOOKUP(B36,Animals!B:B,Animals!O:O)),0)</f>
        <v>0</v>
      </c>
      <c r="AT36" s="8">
        <f>MROUND(40*Animals!AO36*_xlfn.XLOOKUP(Animals!BA36,Leathers!$A$2:$A$100,Leathers!$B$2:$B$100,0)+(140*_xlfn.XLOOKUP(B36,Animals!B:B,Animals!AO:AO)*2),5)</f>
        <v>65</v>
      </c>
      <c r="AU36" s="8">
        <f>IFERROR(ROUND(SQRT(V36-1)*IF(_xlfn.XLOOKUP(E36,Groups!A:A,Groups!BF:BF)=0,2,1)*IF(_xlfn.XLOOKUP('Base stats'!E36,Groups!A:A,Groups!O:O)=0,1,0.1),1),0)</f>
        <v>0</v>
      </c>
      <c r="AV36" s="8">
        <f t="shared" si="23"/>
        <v>0</v>
      </c>
      <c r="AW36" s="8">
        <f t="shared" si="24"/>
        <v>0</v>
      </c>
      <c r="AX36" s="8">
        <f t="shared" si="25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stats'!AY36,IF(OR(_xlfn.XLOOKUP(E36,Groups!A:A,Groups!BD:BD)=1,_xlfn.XLOOKUP(E36,Groups!A:A,Groups!U:U)=2),BA36,IF(_xlfn.XLOOKUP(B36,Animals!B:B,Animals!AO:AO)&gt;4,AVERAGE(BA36,BC36),BC36))))</f>
        <v>No</v>
      </c>
      <c r="BA36" s="8">
        <f t="shared" si="26"/>
        <v>2.6669330278914886E-2</v>
      </c>
      <c r="BB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EXP(1.076*LN(AO36)-4.5397)*IF(_xlfn.XLOOKUP(E36,Groups!A:A,Groups!BC:BC)=1,1.25,IF(_xlfn.XLOOKUP(E36,Groups!A:A,Groups!BD:BD)=1,3.5,2.5))</f>
        <v>1.2361463432878259</v>
      </c>
      <c r="BE36" s="8">
        <f>EXP(1.076*LN(AP36)-4.5397)*IF(_xlfn.XLOOKUP(E36,Groups!A:A,Groups!M:M)=1,0.8,IF(_xlfn.XLOOKUP(E36,Groups!A:A,Groups!BC:BC)=1,1.3,3))</f>
        <v>2.071941364146892</v>
      </c>
      <c r="BF36" s="8" t="str">
        <f>IF(W36="No","No",IF(_xlfn.XLOOKUP(E36,Groups!A:A,Groups!U:U)=1,'Base stats'!BG36,IF(OR(_xlfn.XLOOKUP(E36,Groups!A:A,Groups!BD:BD)=1,_xlfn.XLOOKUP(E36,Groups!A:A,Groups!U:U)=2),BD36,BE36))*1.2)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10"/>
        <v>9</v>
      </c>
      <c r="BI36" s="8">
        <f t="shared" si="11"/>
        <v>9</v>
      </c>
      <c r="BJ36" s="8" t="str">
        <f t="shared" si="27"/>
        <v>No</v>
      </c>
      <c r="BK36" s="8">
        <f t="shared" si="28"/>
        <v>6</v>
      </c>
      <c r="BL36" s="8">
        <f t="shared" si="12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N36" s="8" t="str">
        <f>IF(W36="No","No",IF(_xlfn.XLOOKUP(E36,Groups!A:A,Groups!BD:BD)=1,(AL36*5%),EXP(0.7354*LN(C36)^0.4078)*2/IF(_xlfn.XLOOKUP(E36,Groups!A:A,Groups!BL:BL)=1,1000,100)))</f>
        <v>No</v>
      </c>
      <c r="BO36" s="8">
        <f>IF(BG36="No","No",IF(_xlfn.XLOOKUP(E36,Groups!A:A,Groups!BF:BF)=1,(0.0315*C36+2.1825)*2,(0.7354*C36^0.4078)*2)/IF(_xlfn.XLOOKUP(E36,Groups!A:A,Groups!BM:BM)=1,1000,100))</f>
        <v>1.1942182426698152E-2</v>
      </c>
      <c r="BP36" s="8">
        <f t="shared" si="29"/>
        <v>3.1044065609413307E-2</v>
      </c>
      <c r="BQ36" s="8" t="str">
        <f t="shared" si="13"/>
        <v>No</v>
      </c>
      <c r="BR36" s="8" t="str">
        <f t="shared" si="30"/>
        <v>No</v>
      </c>
      <c r="BS36" s="8">
        <f t="shared" si="14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Groups!A45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21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22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IFERROR(AVERAGE(_xlfn.XLOOKUP(B37,Animals!B:B,Animals!N:N),_xlfn.XLOOKUP(B37,Animals!B:B,Animals!O:O)),0)</f>
        <v>0</v>
      </c>
      <c r="AT37" s="8">
        <f>MROUND(40*Animals!AO37*_xlfn.XLOOKUP(Animals!BA37,Leathers!$A$2:$A$100,Leathers!$B$2:$B$100,0)+(140*_xlfn.XLOOKUP(B37,Animals!B:B,Animals!AO:AO)*2),5)</f>
        <v>55</v>
      </c>
      <c r="AU37" s="8">
        <f>IFERROR(ROUND(SQRT(V37-1)*IF(_xlfn.XLOOKUP(E37,Groups!A:A,Groups!BF:BF)=0,2,1)*IF(_xlfn.XLOOKUP('Base stats'!E37,Groups!A:A,Groups!O:O)=0,1,0.1),1),0)</f>
        <v>0</v>
      </c>
      <c r="AV37" s="8">
        <f t="shared" si="23"/>
        <v>0</v>
      </c>
      <c r="AW37" s="8">
        <f t="shared" si="24"/>
        <v>0</v>
      </c>
      <c r="AX37" s="8">
        <f t="shared" si="25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stats'!AY37,IF(OR(_xlfn.XLOOKUP(E37,Groups!A:A,Groups!BD:BD)=1,_xlfn.XLOOKUP(E37,Groups!A:A,Groups!U:U)=2),BA37,IF(_xlfn.XLOOKUP(B37,Animals!B:B,Animals!AO:AO)&gt;4,AVERAGE(BA37,BC37),BC37))))</f>
        <v>No</v>
      </c>
      <c r="BA37" s="8">
        <f t="shared" si="26"/>
        <v>3.085553827051429E-2</v>
      </c>
      <c r="BB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EXP(1.076*LN(AO37)-4.5397)*IF(_xlfn.XLOOKUP(E37,Groups!A:A,Groups!BC:BC)=1,1.25,IF(_xlfn.XLOOKUP(E37,Groups!A:A,Groups!BD:BD)=1,3.5,2.5))</f>
        <v>1.473666437082841</v>
      </c>
      <c r="BE37" s="8">
        <f>EXP(1.076*LN(AP37)-4.5397)*IF(_xlfn.XLOOKUP(E37,Groups!A:A,Groups!M:M)=1,0.8,IF(_xlfn.XLOOKUP(E37,Groups!A:A,Groups!BC:BC)=1,1.3,3))</f>
        <v>2.4434750485028198</v>
      </c>
      <c r="BF37" s="8" t="str">
        <f>IF(W37="No","No",IF(_xlfn.XLOOKUP(E37,Groups!A:A,Groups!U:U)=1,'Base stats'!BG37,IF(OR(_xlfn.XLOOKUP(E37,Groups!A:A,Groups!BD:BD)=1,_xlfn.XLOOKUP(E37,Groups!A:A,Groups!U:U)=2),BD37,BE37))*1.2)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10"/>
        <v>9</v>
      </c>
      <c r="BI37" s="8">
        <f t="shared" si="11"/>
        <v>9</v>
      </c>
      <c r="BJ37" s="8" t="str">
        <f t="shared" si="27"/>
        <v>No</v>
      </c>
      <c r="BK37" s="8">
        <f t="shared" si="28"/>
        <v>6</v>
      </c>
      <c r="BL37" s="8">
        <f t="shared" si="12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N37" s="8" t="str">
        <f>IF(W37="No","No",IF(_xlfn.XLOOKUP(E37,Groups!A:A,Groups!BD:BD)=1,(AL37*5%),EXP(0.7354*LN(C37)^0.4078)*2/IF(_xlfn.XLOOKUP(E37,Groups!A:A,Groups!BL:BL)=1,1000,100)))</f>
        <v>No</v>
      </c>
      <c r="BO37" s="8">
        <f>IF(BG37="No","No",IF(_xlfn.XLOOKUP(E37,Groups!A:A,Groups!BF:BF)=1,(0.0315*C37+2.1825)*2,(0.7354*C37^0.4078)*2)/IF(_xlfn.XLOOKUP(E37,Groups!A:A,Groups!BM:BM)=1,1000,100))</f>
        <v>1.2922031568339123E-2</v>
      </c>
      <c r="BP37" s="8">
        <f t="shared" si="29"/>
        <v>3.2637795194472324E-2</v>
      </c>
      <c r="BQ37" s="8" t="str">
        <f t="shared" si="13"/>
        <v>No</v>
      </c>
      <c r="BR37" s="8" t="str">
        <f t="shared" si="30"/>
        <v>No</v>
      </c>
      <c r="BS37" s="8">
        <f t="shared" si="14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Groups!A47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21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22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IFERROR(AVERAGE(_xlfn.XLOOKUP(B38,Animals!B:B,Animals!N:N),_xlfn.XLOOKUP(B38,Animals!B:B,Animals!O:O)),0)</f>
        <v>0</v>
      </c>
      <c r="AT38" s="8">
        <f>MROUND(40*Animals!AO38*_xlfn.XLOOKUP(Animals!BA38,Leathers!$A$2:$A$100,Leathers!$B$2:$B$100,0)+(140*_xlfn.XLOOKUP(B38,Animals!B:B,Animals!AO:AO)*2),5)</f>
        <v>80</v>
      </c>
      <c r="AU38" s="8">
        <f>IFERROR(ROUND(SQRT(V38-1)*IF(_xlfn.XLOOKUP(E38,Groups!A:A,Groups!BF:BF)=0,2,1)*IF(_xlfn.XLOOKUP('Base stats'!E38,Groups!A:A,Groups!O:O)=0,1,0.1),1),0)</f>
        <v>0</v>
      </c>
      <c r="AV38" s="8">
        <f t="shared" si="23"/>
        <v>0</v>
      </c>
      <c r="AW38" s="8">
        <f t="shared" si="24"/>
        <v>0</v>
      </c>
      <c r="AX38" s="8">
        <f t="shared" si="25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stats'!AY38,IF(OR(_xlfn.XLOOKUP(E38,Groups!A:A,Groups!BD:BD)=1,_xlfn.XLOOKUP(E38,Groups!A:A,Groups!U:U)=2),BA38,IF(_xlfn.XLOOKUP(B38,Animals!B:B,Animals!AO:AO)&gt;4,AVERAGE(BA38,BC38),BC38))))</f>
        <v>No</v>
      </c>
      <c r="BA38" s="8">
        <f t="shared" si="26"/>
        <v>2.8081636188688721E-2</v>
      </c>
      <c r="BB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EXP(1.076*LN(AO38)-4.5397)*IF(_xlfn.XLOOKUP(E38,Groups!A:A,Groups!BC:BC)=1,1.25,IF(_xlfn.XLOOKUP(E38,Groups!A:A,Groups!BD:BD)=1,3.5,2.5))</f>
        <v>1.3154793149228825</v>
      </c>
      <c r="BE38" s="8">
        <f>EXP(1.076*LN(AP38)-4.5397)*IF(_xlfn.XLOOKUP(E38,Groups!A:A,Groups!M:M)=1,0.8,IF(_xlfn.XLOOKUP(E38,Groups!A:A,Groups!BC:BC)=1,1.3,3))</f>
        <v>2.1964867965589372</v>
      </c>
      <c r="BF38" s="8" t="str">
        <f>IF(W38="No","No",IF(_xlfn.XLOOKUP(E38,Groups!A:A,Groups!U:U)=1,'Base stats'!BG38,IF(OR(_xlfn.XLOOKUP(E38,Groups!A:A,Groups!BD:BD)=1,_xlfn.XLOOKUP(E38,Groups!A:A,Groups!U:U)=2),BD38,BE38))*1.2)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10"/>
        <v>9</v>
      </c>
      <c r="BI38" s="8">
        <f t="shared" si="11"/>
        <v>9</v>
      </c>
      <c r="BJ38" s="8" t="str">
        <f t="shared" si="27"/>
        <v>No</v>
      </c>
      <c r="BK38" s="8">
        <f t="shared" si="28"/>
        <v>6</v>
      </c>
      <c r="BL38" s="8">
        <f t="shared" si="12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N38" s="8" t="str">
        <f>IF(W38="No","No",IF(_xlfn.XLOOKUP(E38,Groups!A:A,Groups!BD:BD)=1,(AL38*5%),EXP(0.7354*LN(C38)^0.4078)*2/IF(_xlfn.XLOOKUP(E38,Groups!A:A,Groups!BL:BL)=1,1000,100)))</f>
        <v>No</v>
      </c>
      <c r="BO38" s="8">
        <f>IF(BG38="No","No",IF(_xlfn.XLOOKUP(E38,Groups!A:A,Groups!BF:BF)=1,(0.0315*C38+2.1825)*2,(0.7354*C38^0.4078)*2)/IF(_xlfn.XLOOKUP(E38,Groups!A:A,Groups!BM:BM)=1,1000,100))</f>
        <v>1.2280167326328261E-2</v>
      </c>
      <c r="BP38" s="8">
        <f t="shared" si="29"/>
        <v>3.1599012051930386E-2</v>
      </c>
      <c r="BQ38" s="8" t="str">
        <f t="shared" si="13"/>
        <v>No</v>
      </c>
      <c r="BR38" s="8" t="str">
        <f t="shared" si="30"/>
        <v>No</v>
      </c>
      <c r="BS38" s="8">
        <f t="shared" si="14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Groups!A44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21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22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IFERROR(AVERAGE(_xlfn.XLOOKUP(B39,Animals!B:B,Animals!N:N),_xlfn.XLOOKUP(B39,Animals!B:B,Animals!O:O)),0)</f>
        <v>0</v>
      </c>
      <c r="AT39" s="8">
        <f>MROUND(40*Animals!AO39*_xlfn.XLOOKUP(Animals!BA39,Leathers!$A$2:$A$100,Leathers!$B$2:$B$100,0)+(140*_xlfn.XLOOKUP(B39,Animals!B:B,Animals!AO:AO)*2),5)</f>
        <v>320</v>
      </c>
      <c r="AU39" s="8">
        <f>IFERROR(ROUND(SQRT(V39-1)*IF(_xlfn.XLOOKUP(E39,Groups!A:A,Groups!BF:BF)=0,2,1)*IF(_xlfn.XLOOKUP('Base stats'!E39,Groups!A:A,Groups!O:O)=0,1,0.1),1),0)</f>
        <v>5.0999999999999996</v>
      </c>
      <c r="AV39" s="8">
        <f t="shared" si="23"/>
        <v>0</v>
      </c>
      <c r="AW39" s="8">
        <f t="shared" si="24"/>
        <v>0</v>
      </c>
      <c r="AX39" s="8">
        <f t="shared" si="25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stats'!AY39,IF(OR(_xlfn.XLOOKUP(E39,Groups!A:A,Groups!BD:BD)=1,_xlfn.XLOOKUP(E39,Groups!A:A,Groups!U:U)=2),BA39,IF(_xlfn.XLOOKUP(B39,Animals!B:B,Animals!AO:AO)&gt;4,AVERAGE(BA39,BC39),BC39))))</f>
        <v>No</v>
      </c>
      <c r="BA39" s="8">
        <f t="shared" si="26"/>
        <v>0.83408945402193257</v>
      </c>
      <c r="BB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EXP(1.076*LN(AO39)-4.5397)*IF(_xlfn.XLOOKUP(E39,Groups!A:A,Groups!BC:BC)=1,1.25,IF(_xlfn.XLOOKUP(E39,Groups!A:A,Groups!BD:BD)=1,3.5,2.5))</f>
        <v>78.421539030877653</v>
      </c>
      <c r="BE39" s="8">
        <f>EXP(1.076*LN(AP39)-4.5397)*IF(_xlfn.XLOOKUP(E39,Groups!A:A,Groups!M:M)=1,0.8,IF(_xlfn.XLOOKUP(E39,Groups!A:A,Groups!BC:BC)=1,1.3,3))</f>
        <v>101.80960278533206</v>
      </c>
      <c r="BF39" s="8" t="str">
        <f>IF(W39="No","No",IF(_xlfn.XLOOKUP(E39,Groups!A:A,Groups!U:U)=1,'Base stats'!BG39,IF(OR(_xlfn.XLOOKUP(E39,Groups!A:A,Groups!BD:BD)=1,_xlfn.XLOOKUP(E39,Groups!A:A,Groups!U:U)=2),BD39,BE39))*1.2)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10"/>
        <v>13</v>
      </c>
      <c r="BI39" s="8">
        <f t="shared" si="11"/>
        <v>11</v>
      </c>
      <c r="BJ39" s="8" t="str">
        <f t="shared" si="27"/>
        <v>No</v>
      </c>
      <c r="BK39" s="8">
        <f t="shared" si="28"/>
        <v>9</v>
      </c>
      <c r="BL39" s="8">
        <f t="shared" si="12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N39" s="8" t="str">
        <f>IF(W39="No","No",IF(_xlfn.XLOOKUP(E39,Groups!A:A,Groups!BD:BD)=1,(AL39*5%),EXP(0.7354*LN(C39)^0.4078)*2/IF(_xlfn.XLOOKUP(E39,Groups!A:A,Groups!BL:BL)=1,1000,100)))</f>
        <v>No</v>
      </c>
      <c r="BO39" s="8">
        <f>IF(BG39="No","No",IF(_xlfn.XLOOKUP(E39,Groups!A:A,Groups!BF:BF)=1,(0.0315*C39+2.1825)*2,(0.7354*C39^0.4078)*2)/IF(_xlfn.XLOOKUP(E39,Groups!A:A,Groups!BM:BM)=1,1000,100))</f>
        <v>7.687074990410124E-2</v>
      </c>
      <c r="BP39" s="8">
        <f t="shared" si="29"/>
        <v>0.10124605250347457</v>
      </c>
      <c r="BQ39" s="8" t="str">
        <f t="shared" si="13"/>
        <v>No</v>
      </c>
      <c r="BR39" s="8" t="str">
        <f t="shared" si="30"/>
        <v>No</v>
      </c>
      <c r="BS39" s="8">
        <f t="shared" si="14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Groups!A47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21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22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IFERROR(AVERAGE(_xlfn.XLOOKUP(B40,Animals!B:B,Animals!N:N),_xlfn.XLOOKUP(B40,Animals!B:B,Animals!O:O)),0)</f>
        <v>0</v>
      </c>
      <c r="AT40" s="8">
        <f>MROUND(40*Animals!AO40*_xlfn.XLOOKUP(Animals!BA40,Leathers!$A$2:$A$100,Leathers!$B$2:$B$100,0)+(140*_xlfn.XLOOKUP(B40,Animals!B:B,Animals!AO:AO)*2),5)</f>
        <v>265</v>
      </c>
      <c r="AU40" s="8">
        <f>IFERROR(ROUND(SQRT(V40-1)*IF(_xlfn.XLOOKUP(E40,Groups!A:A,Groups!BF:BF)=0,2,1)*IF(_xlfn.XLOOKUP('Base stats'!E40,Groups!A:A,Groups!O:O)=0,1,0.1),1),0)</f>
        <v>2.4</v>
      </c>
      <c r="AV40" s="8">
        <f t="shared" si="23"/>
        <v>0</v>
      </c>
      <c r="AW40" s="8">
        <f t="shared" si="24"/>
        <v>0</v>
      </c>
      <c r="AX40" s="8">
        <f t="shared" si="25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stats'!AY40,IF(OR(_xlfn.XLOOKUP(E40,Groups!A:A,Groups!BD:BD)=1,_xlfn.XLOOKUP(E40,Groups!A:A,Groups!U:U)=2),BA40,IF(_xlfn.XLOOKUP(B40,Animals!B:B,Animals!AO:AO)&gt;4,AVERAGE(BA40,BC40),BC40))))</f>
        <v>No</v>
      </c>
      <c r="BA40" s="8">
        <f t="shared" si="26"/>
        <v>0.57215457172317086</v>
      </c>
      <c r="BB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EXP(1.076*LN(AO40)-4.5397)*IF(_xlfn.XLOOKUP(E40,Groups!A:A,Groups!BC:BC)=1,1.25,IF(_xlfn.XLOOKUP(E40,Groups!A:A,Groups!BD:BD)=1,3.5,2.5))</f>
        <v>49.785940753579851</v>
      </c>
      <c r="BE40" s="8">
        <f>EXP(1.076*LN(AP40)-4.5397)*IF(_xlfn.XLOOKUP(E40,Groups!A:A,Groups!M:M)=1,0.8,IF(_xlfn.XLOOKUP(E40,Groups!A:A,Groups!BC:BC)=1,1.3,3))</f>
        <v>66.46725045827219</v>
      </c>
      <c r="BF40" s="8" t="str">
        <f>IF(W40="No","No",IF(_xlfn.XLOOKUP(E40,Groups!A:A,Groups!U:U)=1,'Base stats'!BG40,IF(OR(_xlfn.XLOOKUP(E40,Groups!A:A,Groups!BD:BD)=1,_xlfn.XLOOKUP(E40,Groups!A:A,Groups!U:U)=2),BD40,BE40))*1.2)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10"/>
        <v>13</v>
      </c>
      <c r="BI40" s="8">
        <f t="shared" si="11"/>
        <v>10</v>
      </c>
      <c r="BJ40" s="8" t="str">
        <f t="shared" si="27"/>
        <v>No</v>
      </c>
      <c r="BK40" s="8">
        <f t="shared" si="28"/>
        <v>9</v>
      </c>
      <c r="BL40" s="8">
        <f t="shared" si="12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N40" s="8" t="str">
        <f>IF(W40="No","No",IF(_xlfn.XLOOKUP(E40,Groups!A:A,Groups!BD:BD)=1,(AL40*5%),EXP(0.7354*LN(C40)^0.4078)*2/IF(_xlfn.XLOOKUP(E40,Groups!A:A,Groups!BL:BL)=1,1000,100)))</f>
        <v>No</v>
      </c>
      <c r="BO40" s="8">
        <f>IF(BG40="No","No",IF(_xlfn.XLOOKUP(E40,Groups!A:A,Groups!BF:BF)=1,(0.0315*C40+2.1825)*2,(0.7354*C40^0.4078)*2)/IF(_xlfn.XLOOKUP(E40,Groups!A:A,Groups!BM:BM)=1,1000,100))</f>
        <v>6.2693796472684152E-2</v>
      </c>
      <c r="BP40" s="8">
        <f t="shared" si="29"/>
        <v>8.8954824257313339E-2</v>
      </c>
      <c r="BQ40" s="8" t="str">
        <f t="shared" si="13"/>
        <v>No</v>
      </c>
      <c r="BR40" s="8" t="str">
        <f t="shared" si="30"/>
        <v>No</v>
      </c>
      <c r="BS40" s="8">
        <f t="shared" si="14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Groups!A46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21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22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IFERROR(AVERAGE(_xlfn.XLOOKUP(B41,Animals!B:B,Animals!N:N),_xlfn.XLOOKUP(B41,Animals!B:B,Animals!O:O)),0)</f>
        <v>0</v>
      </c>
      <c r="AT41" s="8">
        <f>MROUND(40*Animals!AO41*_xlfn.XLOOKUP(Animals!BA41,Leathers!$A$2:$A$100,Leathers!$B$2:$B$100,0)+(140*_xlfn.XLOOKUP(B41,Animals!B:B,Animals!AO:AO)*2),5)</f>
        <v>140</v>
      </c>
      <c r="AU41" s="8">
        <f>IFERROR(ROUND(SQRT(V41-1)*IF(_xlfn.XLOOKUP(E41,Groups!A:A,Groups!BF:BF)=0,2,1)*IF(_xlfn.XLOOKUP('Base stats'!E41,Groups!A:A,Groups!O:O)=0,1,0.1),1),0)</f>
        <v>3.7</v>
      </c>
      <c r="AV41" s="8">
        <f t="shared" si="23"/>
        <v>0</v>
      </c>
      <c r="AW41" s="8">
        <f t="shared" si="24"/>
        <v>0</v>
      </c>
      <c r="AX41" s="8">
        <f t="shared" si="25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stats'!AY41,IF(OR(_xlfn.XLOOKUP(E41,Groups!A:A,Groups!BD:BD)=1,_xlfn.XLOOKUP(E41,Groups!A:A,Groups!U:U)=2),BA41,IF(_xlfn.XLOOKUP(B41,Animals!B:B,Animals!AO:AO)&gt;4,AVERAGE(BA41,BC41),BC41))))</f>
        <v>No</v>
      </c>
      <c r="BA41" s="8">
        <f t="shared" si="26"/>
        <v>0.22247748532015049</v>
      </c>
      <c r="BB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EXP(1.076*LN(AO41)-4.5397)*IF(_xlfn.XLOOKUP(E41,Groups!A:A,Groups!BC:BC)=1,1.25,IF(_xlfn.XLOOKUP(E41,Groups!A:A,Groups!BD:BD)=1,3.5,2.5))</f>
        <v>15.944275717953127</v>
      </c>
      <c r="BE41" s="8">
        <f>EXP(1.076*LN(AP41)-4.5397)*IF(_xlfn.XLOOKUP(E41,Groups!A:A,Groups!M:M)=1,0.8,IF(_xlfn.XLOOKUP(E41,Groups!A:A,Groups!BC:BC)=1,1.3,3))</f>
        <v>22.832185638487289</v>
      </c>
      <c r="BF41" s="8" t="str">
        <f>IF(W41="No","No",IF(_xlfn.XLOOKUP(E41,Groups!A:A,Groups!U:U)=1,'Base stats'!BG41,IF(OR(_xlfn.XLOOKUP(E41,Groups!A:A,Groups!BD:BD)=1,_xlfn.XLOOKUP(E41,Groups!A:A,Groups!U:U)=2),BD41,BE41))*1.2)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10"/>
        <v>11</v>
      </c>
      <c r="BI41" s="8">
        <f t="shared" si="11"/>
        <v>10</v>
      </c>
      <c r="BJ41" s="8" t="str">
        <f t="shared" si="27"/>
        <v>No</v>
      </c>
      <c r="BK41" s="8">
        <f t="shared" si="28"/>
        <v>8</v>
      </c>
      <c r="BL41" s="8">
        <f t="shared" si="12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N41" s="8" t="str">
        <f>IF(W41="No","No",IF(_xlfn.XLOOKUP(E41,Groups!A:A,Groups!BD:BD)=1,(AL41*5%),EXP(0.7354*LN(C41)^0.4078)*2/IF(_xlfn.XLOOKUP(E41,Groups!A:A,Groups!BL:BL)=1,1000,100)))</f>
        <v>No</v>
      </c>
      <c r="BO41" s="8">
        <f>IF(BG41="No","No",IF(_xlfn.XLOOKUP(E41,Groups!A:A,Groups!BF:BF)=1,(0.0315*C41+2.1825)*2,(0.7354*C41^0.4078)*2)/IF(_xlfn.XLOOKUP(E41,Groups!A:A,Groups!BM:BM)=1,1000,100))</f>
        <v>3.7614355184740135E-2</v>
      </c>
      <c r="BP41" s="8">
        <f t="shared" si="29"/>
        <v>6.4314931691790186E-2</v>
      </c>
      <c r="BQ41" s="8" t="str">
        <f t="shared" si="13"/>
        <v>No</v>
      </c>
      <c r="BR41" s="8" t="str">
        <f t="shared" si="30"/>
        <v>No</v>
      </c>
      <c r="BS41" s="8">
        <f t="shared" si="14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Groups!A48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21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22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IFERROR(AVERAGE(_xlfn.XLOOKUP(B42,Animals!B:B,Animals!N:N),_xlfn.XLOOKUP(B42,Animals!B:B,Animals!O:O)),0)</f>
        <v>0</v>
      </c>
      <c r="AT42" s="8">
        <f>MROUND(40*Animals!AO42*_xlfn.XLOOKUP(Animals!BA42,Leathers!$A$2:$A$100,Leathers!$B$2:$B$100,0)+(140*_xlfn.XLOOKUP(B42,Animals!B:B,Animals!AO:AO)*2),5)</f>
        <v>1090</v>
      </c>
      <c r="AU42" s="8">
        <f>IFERROR(ROUND(SQRT(V42-1)*IF(_xlfn.XLOOKUP(E42,Groups!A:A,Groups!BF:BF)=0,2,1)*IF(_xlfn.XLOOKUP('Base stats'!E42,Groups!A:A,Groups!O:O)=0,1,0.1),1),0)</f>
        <v>0</v>
      </c>
      <c r="AV42" s="8">
        <f t="shared" si="23"/>
        <v>0</v>
      </c>
      <c r="AW42" s="8">
        <f t="shared" si="24"/>
        <v>6.5</v>
      </c>
      <c r="AX42" s="8">
        <f t="shared" si="25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stats'!AY42,IF(OR(_xlfn.XLOOKUP(E42,Groups!A:A,Groups!BD:BD)=1,_xlfn.XLOOKUP(E42,Groups!A:A,Groups!U:U)=2),BA42,IF(_xlfn.XLOOKUP(B42,Animals!B:B,Animals!AO:AO)&gt;4,AVERAGE(BA42,BC42),BC42))))</f>
        <v>8.0472977027347774</v>
      </c>
      <c r="BA42" s="8">
        <f t="shared" si="26"/>
        <v>5.0581166559376269</v>
      </c>
      <c r="BB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EXP(1.076*LN(AO42)-4.5397)*IF(_xlfn.XLOOKUP(E42,Groups!A:A,Groups!BC:BC)=1,1.25,IF(_xlfn.XLOOKUP(E42,Groups!A:A,Groups!BD:BD)=1,3.5,2.5))</f>
        <v>688.684618158901</v>
      </c>
      <c r="BE42" s="8">
        <f>EXP(1.076*LN(AP42)-4.5397)*IF(_xlfn.XLOOKUP(E42,Groups!A:A,Groups!M:M)=1,0.8,IF(_xlfn.XLOOKUP(E42,Groups!A:A,Groups!BC:BC)=1,1.3,3))</f>
        <v>782.14337611712108</v>
      </c>
      <c r="BF42" s="8">
        <f>IF(W42="No","No",IF(_xlfn.XLOOKUP(E42,Groups!A:A,Groups!U:U)=1,'Base stats'!BG42,IF(OR(_xlfn.XLOOKUP(E42,Groups!A:A,Groups!BD:BD)=1,_xlfn.XLOOKUP(E42,Groups!A:A,Groups!U:U)=2),BD42,BE42))*1.2)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10"/>
        <v>16</v>
      </c>
      <c r="BI42" s="8">
        <f t="shared" si="11"/>
        <v>12</v>
      </c>
      <c r="BJ42" s="8">
        <f t="shared" si="27"/>
        <v>15</v>
      </c>
      <c r="BK42" s="8" t="str">
        <f t="shared" si="28"/>
        <v>No</v>
      </c>
      <c r="BL42" s="8">
        <f t="shared" si="12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N42" s="8">
        <f>IF(W42="No","No",IF(_xlfn.XLOOKUP(E42,Groups!A:A,Groups!BD:BD)=1,(AL42*5%),EXP(0.7354*LN(C42)^0.4078)*2/IF(_xlfn.XLOOKUP(E42,Groups!A:A,Groups!BL:BL)=1,1000,100)))</f>
        <v>9.6357497870625142E-2</v>
      </c>
      <c r="BO42" s="8" t="str">
        <f>IF(BG42="No","No",IF(_xlfn.XLOOKUP(E42,Groups!A:A,Groups!BF:BF)=1,(0.0315*C42+2.1825)*2,(0.7354*C42^0.4078)*2)/IF(_xlfn.XLOOKUP(E42,Groups!A:A,Groups!BM:BM)=1,1000,100))</f>
        <v>No</v>
      </c>
      <c r="BP42" s="8">
        <f t="shared" si="29"/>
        <v>0.18799921801513483</v>
      </c>
      <c r="BQ42" s="8">
        <f t="shared" si="13"/>
        <v>7.1519495788954872</v>
      </c>
      <c r="BR42" s="8">
        <f t="shared" si="30"/>
        <v>9740.5191301327013</v>
      </c>
      <c r="BS42" s="8" t="str">
        <f t="shared" si="14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Groups!A49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21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22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IFERROR(AVERAGE(_xlfn.XLOOKUP(B43,Animals!B:B,Animals!N:N),_xlfn.XLOOKUP(B43,Animals!B:B,Animals!O:O)),0)</f>
        <v>0</v>
      </c>
      <c r="AT43" s="8">
        <f>MROUND(40*Animals!AO43*_xlfn.XLOOKUP(Animals!BA43,Leathers!$A$2:$A$100,Leathers!$B$2:$B$100,0)+(140*_xlfn.XLOOKUP(B43,Animals!B:B,Animals!AO:AO)*2),5)</f>
        <v>1090</v>
      </c>
      <c r="AU43" s="8">
        <f>IFERROR(ROUND(SQRT(V43-1)*IF(_xlfn.XLOOKUP(E43,Groups!A:A,Groups!BF:BF)=0,2,1)*IF(_xlfn.XLOOKUP('Base stats'!E43,Groups!A:A,Groups!O:O)=0,1,0.1),1),0)</f>
        <v>0</v>
      </c>
      <c r="AV43" s="8">
        <f t="shared" si="23"/>
        <v>0</v>
      </c>
      <c r="AW43" s="8">
        <f t="shared" si="24"/>
        <v>3.4</v>
      </c>
      <c r="AX43" s="8">
        <f t="shared" si="25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stats'!AY43,IF(OR(_xlfn.XLOOKUP(E43,Groups!A:A,Groups!BD:BD)=1,_xlfn.XLOOKUP(E43,Groups!A:A,Groups!U:U)=2),BA43,IF(_xlfn.XLOOKUP(B43,Animals!B:B,Animals!AO:AO)&gt;4,AVERAGE(BA43,BC43),BC43))))</f>
        <v>8.6708106402103056</v>
      </c>
      <c r="BA43" s="8">
        <f t="shared" si="26"/>
        <v>5.446814810424093</v>
      </c>
      <c r="BB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EXP(1.076*LN(AO43)-4.5397)*IF(_xlfn.XLOOKUP(E43,Groups!A:A,Groups!BC:BC)=1,1.25,IF(_xlfn.XLOOKUP(E43,Groups!A:A,Groups!BD:BD)=1,3.5,2.5))</f>
        <v>752.97338760914101</v>
      </c>
      <c r="BE43" s="8">
        <f>EXP(1.076*LN(AP43)-4.5397)*IF(_xlfn.XLOOKUP(E43,Groups!A:A,Groups!M:M)=1,0.8,IF(_xlfn.XLOOKUP(E43,Groups!A:A,Groups!BC:BC)=1,1.3,3))</f>
        <v>850.47114704714193</v>
      </c>
      <c r="BF43" s="8">
        <f>IF(W43="No","No",IF(_xlfn.XLOOKUP(E43,Groups!A:A,Groups!U:U)=1,'Base stats'!BG43,IF(OR(_xlfn.XLOOKUP(E43,Groups!A:A,Groups!BD:BD)=1,_xlfn.XLOOKUP(E43,Groups!A:A,Groups!U:U)=2),BD43,BE43))*1.2)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10"/>
        <v>16</v>
      </c>
      <c r="BI43" s="8">
        <f t="shared" si="11"/>
        <v>12</v>
      </c>
      <c r="BJ43" s="8">
        <f t="shared" si="27"/>
        <v>15</v>
      </c>
      <c r="BK43" s="8" t="str">
        <f t="shared" si="28"/>
        <v>No</v>
      </c>
      <c r="BL43" s="8">
        <f t="shared" si="12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N43" s="8">
        <f>IF(W43="No","No",IF(_xlfn.XLOOKUP(E43,Groups!A:A,Groups!BD:BD)=1,(AL43*5%),EXP(0.7354*LN(C43)^0.4078)*2/IF(_xlfn.XLOOKUP(E43,Groups!A:A,Groups!BL:BL)=1,1000,100)))</f>
        <v>9.7299057154114882E-2</v>
      </c>
      <c r="BO43" s="8" t="str">
        <f>IF(BG43="No","No",IF(_xlfn.XLOOKUP(E43,Groups!A:A,Groups!BF:BF)=1,(0.0315*C43+2.1825)*2,(0.7354*C43^0.4078)*2)/IF(_xlfn.XLOOKUP(E43,Groups!A:A,Groups!BM:BM)=1,1000,100))</f>
        <v>No</v>
      </c>
      <c r="BP43" s="8">
        <f t="shared" si="29"/>
        <v>0.19283973280687375</v>
      </c>
      <c r="BQ43" s="8">
        <f t="shared" si="13"/>
        <v>7.1083210959420864</v>
      </c>
      <c r="BR43" s="8">
        <f t="shared" si="30"/>
        <v>10488.954428819041</v>
      </c>
      <c r="BS43" s="8" t="str">
        <f t="shared" si="14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Groups!A48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21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22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IFERROR(AVERAGE(_xlfn.XLOOKUP(B44,Animals!B:B,Animals!N:N),_xlfn.XLOOKUP(B44,Animals!B:B,Animals!O:O)),0)</f>
        <v>0</v>
      </c>
      <c r="AT44" s="8">
        <f>MROUND(40*Animals!AO44*_xlfn.XLOOKUP(Animals!BA44,Leathers!$A$2:$A$100,Leathers!$B$2:$B$100,0)+(140*_xlfn.XLOOKUP(B44,Animals!B:B,Animals!AO:AO)*2),5)</f>
        <v>930</v>
      </c>
      <c r="AU44" s="8">
        <f>IFERROR(ROUND(SQRT(V44-1)*IF(_xlfn.XLOOKUP(E44,Groups!A:A,Groups!BF:BF)=0,2,1)*IF(_xlfn.XLOOKUP('Base stats'!E44,Groups!A:A,Groups!O:O)=0,1,0.1),1),0)</f>
        <v>0</v>
      </c>
      <c r="AV44" s="8">
        <f t="shared" si="23"/>
        <v>0</v>
      </c>
      <c r="AW44" s="8">
        <f t="shared" si="24"/>
        <v>5.5</v>
      </c>
      <c r="AX44" s="8">
        <f t="shared" si="25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stats'!AY44,IF(OR(_xlfn.XLOOKUP(E44,Groups!A:A,Groups!BD:BD)=1,_xlfn.XLOOKUP(E44,Groups!A:A,Groups!U:U)=2),BA44,IF(_xlfn.XLOOKUP(B44,Animals!B:B,Animals!AO:AO)&gt;4,AVERAGE(BA44,BC44),BC44))))</f>
        <v>5.1480524630900852</v>
      </c>
      <c r="BA44" s="8">
        <f t="shared" si="26"/>
        <v>3.2472324064132327</v>
      </c>
      <c r="BB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EXP(1.076*LN(AO44)-4.5397)*IF(_xlfn.XLOOKUP(E44,Groups!A:A,Groups!BC:BC)=1,1.25,IF(_xlfn.XLOOKUP(E44,Groups!A:A,Groups!BD:BD)=1,3.5,2.5))</f>
        <v>403.64903444222597</v>
      </c>
      <c r="BE44" s="8">
        <f>EXP(1.076*LN(AP44)-4.5397)*IF(_xlfn.XLOOKUP(E44,Groups!A:A,Groups!M:M)=1,0.8,IF(_xlfn.XLOOKUP(E44,Groups!A:A,Groups!BC:BC)=1,1.3,3))</f>
        <v>473.75402609099581</v>
      </c>
      <c r="BF44" s="8">
        <f>IF(W44="No","No",IF(_xlfn.XLOOKUP(E44,Groups!A:A,Groups!U:U)=1,'Base stats'!BG44,IF(OR(_xlfn.XLOOKUP(E44,Groups!A:A,Groups!BD:BD)=1,_xlfn.XLOOKUP(E44,Groups!A:A,Groups!U:U)=2),BD44,BE44))*1.2)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10"/>
        <v>15</v>
      </c>
      <c r="BI44" s="8">
        <f t="shared" si="11"/>
        <v>11</v>
      </c>
      <c r="BJ44" s="8">
        <f t="shared" si="27"/>
        <v>14</v>
      </c>
      <c r="BK44" s="8" t="str">
        <f t="shared" si="28"/>
        <v>No</v>
      </c>
      <c r="BL44" s="8">
        <f t="shared" si="12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N44" s="8">
        <f>IF(W44="No","No",IF(_xlfn.XLOOKUP(E44,Groups!A:A,Groups!BD:BD)=1,(AL44*5%),EXP(0.7354*LN(C44)^0.4078)*2/IF(_xlfn.XLOOKUP(E44,Groups!A:A,Groups!BL:BL)=1,1000,100)))</f>
        <v>9.0734189120175002E-2</v>
      </c>
      <c r="BO44" s="8" t="str">
        <f>IF(BG44="No","No",IF(_xlfn.XLOOKUP(E44,Groups!A:A,Groups!BF:BF)=1,(0.0315*C44+2.1825)*2,(0.7354*C44^0.4078)*2)/IF(_xlfn.XLOOKUP(E44,Groups!A:A,Groups!BM:BM)=1,1000,100))</f>
        <v>No</v>
      </c>
      <c r="BP44" s="8">
        <f t="shared" si="29"/>
        <v>0.16146065353004271</v>
      </c>
      <c r="BQ44" s="8">
        <f t="shared" si="13"/>
        <v>7.3904257182008974</v>
      </c>
      <c r="BR44" s="8">
        <f t="shared" si="30"/>
        <v>6265.6076702931196</v>
      </c>
      <c r="BS44" s="8" t="str">
        <f t="shared" si="14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Groups!A48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21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22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IFERROR(AVERAGE(_xlfn.XLOOKUP(B45,Animals!B:B,Animals!N:N),_xlfn.XLOOKUP(B45,Animals!B:B,Animals!O:O)),0)</f>
        <v>0</v>
      </c>
      <c r="AT45" s="8">
        <f>MROUND(40*Animals!AO45*_xlfn.XLOOKUP(Animals!BA45,Leathers!$A$2:$A$100,Leathers!$B$2:$B$100,0)+(140*_xlfn.XLOOKUP(B45,Animals!B:B,Animals!AO:AO)*2),5)</f>
        <v>1090</v>
      </c>
      <c r="AU45" s="8">
        <f>IFERROR(ROUND(SQRT(V45-1)*IF(_xlfn.XLOOKUP(E45,Groups!A:A,Groups!BF:BF)=0,2,1)*IF(_xlfn.XLOOKUP('Base stats'!E45,Groups!A:A,Groups!O:O)=0,1,0.1),1),0)</f>
        <v>0</v>
      </c>
      <c r="AV45" s="8">
        <f t="shared" si="23"/>
        <v>0</v>
      </c>
      <c r="AW45" s="8">
        <f t="shared" si="24"/>
        <v>6.5</v>
      </c>
      <c r="AX45" s="8">
        <f t="shared" si="25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stats'!AY45,IF(OR(_xlfn.XLOOKUP(E45,Groups!A:A,Groups!BD:BD)=1,_xlfn.XLOOKUP(E45,Groups!A:A,Groups!U:U)=2),BA45,IF(_xlfn.XLOOKUP(B45,Animals!B:B,Animals!AO:AO)&gt;4,AVERAGE(BA45,BC45),BC45))))</f>
        <v>8.4040162630422426</v>
      </c>
      <c r="BA45" s="8">
        <f t="shared" si="26"/>
        <v>5.2805230876124014</v>
      </c>
      <c r="BB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EXP(1.076*LN(AO45)-4.5397)*IF(_xlfn.XLOOKUP(E45,Groups!A:A,Groups!BC:BC)=1,1.25,IF(_xlfn.XLOOKUP(E45,Groups!A:A,Groups!BD:BD)=1,3.5,2.5))</f>
        <v>725.35007239706135</v>
      </c>
      <c r="BE45" s="8">
        <f>EXP(1.076*LN(AP45)-4.5397)*IF(_xlfn.XLOOKUP(E45,Groups!A:A,Groups!M:M)=1,0.8,IF(_xlfn.XLOOKUP(E45,Groups!A:A,Groups!BC:BC)=1,1.3,3))</f>
        <v>821.15825108479567</v>
      </c>
      <c r="BF45" s="8">
        <f>IF(W45="No","No",IF(_xlfn.XLOOKUP(E45,Groups!A:A,Groups!U:U)=1,'Base stats'!BG45,IF(OR(_xlfn.XLOOKUP(E45,Groups!A:A,Groups!BD:BD)=1,_xlfn.XLOOKUP(E45,Groups!A:A,Groups!U:U)=2),BD45,BE45))*1.2)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10"/>
        <v>16</v>
      </c>
      <c r="BI45" s="8">
        <f t="shared" si="11"/>
        <v>12</v>
      </c>
      <c r="BJ45" s="8">
        <f t="shared" si="27"/>
        <v>15</v>
      </c>
      <c r="BK45" s="8" t="str">
        <f t="shared" si="28"/>
        <v>No</v>
      </c>
      <c r="BL45" s="8">
        <f t="shared" si="12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N45" s="8">
        <f>IF(W45="No","No",IF(_xlfn.XLOOKUP(E45,Groups!A:A,Groups!BD:BD)=1,(AL45*5%),EXP(0.7354*LN(C45)^0.4078)*2/IF(_xlfn.XLOOKUP(E45,Groups!A:A,Groups!BL:BL)=1,1000,100)))</f>
        <v>9.6904653441537092E-2</v>
      </c>
      <c r="BO45" s="8" t="str">
        <f>IF(BG45="No","No",IF(_xlfn.XLOOKUP(E45,Groups!A:A,Groups!BF:BF)=1,(0.0315*C45+2.1825)*2,(0.7354*C45^0.4078)*2)/IF(_xlfn.XLOOKUP(E45,Groups!A:A,Groups!BM:BM)=1,1000,100))</f>
        <v>No</v>
      </c>
      <c r="BP45" s="8">
        <f t="shared" si="29"/>
        <v>0.19079758947953665</v>
      </c>
      <c r="BQ45" s="8">
        <f t="shared" si="13"/>
        <v>7.1267129849175799</v>
      </c>
      <c r="BR45" s="8">
        <f t="shared" si="30"/>
        <v>10168.65409767183</v>
      </c>
      <c r="BS45" s="8" t="str">
        <f t="shared" si="14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Groups!A51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21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22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IFERROR(AVERAGE(_xlfn.XLOOKUP(B46,Animals!B:B,Animals!N:N),_xlfn.XLOOKUP(B46,Animals!B:B,Animals!O:O)),0)</f>
        <v>0</v>
      </c>
      <c r="AT46" s="8">
        <f>MROUND(40*Animals!AO46*_xlfn.XLOOKUP(Animals!BA46,Leathers!$A$2:$A$100,Leathers!$B$2:$B$100,0)+(140*_xlfn.XLOOKUP(B46,Animals!B:B,Animals!AO:AO)*2),5)</f>
        <v>655</v>
      </c>
      <c r="AU46" s="8">
        <f>IFERROR(ROUND(SQRT(V46-1)*IF(_xlfn.XLOOKUP(E46,Groups!A:A,Groups!BF:BF)=0,2,1)*IF(_xlfn.XLOOKUP('Base stats'!E46,Groups!A:A,Groups!O:O)=0,1,0.1),1),0)</f>
        <v>0</v>
      </c>
      <c r="AV46" s="8">
        <f t="shared" si="23"/>
        <v>0</v>
      </c>
      <c r="AW46" s="8">
        <f t="shared" si="24"/>
        <v>7.4</v>
      </c>
      <c r="AX46" s="8">
        <f t="shared" si="25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stats'!AY46,IF(OR(_xlfn.XLOOKUP(E46,Groups!A:A,Groups!BD:BD)=1,_xlfn.XLOOKUP(E46,Groups!A:A,Groups!U:U)=2),BA46,IF(_xlfn.XLOOKUP(B46,Animals!B:B,Animals!AO:AO)&gt;4,AVERAGE(BA46,BC46),BC46))))</f>
        <v>3.3646046987127658</v>
      </c>
      <c r="BA46" s="8">
        <f t="shared" si="26"/>
        <v>2.1294266438436793</v>
      </c>
      <c r="BB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EXP(1.076*LN(AO46)-4.5397)*IF(_xlfn.XLOOKUP(E46,Groups!A:A,Groups!BC:BC)=1,1.25,IF(_xlfn.XLOOKUP(E46,Groups!A:A,Groups!BD:BD)=1,3.5,2.5))</f>
        <v>242.72097948417178</v>
      </c>
      <c r="BE46" s="8">
        <f>EXP(1.076*LN(AP46)-4.5397)*IF(_xlfn.XLOOKUP(E46,Groups!A:A,Groups!M:M)=1,0.8,IF(_xlfn.XLOOKUP(E46,Groups!A:A,Groups!BC:BC)=1,1.3,3))</f>
        <v>293.93735151357987</v>
      </c>
      <c r="BF46" s="8">
        <f>IF(W46="No","No",IF(_xlfn.XLOOKUP(E46,Groups!A:A,Groups!U:U)=1,'Base stats'!BG46,IF(OR(_xlfn.XLOOKUP(E46,Groups!A:A,Groups!BD:BD)=1,_xlfn.XLOOKUP(E46,Groups!A:A,Groups!U:U)=2),BD46,BE46))*1.2)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10"/>
        <v>15</v>
      </c>
      <c r="BI46" s="8">
        <f t="shared" si="11"/>
        <v>11</v>
      </c>
      <c r="BJ46" s="8">
        <f t="shared" si="27"/>
        <v>14</v>
      </c>
      <c r="BK46" s="8" t="str">
        <f t="shared" si="28"/>
        <v>No</v>
      </c>
      <c r="BL46" s="8">
        <f t="shared" si="12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N46" s="8">
        <f>IF(W46="No","No",IF(_xlfn.XLOOKUP(E46,Groups!A:A,Groups!BD:BD)=1,(AL46*5%),EXP(0.7354*LN(C46)^0.4078)*2/IF(_xlfn.XLOOKUP(E46,Groups!A:A,Groups!BL:BL)=1,1000,100)))</f>
        <v>8.5393147695734722E-2</v>
      </c>
      <c r="BO46" s="8" t="str">
        <f>IF(BG46="No","No",IF(_xlfn.XLOOKUP(E46,Groups!A:A,Groups!BF:BF)=1,(0.0315*C46+2.1825)*2,(0.7354*C46^0.4078)*2)/IF(_xlfn.XLOOKUP(E46,Groups!A:A,Groups!BM:BM)=1,1000,100))</f>
        <v>No</v>
      </c>
      <c r="BP46" s="8">
        <f t="shared" si="29"/>
        <v>0.13968341227368164</v>
      </c>
      <c r="BQ46" s="8">
        <f t="shared" si="13"/>
        <v>7.5754760239046428</v>
      </c>
      <c r="BR46" s="8">
        <f t="shared" si="30"/>
        <v>4130.5986643459219</v>
      </c>
      <c r="BS46" s="8" t="str">
        <f t="shared" si="14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Groups!A21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21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22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IFERROR(AVERAGE(_xlfn.XLOOKUP(B47,Animals!B:B,Animals!N:N),_xlfn.XLOOKUP(B47,Animals!B:B,Animals!O:O)),0)</f>
        <v>0</v>
      </c>
      <c r="AT47" s="8">
        <f>MROUND(40*Animals!AO47*_xlfn.XLOOKUP(Animals!BA47,Leathers!$A$2:$A$100,Leathers!$B$2:$B$100,0)+(140*_xlfn.XLOOKUP(B47,Animals!B:B,Animals!AO:AO)*2),5)</f>
        <v>545</v>
      </c>
      <c r="AU47" s="8">
        <f>IFERROR(ROUND(SQRT(V47-1)*IF(_xlfn.XLOOKUP(E47,Groups!A:A,Groups!BF:BF)=0,2,1)*IF(_xlfn.XLOOKUP('Base stats'!E47,Groups!A:A,Groups!O:O)=0,1,0.1),1),0)</f>
        <v>0.5</v>
      </c>
      <c r="AV47" s="8">
        <f t="shared" si="23"/>
        <v>0</v>
      </c>
      <c r="AW47" s="8">
        <f t="shared" si="24"/>
        <v>0</v>
      </c>
      <c r="AX47" s="8">
        <f t="shared" si="25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stats'!AY47,IF(OR(_xlfn.XLOOKUP(E47,Groups!A:A,Groups!BD:BD)=1,_xlfn.XLOOKUP(E47,Groups!A:A,Groups!U:U)=2),BA47,IF(_xlfn.XLOOKUP(B47,Animals!B:B,Animals!AO:AO)&gt;4,AVERAGE(BA47,BC47),BC47))))</f>
        <v>No</v>
      </c>
      <c r="BA47" s="8">
        <f t="shared" si="26"/>
        <v>1.7141896806845596</v>
      </c>
      <c r="BB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EXP(1.076*LN(AO47)-4.5397)*IF(_xlfn.XLOOKUP(E47,Groups!A:A,Groups!BC:BC)=1,1.25,IF(_xlfn.XLOOKUP(E47,Groups!A:A,Groups!BD:BD)=1,3.5,2.5))</f>
        <v>186.87484615605439</v>
      </c>
      <c r="BE47" s="8">
        <f>EXP(1.076*LN(AP47)-4.5397)*IF(_xlfn.XLOOKUP(E47,Groups!A:A,Groups!M:M)=1,0.8,IF(_xlfn.XLOOKUP(E47,Groups!A:A,Groups!BC:BC)=1,1.3,3))</f>
        <v>229.97937056804284</v>
      </c>
      <c r="BF47" s="8" t="str">
        <f>IF(W47="No","No",IF(_xlfn.XLOOKUP(E47,Groups!A:A,Groups!U:U)=1,'Base stats'!BG47,IF(OR(_xlfn.XLOOKUP(E47,Groups!A:A,Groups!BD:BD)=1,_xlfn.XLOOKUP(E47,Groups!A:A,Groups!U:U)=2),BD47,BE47))*1.2)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10"/>
        <v>14</v>
      </c>
      <c r="BI47" s="8">
        <f t="shared" si="11"/>
        <v>11</v>
      </c>
      <c r="BJ47" s="8" t="str">
        <f t="shared" si="27"/>
        <v>No</v>
      </c>
      <c r="BK47" s="8">
        <f t="shared" si="28"/>
        <v>9</v>
      </c>
      <c r="BL47" s="8">
        <f t="shared" si="12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N47" s="8" t="str">
        <f>IF(W47="No","No",IF(_xlfn.XLOOKUP(E47,Groups!A:A,Groups!BD:BD)=1,(AL47*5%),EXP(0.7354*LN(C47)^0.4078)*2/IF(_xlfn.XLOOKUP(E47,Groups!A:A,Groups!BL:BL)=1,1000,100)))</f>
        <v>No</v>
      </c>
      <c r="BO47" s="8">
        <f>IF(BG47="No","No",IF(_xlfn.XLOOKUP(E47,Groups!A:A,Groups!BF:BF)=1,(0.0315*C47+2.1825)*2,(0.7354*C47^0.4078)*2)/IF(_xlfn.XLOOKUP(E47,Groups!A:A,Groups!BM:BM)=1,1000,100))</f>
        <v>0.13815</v>
      </c>
      <c r="BP47" s="8">
        <f t="shared" si="29"/>
        <v>0.12965776963635597</v>
      </c>
      <c r="BQ47" s="8">
        <f t="shared" si="13"/>
        <v>7.6522251477737004</v>
      </c>
      <c r="BR47" s="8" t="str">
        <f t="shared" si="30"/>
        <v>No</v>
      </c>
      <c r="BS47" s="8">
        <f t="shared" si="14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Groups!A21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21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22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IFERROR(AVERAGE(_xlfn.XLOOKUP(B48,Animals!B:B,Animals!N:N),_xlfn.XLOOKUP(B48,Animals!B:B,Animals!O:O)),0)</f>
        <v>0</v>
      </c>
      <c r="AT48" s="8">
        <f>MROUND(40*Animals!AO48*_xlfn.XLOOKUP(Animals!BA48,Leathers!$A$2:$A$100,Leathers!$B$2:$B$100,0)+(140*_xlfn.XLOOKUP(B48,Animals!B:B,Animals!AO:AO)*2),5)</f>
        <v>545</v>
      </c>
      <c r="AU48" s="8">
        <f>IFERROR(ROUND(SQRT(V48-1)*IF(_xlfn.XLOOKUP(E48,Groups!A:A,Groups!BF:BF)=0,2,1)*IF(_xlfn.XLOOKUP('Base stats'!E48,Groups!A:A,Groups!O:O)=0,1,0.1),1),0)</f>
        <v>0.5</v>
      </c>
      <c r="AV48" s="8">
        <f t="shared" si="23"/>
        <v>0</v>
      </c>
      <c r="AW48" s="8">
        <f t="shared" si="24"/>
        <v>0</v>
      </c>
      <c r="AX48" s="8">
        <f t="shared" si="25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stats'!AY48,IF(OR(_xlfn.XLOOKUP(E48,Groups!A:A,Groups!BD:BD)=1,_xlfn.XLOOKUP(E48,Groups!A:A,Groups!U:U)=2),BA48,IF(_xlfn.XLOOKUP(B48,Animals!B:B,Animals!AO:AO)&gt;4,AVERAGE(BA48,BC48),BC48))))</f>
        <v>No</v>
      </c>
      <c r="BA48" s="8">
        <f t="shared" si="26"/>
        <v>1.7141896806845596</v>
      </c>
      <c r="BB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EXP(1.076*LN(AO48)-4.5397)*IF(_xlfn.XLOOKUP(E48,Groups!A:A,Groups!BC:BC)=1,1.25,IF(_xlfn.XLOOKUP(E48,Groups!A:A,Groups!BD:BD)=1,3.5,2.5))</f>
        <v>186.87484615605439</v>
      </c>
      <c r="BE48" s="8">
        <f>EXP(1.076*LN(AP48)-4.5397)*IF(_xlfn.XLOOKUP(E48,Groups!A:A,Groups!M:M)=1,0.8,IF(_xlfn.XLOOKUP(E48,Groups!A:A,Groups!BC:BC)=1,1.3,3))</f>
        <v>229.97937056804284</v>
      </c>
      <c r="BF48" s="8" t="str">
        <f>IF(W48="No","No",IF(_xlfn.XLOOKUP(E48,Groups!A:A,Groups!U:U)=1,'Base stats'!BG48,IF(OR(_xlfn.XLOOKUP(E48,Groups!A:A,Groups!BD:BD)=1,_xlfn.XLOOKUP(E48,Groups!A:A,Groups!U:U)=2),BD48,BE48))*1.2)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10"/>
        <v>14</v>
      </c>
      <c r="BI48" s="8">
        <f t="shared" si="11"/>
        <v>11</v>
      </c>
      <c r="BJ48" s="8" t="str">
        <f t="shared" si="27"/>
        <v>No</v>
      </c>
      <c r="BK48" s="8">
        <f t="shared" si="28"/>
        <v>9</v>
      </c>
      <c r="BL48" s="8">
        <f t="shared" si="12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N48" s="8" t="str">
        <f>IF(W48="No","No",IF(_xlfn.XLOOKUP(E48,Groups!A:A,Groups!BD:BD)=1,(AL48*5%),EXP(0.7354*LN(C48)^0.4078)*2/IF(_xlfn.XLOOKUP(E48,Groups!A:A,Groups!BL:BL)=1,1000,100)))</f>
        <v>No</v>
      </c>
      <c r="BO48" s="8">
        <f>IF(BG48="No","No",IF(_xlfn.XLOOKUP(E48,Groups!A:A,Groups!BF:BF)=1,(0.0315*C48+2.1825)*2,(0.7354*C48^0.4078)*2)/IF(_xlfn.XLOOKUP(E48,Groups!A:A,Groups!BM:BM)=1,1000,100))</f>
        <v>0.13815</v>
      </c>
      <c r="BP48" s="8">
        <f t="shared" si="29"/>
        <v>0.12965776963635597</v>
      </c>
      <c r="BQ48" s="8">
        <f t="shared" si="13"/>
        <v>7.6522251477737004</v>
      </c>
      <c r="BR48" s="8" t="str">
        <f t="shared" si="30"/>
        <v>No</v>
      </c>
      <c r="BS48" s="8">
        <f t="shared" si="14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Groups!A51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21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22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IFERROR(AVERAGE(_xlfn.XLOOKUP(B49,Animals!B:B,Animals!N:N),_xlfn.XLOOKUP(B49,Animals!B:B,Animals!O:O)),0)</f>
        <v>0</v>
      </c>
      <c r="AT49" s="8">
        <f>MROUND(40*Animals!AO49*_xlfn.XLOOKUP(Animals!BA49,Leathers!$A$2:$A$100,Leathers!$B$2:$B$100,0)+(140*_xlfn.XLOOKUP(B49,Animals!B:B,Animals!AO:AO)*2),5)</f>
        <v>475</v>
      </c>
      <c r="AU49" s="8">
        <f>IFERROR(ROUND(SQRT(V49-1)*IF(_xlfn.XLOOKUP(E49,Groups!A:A,Groups!BF:BF)=0,2,1)*IF(_xlfn.XLOOKUP('Base stats'!E49,Groups!A:A,Groups!O:O)=0,1,0.1),1),0)</f>
        <v>0</v>
      </c>
      <c r="AV49" s="8">
        <f t="shared" si="23"/>
        <v>0</v>
      </c>
      <c r="AW49" s="8">
        <f t="shared" si="24"/>
        <v>7.1</v>
      </c>
      <c r="AX49" s="8">
        <f t="shared" si="25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stats'!AY49,IF(OR(_xlfn.XLOOKUP(E49,Groups!A:A,Groups!BD:BD)=1,_xlfn.XLOOKUP(E49,Groups!A:A,Groups!U:U)=2),BA49,IF(_xlfn.XLOOKUP(B49,Animals!B:B,Animals!AO:AO)&gt;4,AVERAGE(BA49,BC49),BC49))))</f>
        <v>2.2170255969992998</v>
      </c>
      <c r="BA49" s="8">
        <f t="shared" si="26"/>
        <v>1.4077631114513092</v>
      </c>
      <c r="BB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EXP(1.076*LN(AO49)-4.5397)*IF(_xlfn.XLOOKUP(E49,Groups!A:A,Groups!BC:BC)=1,1.25,IF(_xlfn.XLOOKUP(E49,Groups!A:A,Groups!BD:BD)=1,3.5,2.5))</f>
        <v>147.38420104304186</v>
      </c>
      <c r="BE49" s="8">
        <f>EXP(1.076*LN(AP49)-4.5397)*IF(_xlfn.XLOOKUP(E49,Groups!A:A,Groups!M:M)=1,0.8,IF(_xlfn.XLOOKUP(E49,Groups!A:A,Groups!BC:BC)=1,1.3,3))</f>
        <v>184.05000261865484</v>
      </c>
      <c r="BF49" s="8">
        <f>IF(W49="No","No",IF(_xlfn.XLOOKUP(E49,Groups!A:A,Groups!U:U)=1,'Base stats'!BG49,IF(OR(_xlfn.XLOOKUP(E49,Groups!A:A,Groups!BD:BD)=1,_xlfn.XLOOKUP(E49,Groups!A:A,Groups!U:U)=2),BD49,BE49))*1.2)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10"/>
        <v>14</v>
      </c>
      <c r="BI49" s="8">
        <f t="shared" si="11"/>
        <v>11</v>
      </c>
      <c r="BJ49" s="8">
        <f t="shared" si="27"/>
        <v>14</v>
      </c>
      <c r="BK49" s="8" t="str">
        <f t="shared" si="28"/>
        <v>No</v>
      </c>
      <c r="BL49" s="8">
        <f t="shared" si="12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N49" s="8">
        <f>IF(W49="No","No",IF(_xlfn.XLOOKUP(E49,Groups!A:A,Groups!BD:BD)=1,(AL49*5%),EXP(0.7354*LN(C49)^0.4078)*2/IF(_xlfn.XLOOKUP(E49,Groups!A:A,Groups!BL:BL)=1,1000,100)))</f>
        <v>8.0154260662742907E-2</v>
      </c>
      <c r="BO49" s="8" t="str">
        <f>IF(BG49="No","No",IF(_xlfn.XLOOKUP(E49,Groups!A:A,Groups!BF:BF)=1,(0.0315*C49+2.1825)*2,(0.7354*C49^0.4078)*2)/IF(_xlfn.XLOOKUP(E49,Groups!A:A,Groups!BM:BM)=1,1000,100))</f>
        <v>No</v>
      </c>
      <c r="BP49" s="8">
        <f t="shared" si="29"/>
        <v>0.12117995342322611</v>
      </c>
      <c r="BQ49" s="8">
        <f t="shared" si="13"/>
        <v>7.7100944527016191</v>
      </c>
      <c r="BR49" s="8">
        <f t="shared" si="30"/>
        <v>2755.4368453559373</v>
      </c>
      <c r="BS49" s="8" t="str">
        <f t="shared" si="14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Groups!A50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21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22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IFERROR(AVERAGE(_xlfn.XLOOKUP(B50,Animals!B:B,Animals!N:N),_xlfn.XLOOKUP(B50,Animals!B:B,Animals!O:O)),0)</f>
        <v>0</v>
      </c>
      <c r="AT50" s="8">
        <f>MROUND(40*Animals!AO50*_xlfn.XLOOKUP(Animals!BA50,Leathers!$A$2:$A$100,Leathers!$B$2:$B$100,0)+(140*_xlfn.XLOOKUP(B50,Animals!B:B,Animals!AO:AO)*2),5)</f>
        <v>400</v>
      </c>
      <c r="AU50" s="8">
        <f>IFERROR(ROUND(SQRT(V50-1)*IF(_xlfn.XLOOKUP(E50,Groups!A:A,Groups!BF:BF)=0,2,1)*IF(_xlfn.XLOOKUP('Base stats'!E50,Groups!A:A,Groups!O:O)=0,1,0.1),1),0)</f>
        <v>0</v>
      </c>
      <c r="AV50" s="8">
        <f t="shared" si="23"/>
        <v>0</v>
      </c>
      <c r="AW50" s="8">
        <f t="shared" si="24"/>
        <v>7.5</v>
      </c>
      <c r="AX50" s="8">
        <f t="shared" si="25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stats'!AY50,IF(OR(_xlfn.XLOOKUP(E50,Groups!A:A,Groups!BD:BD)=1,_xlfn.XLOOKUP(E50,Groups!A:A,Groups!U:U)=2),BA50,IF(_xlfn.XLOOKUP(B50,Animals!B:B,Animals!AO:AO)&gt;4,AVERAGE(BA50,BC50),BC50))))</f>
        <v>1.0921752840745751</v>
      </c>
      <c r="BA50" s="8">
        <f t="shared" si="26"/>
        <v>1.0921752840745751</v>
      </c>
      <c r="BB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EXP(1.076*LN(AO50)-4.5397)*IF(_xlfn.XLOOKUP(E50,Groups!A:A,Groups!BC:BC)=1,1.25,IF(_xlfn.XLOOKUP(E50,Groups!A:A,Groups!BD:BD)=1,3.5,2.5))</f>
        <v>151.94809488026397</v>
      </c>
      <c r="BE50" s="8">
        <f>EXP(1.076*LN(AP50)-4.5397)*IF(_xlfn.XLOOKUP(E50,Groups!A:A,Groups!M:M)=1,0.8,IF(_xlfn.XLOOKUP(E50,Groups!A:A,Groups!BC:BC)=1,1.3,3))</f>
        <v>138.11233994177937</v>
      </c>
      <c r="BF50" s="8">
        <f>IF(W50="No","No",IF(_xlfn.XLOOKUP(E50,Groups!A:A,Groups!U:U)=1,'Base stats'!BG50,IF(OR(_xlfn.XLOOKUP(E50,Groups!A:A,Groups!BD:BD)=1,_xlfn.XLOOKUP(E50,Groups!A:A,Groups!U:U)=2),BD50,BE50))*1.2)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10"/>
        <v>16</v>
      </c>
      <c r="BI50" s="8">
        <f t="shared" si="11"/>
        <v>11</v>
      </c>
      <c r="BJ50" s="8">
        <f t="shared" si="27"/>
        <v>18</v>
      </c>
      <c r="BK50" s="8" t="str">
        <f t="shared" si="28"/>
        <v>No</v>
      </c>
      <c r="BL50" s="8">
        <f t="shared" si="12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N50" s="8">
        <f>IF(W50="No","No",IF(_xlfn.XLOOKUP(E50,Groups!A:A,Groups!BD:BD)=1,(AL50*5%),EXP(0.7354*LN(C50)^0.4078)*2/IF(_xlfn.XLOOKUP(E50,Groups!A:A,Groups!BL:BL)=1,1000,100)))</f>
        <v>977.2103310523097</v>
      </c>
      <c r="BO50" s="8" t="str">
        <f>IF(BG50="No","No",IF(_xlfn.XLOOKUP(E50,Groups!A:A,Groups!BF:BF)=1,(0.0315*C50+2.1825)*2,(0.7354*C50^0.4078)*2)/IF(_xlfn.XLOOKUP(E50,Groups!A:A,Groups!BM:BM)=1,1000,100))</f>
        <v>No</v>
      </c>
      <c r="BP50" s="8">
        <f t="shared" si="29"/>
        <v>0.15549169922982553</v>
      </c>
      <c r="BQ50" s="8">
        <f t="shared" si="13"/>
        <v>7.7671177488133329</v>
      </c>
      <c r="BR50" s="8">
        <f t="shared" si="30"/>
        <v>0.18659003907579061</v>
      </c>
      <c r="BS50" s="8" t="str">
        <f t="shared" si="14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Groups!A49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21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22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IFERROR(AVERAGE(_xlfn.XLOOKUP(B51,Animals!B:B,Animals!N:N),_xlfn.XLOOKUP(B51,Animals!B:B,Animals!O:O)),0)</f>
        <v>0</v>
      </c>
      <c r="AT51" s="8">
        <f>MROUND(40*Animals!AO51*_xlfn.XLOOKUP(Animals!BA51,Leathers!$A$2:$A$100,Leathers!$B$2:$B$100,0)+(140*_xlfn.XLOOKUP(B51,Animals!B:B,Animals!AO:AO)*2),5)</f>
        <v>345</v>
      </c>
      <c r="AU51" s="8">
        <f>IFERROR(ROUND(SQRT(V51-1)*IF(_xlfn.XLOOKUP(E51,Groups!A:A,Groups!BF:BF)=0,2,1)*IF(_xlfn.XLOOKUP('Base stats'!E51,Groups!A:A,Groups!O:O)=0,1,0.1),1),0)</f>
        <v>0</v>
      </c>
      <c r="AV51" s="8">
        <f t="shared" si="23"/>
        <v>0</v>
      </c>
      <c r="AW51" s="8">
        <f t="shared" si="24"/>
        <v>5.0999999999999996</v>
      </c>
      <c r="AX51" s="8">
        <f t="shared" si="25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stats'!AY51,IF(OR(_xlfn.XLOOKUP(E51,Groups!A:A,Groups!BD:BD)=1,_xlfn.XLOOKUP(E51,Groups!A:A,Groups!U:U)=2),BA51,IF(_xlfn.XLOOKUP(B51,Animals!B:B,Animals!AO:AO)&gt;4,AVERAGE(BA51,BC51),BC51))))</f>
        <v>1.4236939303409302</v>
      </c>
      <c r="BA51" s="8">
        <f t="shared" si="26"/>
        <v>0.9071813051316151</v>
      </c>
      <c r="BB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EXP(1.076*LN(AO51)-4.5397)*IF(_xlfn.XLOOKUP(E51,Groups!A:A,Groups!BC:BC)=1,1.25,IF(_xlfn.XLOOKUP(E51,Groups!A:A,Groups!BD:BD)=1,3.5,2.5))</f>
        <v>86.778343103991844</v>
      </c>
      <c r="BE51" s="8">
        <f>EXP(1.076*LN(AP51)-4.5397)*IF(_xlfn.XLOOKUP(E51,Groups!A:A,Groups!M:M)=1,0.8,IF(_xlfn.XLOOKUP(E51,Groups!A:A,Groups!BC:BC)=1,1.3,3))</f>
        <v>111.95862588634577</v>
      </c>
      <c r="BF51" s="8">
        <f>IF(W51="No","No",IF(_xlfn.XLOOKUP(E51,Groups!A:A,Groups!U:U)=1,'Base stats'!BG51,IF(OR(_xlfn.XLOOKUP(E51,Groups!A:A,Groups!BD:BD)=1,_xlfn.XLOOKUP(E51,Groups!A:A,Groups!U:U)=2),BD51,BE51))*1.2)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10"/>
        <v>13</v>
      </c>
      <c r="BI51" s="8">
        <f t="shared" si="11"/>
        <v>11</v>
      </c>
      <c r="BJ51" s="8">
        <f t="shared" si="27"/>
        <v>13</v>
      </c>
      <c r="BK51" s="8" t="str">
        <f t="shared" si="28"/>
        <v>No</v>
      </c>
      <c r="BL51" s="8">
        <f t="shared" si="12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N51" s="8">
        <f>IF(W51="No","No",IF(_xlfn.XLOOKUP(E51,Groups!A:A,Groups!BD:BD)=1,(AL51*5%),EXP(0.7354*LN(C51)^0.4078)*2/IF(_xlfn.XLOOKUP(E51,Groups!A:A,Groups!BL:BL)=1,1000,100)))</f>
        <v>7.4573513388254783E-2</v>
      </c>
      <c r="BO51" s="8" t="str">
        <f>IF(BG51="No","No",IF(_xlfn.XLOOKUP(E51,Groups!A:A,Groups!BF:BF)=1,(0.0315*C51+2.1825)*2,(0.7354*C51^0.4078)*2)/IF(_xlfn.XLOOKUP(E51,Groups!A:A,Groups!BM:BM)=1,1000,100))</f>
        <v>No</v>
      </c>
      <c r="BP51" s="8">
        <f t="shared" si="29"/>
        <v>0.1042088386776432</v>
      </c>
      <c r="BQ51" s="8">
        <f t="shared" si="13"/>
        <v>7.795721283644129</v>
      </c>
      <c r="BR51" s="8">
        <f t="shared" si="30"/>
        <v>1801.5826928274362</v>
      </c>
      <c r="BS51" s="8" t="str">
        <f t="shared" si="14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Groups!A50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21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22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IFERROR(AVERAGE(_xlfn.XLOOKUP(B52,Animals!B:B,Animals!N:N),_xlfn.XLOOKUP(B52,Animals!B:B,Animals!O:O)),0)</f>
        <v>0</v>
      </c>
      <c r="AT52" s="8">
        <f>MROUND(40*Animals!AO52*_xlfn.XLOOKUP(Animals!BA52,Leathers!$A$2:$A$100,Leathers!$B$2:$B$100,0)+(140*_xlfn.XLOOKUP(B52,Animals!B:B,Animals!AO:AO)*2),5)</f>
        <v>345</v>
      </c>
      <c r="AU52" s="8">
        <f>IFERROR(ROUND(SQRT(V52-1)*IF(_xlfn.XLOOKUP(E52,Groups!A:A,Groups!BF:BF)=0,2,1)*IF(_xlfn.XLOOKUP('Base stats'!E52,Groups!A:A,Groups!O:O)=0,1,0.1),1),0)</f>
        <v>0</v>
      </c>
      <c r="AV52" s="8">
        <f t="shared" si="23"/>
        <v>0</v>
      </c>
      <c r="AW52" s="8">
        <f t="shared" si="24"/>
        <v>5.9</v>
      </c>
      <c r="AX52" s="8">
        <f t="shared" si="25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stats'!AY52,IF(OR(_xlfn.XLOOKUP(E52,Groups!A:A,Groups!BD:BD)=1,_xlfn.XLOOKUP(E52,Groups!A:A,Groups!U:U)=2),BA52,IF(_xlfn.XLOOKUP(B52,Animals!B:B,Animals!AO:AO)&gt;4,AVERAGE(BA52,BC52),BC52))))</f>
        <v>0.91226700201851907</v>
      </c>
      <c r="BA52" s="8">
        <f t="shared" si="26"/>
        <v>0.91226700201851907</v>
      </c>
      <c r="BB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EXP(1.076*LN(AO52)-4.5397)*IF(_xlfn.XLOOKUP(E52,Groups!A:A,Groups!BC:BC)=1,1.25,IF(_xlfn.XLOOKUP(E52,Groups!A:A,Groups!BD:BD)=1,3.5,2.5))</f>
        <v>122.31114490149619</v>
      </c>
      <c r="BE52" s="8">
        <f>EXP(1.076*LN(AP52)-4.5397)*IF(_xlfn.XLOOKUP(E52,Groups!A:A,Groups!M:M)=1,0.8,IF(_xlfn.XLOOKUP(E52,Groups!A:A,Groups!BC:BC)=1,1.3,3))</f>
        <v>112.6688954145712</v>
      </c>
      <c r="BF52" s="8">
        <f>IF(W52="No","No",IF(_xlfn.XLOOKUP(E52,Groups!A:A,Groups!U:U)=1,'Base stats'!BG52,IF(OR(_xlfn.XLOOKUP(E52,Groups!A:A,Groups!BD:BD)=1,_xlfn.XLOOKUP(E52,Groups!A:A,Groups!U:U)=2),BD52,BE52))*1.2)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10"/>
        <v>16</v>
      </c>
      <c r="BI52" s="8">
        <f t="shared" si="11"/>
        <v>11</v>
      </c>
      <c r="BJ52" s="8">
        <f t="shared" si="27"/>
        <v>17</v>
      </c>
      <c r="BK52" s="8" t="str">
        <f t="shared" si="28"/>
        <v>No</v>
      </c>
      <c r="BL52" s="8">
        <f t="shared" si="12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N52" s="8">
        <f>IF(W52="No","No",IF(_xlfn.XLOOKUP(E52,Groups!A:A,Groups!BD:BD)=1,(AL52*5%),EXP(0.7354*LN(C52)^0.4078)*2/IF(_xlfn.XLOOKUP(E52,Groups!A:A,Groups!BL:BL)=1,1000,100)))</f>
        <v>836.7578448337531</v>
      </c>
      <c r="BO52" s="8" t="str">
        <f>IF(BG52="No","No",IF(_xlfn.XLOOKUP(E52,Groups!A:A,Groups!BF:BF)=1,(0.0315*C52+2.1825)*2,(0.7354*C52^0.4078)*2)/IF(_xlfn.XLOOKUP(E52,Groups!A:A,Groups!BM:BM)=1,1000,100))</f>
        <v>No</v>
      </c>
      <c r="BP52" s="8">
        <f t="shared" si="29"/>
        <v>0.14617268981302106</v>
      </c>
      <c r="BQ52" s="8">
        <f t="shared" si="13"/>
        <v>7.7950252828844935</v>
      </c>
      <c r="BR52" s="8">
        <f t="shared" si="30"/>
        <v>0.17540722777562526</v>
      </c>
      <c r="BS52" s="8" t="str">
        <f t="shared" si="14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Groups!A51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21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22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IFERROR(AVERAGE(_xlfn.XLOOKUP(B53,Animals!B:B,Animals!N:N),_xlfn.XLOOKUP(B53,Animals!B:B,Animals!O:O)),0)</f>
        <v>0</v>
      </c>
      <c r="AT53" s="8">
        <f>MROUND(40*Animals!AO53*_xlfn.XLOOKUP(Animals!BA53,Leathers!$A$2:$A$100,Leathers!$B$2:$B$100,0)+(140*_xlfn.XLOOKUP(B53,Animals!B:B,Animals!AO:AO)*2),5)</f>
        <v>330</v>
      </c>
      <c r="AU53" s="8">
        <f>IFERROR(ROUND(SQRT(V53-1)*IF(_xlfn.XLOOKUP(E53,Groups!A:A,Groups!BF:BF)=0,2,1)*IF(_xlfn.XLOOKUP('Base stats'!E53,Groups!A:A,Groups!O:O)=0,1,0.1),1),0)</f>
        <v>0</v>
      </c>
      <c r="AV53" s="8">
        <f t="shared" si="23"/>
        <v>0</v>
      </c>
      <c r="AW53" s="8">
        <f t="shared" si="24"/>
        <v>6.4</v>
      </c>
      <c r="AX53" s="8">
        <f t="shared" si="25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stats'!AY53,IF(OR(_xlfn.XLOOKUP(E53,Groups!A:A,Groups!BD:BD)=1,_xlfn.XLOOKUP(E53,Groups!A:A,Groups!U:U)=2),BA53,IF(_xlfn.XLOOKUP(B53,Animals!B:B,Animals!AO:AO)&gt;4,AVERAGE(BA53,BC53),BC53))))</f>
        <v>1.2960332413542242</v>
      </c>
      <c r="BA53" s="8">
        <f t="shared" si="26"/>
        <v>0.82644833336633383</v>
      </c>
      <c r="BB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EXP(1.076*LN(AO53)-4.5397)*IF(_xlfn.XLOOKUP(E53,Groups!A:A,Groups!BC:BC)=1,1.25,IF(_xlfn.XLOOKUP(E53,Groups!A:A,Groups!BD:BD)=1,3.5,2.5))</f>
        <v>77.556345326356166</v>
      </c>
      <c r="BE53" s="8">
        <f>EXP(1.076*LN(AP53)-4.5397)*IF(_xlfn.XLOOKUP(E53,Groups!A:A,Groups!M:M)=1,0.8,IF(_xlfn.XLOOKUP(E53,Groups!A:A,Groups!BC:BC)=1,1.3,3))</f>
        <v>100.75516458690971</v>
      </c>
      <c r="BF53" s="8">
        <f>IF(W53="No","No",IF(_xlfn.XLOOKUP(E53,Groups!A:A,Groups!U:U)=1,'Base stats'!BG53,IF(OR(_xlfn.XLOOKUP(E53,Groups!A:A,Groups!BD:BD)=1,_xlfn.XLOOKUP(E53,Groups!A:A,Groups!U:U)=2),BD53,BE53))*1.2)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10"/>
        <v>13</v>
      </c>
      <c r="BI53" s="8">
        <f t="shared" si="11"/>
        <v>11</v>
      </c>
      <c r="BJ53" s="8">
        <f t="shared" si="27"/>
        <v>13</v>
      </c>
      <c r="BK53" s="8" t="str">
        <f t="shared" si="28"/>
        <v>No</v>
      </c>
      <c r="BL53" s="8">
        <f t="shared" si="12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N53" s="8">
        <f>IF(W53="No","No",IF(_xlfn.XLOOKUP(E53,Groups!A:A,Groups!BD:BD)=1,(AL53*5%),EXP(0.7354*LN(C53)^0.4078)*2/IF(_xlfn.XLOOKUP(E53,Groups!A:A,Groups!BL:BL)=1,1000,100)))</f>
        <v>7.3385121619685356E-2</v>
      </c>
      <c r="BO53" s="8" t="str">
        <f>IF(BG53="No","No",IF(_xlfn.XLOOKUP(E53,Groups!A:A,Groups!BF:BF)=1,(0.0315*C53+2.1825)*2,(0.7354*C53^0.4078)*2)/IF(_xlfn.XLOOKUP(E53,Groups!A:A,Groups!BM:BM)=1,1000,100))</f>
        <v>No</v>
      </c>
      <c r="BP53" s="8">
        <f t="shared" si="29"/>
        <v>0.10092661239711029</v>
      </c>
      <c r="BQ53" s="8">
        <f t="shared" si="13"/>
        <v>7.8057888595788896</v>
      </c>
      <c r="BR53" s="8">
        <f t="shared" si="30"/>
        <v>1647.5573636149552</v>
      </c>
      <c r="BS53" s="8" t="str">
        <f t="shared" si="14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Groups!A49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21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22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IFERROR(AVERAGE(_xlfn.XLOOKUP(B54,Animals!B:B,Animals!N:N),_xlfn.XLOOKUP(B54,Animals!B:B,Animals!O:O)),0)</f>
        <v>0</v>
      </c>
      <c r="AT54" s="8">
        <f>MROUND(40*Animals!AO54*_xlfn.XLOOKUP(Animals!BA54,Leathers!$A$2:$A$100,Leathers!$B$2:$B$100,0)+(140*_xlfn.XLOOKUP(B54,Animals!B:B,Animals!AO:AO)*2),5)</f>
        <v>220</v>
      </c>
      <c r="AU54" s="8">
        <f>IFERROR(ROUND(SQRT(V54-1)*IF(_xlfn.XLOOKUP(E54,Groups!A:A,Groups!BF:BF)=0,2,1)*IF(_xlfn.XLOOKUP('Base stats'!E54,Groups!A:A,Groups!O:O)=0,1,0.1),1),0)</f>
        <v>0</v>
      </c>
      <c r="AV54" s="8">
        <f t="shared" si="23"/>
        <v>0</v>
      </c>
      <c r="AW54" s="8">
        <f t="shared" si="24"/>
        <v>5.0999999999999996</v>
      </c>
      <c r="AX54" s="8">
        <f t="shared" si="25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stats'!AY54,IF(OR(_xlfn.XLOOKUP(E54,Groups!A:A,Groups!BD:BD)=1,_xlfn.XLOOKUP(E54,Groups!A:A,Groups!U:U)=2),BA54,IF(_xlfn.XLOOKUP(B54,Animals!B:B,Animals!AO:AO)&gt;4,AVERAGE(BA54,BC54),BC54))))</f>
        <v>0.65559056971929131</v>
      </c>
      <c r="BA54" s="8">
        <f t="shared" si="26"/>
        <v>0.42030927794687478</v>
      </c>
      <c r="BB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EXP(1.076*LN(AO54)-4.5397)*IF(_xlfn.XLOOKUP(E54,Groups!A:A,Groups!BC:BC)=1,1.25,IF(_xlfn.XLOOKUP(E54,Groups!A:A,Groups!BD:BD)=1,3.5,2.5))</f>
        <v>34.327770313345525</v>
      </c>
      <c r="BE54" s="8">
        <f>EXP(1.076*LN(AP54)-4.5397)*IF(_xlfn.XLOOKUP(E54,Groups!A:A,Groups!M:M)=1,0.8,IF(_xlfn.XLOOKUP(E54,Groups!A:A,Groups!BC:BC)=1,1.3,3))</f>
        <v>46.890643132169352</v>
      </c>
      <c r="BF54" s="8">
        <f>IF(W54="No","No",IF(_xlfn.XLOOKUP(E54,Groups!A:A,Groups!U:U)=1,'Base stats'!BG54,IF(OR(_xlfn.XLOOKUP(E54,Groups!A:A,Groups!BD:BD)=1,_xlfn.XLOOKUP(E54,Groups!A:A,Groups!U:U)=2),BD54,BE54))*1.2)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10"/>
        <v>12</v>
      </c>
      <c r="BI54" s="8">
        <f t="shared" si="11"/>
        <v>10</v>
      </c>
      <c r="BJ54" s="8">
        <f t="shared" si="27"/>
        <v>13</v>
      </c>
      <c r="BK54" s="8" t="str">
        <f t="shared" si="28"/>
        <v>No</v>
      </c>
      <c r="BL54" s="8">
        <f t="shared" si="12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N54" s="8">
        <f>IF(W54="No","No",IF(_xlfn.XLOOKUP(E54,Groups!A:A,Groups!BD:BD)=1,(AL54*5%),EXP(0.7354*LN(C54)^0.4078)*2/IF(_xlfn.XLOOKUP(E54,Groups!A:A,Groups!BL:BL)=1,1000,100)))</f>
        <v>6.4673426428061231E-2</v>
      </c>
      <c r="BO54" s="8" t="str">
        <f>IF(BG54="No","No",IF(_xlfn.XLOOKUP(E54,Groups!A:A,Groups!BF:BF)=1,(0.0315*C54+2.1825)*2,(0.7354*C54^0.4078)*2)/IF(_xlfn.XLOOKUP(E54,Groups!A:A,Groups!BM:BM)=1,1000,100))</f>
        <v>No</v>
      </c>
      <c r="BP54" s="8">
        <f t="shared" si="29"/>
        <v>8.0016157188099665E-2</v>
      </c>
      <c r="BQ54" s="8">
        <f t="shared" si="13"/>
        <v>7.7898939297392733</v>
      </c>
      <c r="BR54" s="8">
        <f t="shared" si="30"/>
        <v>870.04469789756956</v>
      </c>
      <c r="BS54" s="8" t="str">
        <f t="shared" si="14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21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22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IFERROR(AVERAGE(_xlfn.XLOOKUP(B55,Animals!B:B,Animals!N:N),_xlfn.XLOOKUP(B55,Animals!B:B,Animals!O:O)),0)</f>
        <v>0</v>
      </c>
      <c r="AT55" s="8">
        <f>MROUND(40*Animals!AO55*_xlfn.XLOOKUP(Animals!BA55,Leathers!$A$2:$A$100,Leathers!$B$2:$B$100,0)+(140*_xlfn.XLOOKUP(B55,Animals!B:B,Animals!AO:AO)*2),5)</f>
        <v>720</v>
      </c>
      <c r="AU55" s="8">
        <f>IFERROR(ROUND(SQRT(V55-1)*IF(_xlfn.XLOOKUP(E55,Groups!A:A,Groups!BF:BF)=0,2,1)*IF(_xlfn.XLOOKUP('Base stats'!E55,Groups!A:A,Groups!O:O)=0,1,0.1),1),0)</f>
        <v>4.3</v>
      </c>
      <c r="AV55" s="8">
        <f t="shared" si="23"/>
        <v>0</v>
      </c>
      <c r="AW55" s="8">
        <f t="shared" si="24"/>
        <v>0</v>
      </c>
      <c r="AX55" s="8">
        <f t="shared" si="25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stats'!AY55,IF(OR(_xlfn.XLOOKUP(E55,Groups!A:A,Groups!BD:BD)=1,_xlfn.XLOOKUP(E55,Groups!A:A,Groups!U:U)=2),BA55,IF(_xlfn.XLOOKUP(B55,Animals!B:B,Animals!AO:AO)&gt;4,AVERAGE(BA55,BC55),BC55))))</f>
        <v>No</v>
      </c>
      <c r="BA55" s="8">
        <f t="shared" si="26"/>
        <v>3.2021523702866714</v>
      </c>
      <c r="BB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EXP(1.076*LN(AO55)-4.5397)*IF(_xlfn.XLOOKUP(E55,Groups!A:A,Groups!BC:BC)=1,1.25,IF(_xlfn.XLOOKUP(E55,Groups!A:A,Groups!BD:BD)=1,3.5,2.5))</f>
        <v>242.72097948417178</v>
      </c>
      <c r="BE55" s="8">
        <f>EXP(1.076*LN(AP55)-4.5397)*IF(_xlfn.XLOOKUP(E55,Groups!A:A,Groups!M:M)=1,0.8,IF(_xlfn.XLOOKUP(E55,Groups!A:A,Groups!BC:BC)=1,1.3,3))</f>
        <v>293.93735151357987</v>
      </c>
      <c r="BF55" s="8" t="str">
        <f>IF(W55="No","No",IF(_xlfn.XLOOKUP(E55,Groups!A:A,Groups!U:U)=1,'Base stats'!BG55,IF(OR(_xlfn.XLOOKUP(E55,Groups!A:A,Groups!BD:BD)=1,_xlfn.XLOOKUP(E55,Groups!A:A,Groups!U:U)=2),BD55,BE55))*1.2)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10"/>
        <v>12</v>
      </c>
      <c r="BI55" s="8">
        <f t="shared" si="11"/>
        <v>11</v>
      </c>
      <c r="BJ55" s="8" t="str">
        <f t="shared" si="27"/>
        <v>No</v>
      </c>
      <c r="BK55" s="8">
        <f t="shared" si="28"/>
        <v>12</v>
      </c>
      <c r="BL55" s="8">
        <f t="shared" si="12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N55" s="8" t="str">
        <f>IF(W55="No","No",IF(_xlfn.XLOOKUP(E55,Groups!A:A,Groups!BD:BD)=1,(AL55*5%),EXP(0.7354*LN(C55)^0.4078)*2/IF(_xlfn.XLOOKUP(E55,Groups!A:A,Groups!BL:BL)=1,1000,100)))</f>
        <v>No</v>
      </c>
      <c r="BO55" s="8">
        <f>IF(BG55="No","No",IF(_xlfn.XLOOKUP(E55,Groups!A:A,Groups!BF:BF)=1,(0.0315*C55+2.1825)*2,(0.7354*C55^0.4078)*2)/IF(_xlfn.XLOOKUP(E55,Groups!A:A,Groups!BM:BM)=1,1000,100))</f>
        <v>0.12761850520553555</v>
      </c>
      <c r="BP55" s="8">
        <f t="shared" si="29"/>
        <v>0.13968341227368164</v>
      </c>
      <c r="BQ55" s="8" t="str">
        <f t="shared" si="13"/>
        <v>No</v>
      </c>
      <c r="BR55" s="8" t="str">
        <f t="shared" si="30"/>
        <v>No</v>
      </c>
      <c r="BS55" s="8">
        <f t="shared" si="14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21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22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IFERROR(AVERAGE(_xlfn.XLOOKUP(B56,Animals!B:B,Animals!N:N),_xlfn.XLOOKUP(B56,Animals!B:B,Animals!O:O)),0)</f>
        <v>0</v>
      </c>
      <c r="AT56" s="8">
        <f>MROUND(40*Animals!AO56*_xlfn.XLOOKUP(Animals!BA56,Leathers!$A$2:$A$100,Leathers!$B$2:$B$100,0)+(140*_xlfn.XLOOKUP(B56,Animals!B:B,Animals!AO:AO)*2),5)</f>
        <v>320</v>
      </c>
      <c r="AU56" s="8">
        <f>IFERROR(ROUND(SQRT(V56-1)*IF(_xlfn.XLOOKUP(E56,Groups!A:A,Groups!BF:BF)=0,2,1)*IF(_xlfn.XLOOKUP('Base stats'!E56,Groups!A:A,Groups!O:O)=0,1,0.1),1),0)</f>
        <v>3</v>
      </c>
      <c r="AV56" s="8">
        <f t="shared" si="23"/>
        <v>0</v>
      </c>
      <c r="AW56" s="8">
        <f t="shared" si="24"/>
        <v>0</v>
      </c>
      <c r="AX56" s="8">
        <f t="shared" si="25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stats'!AY56,IF(OR(_xlfn.XLOOKUP(E56,Groups!A:A,Groups!BD:BD)=1,_xlfn.XLOOKUP(E56,Groups!A:A,Groups!U:U)=2),BA56,IF(_xlfn.XLOOKUP(B56,Animals!B:B,Animals!AO:AO)&gt;4,AVERAGE(BA56,BC56),BC56))))</f>
        <v>No</v>
      </c>
      <c r="BA56" s="8">
        <f t="shared" si="26"/>
        <v>0.84061651845168284</v>
      </c>
      <c r="BB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EXP(1.076*LN(AO56)-4.5397)*IF(_xlfn.XLOOKUP(E56,Groups!A:A,Groups!BC:BC)=1,1.25,IF(_xlfn.XLOOKUP(E56,Groups!A:A,Groups!BD:BD)=1,3.5,2.5))</f>
        <v>56.210239558641248</v>
      </c>
      <c r="BE56" s="8">
        <f>EXP(1.076*LN(AP56)-4.5397)*IF(_xlfn.XLOOKUP(E56,Groups!A:A,Groups!M:M)=1,0.8,IF(_xlfn.XLOOKUP(E56,Groups!A:A,Groups!BC:BC)=1,1.3,3))</f>
        <v>74.485487848676939</v>
      </c>
      <c r="BF56" s="8" t="str">
        <f>IF(W56="No","No",IF(_xlfn.XLOOKUP(E56,Groups!A:A,Groups!U:U)=1,'Base stats'!BG56,IF(OR(_xlfn.XLOOKUP(E56,Groups!A:A,Groups!BD:BD)=1,_xlfn.XLOOKUP(E56,Groups!A:A,Groups!U:U)=2),BD56,BE56))*1.2)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10"/>
        <v>11</v>
      </c>
      <c r="BI56" s="8">
        <f t="shared" si="11"/>
        <v>10</v>
      </c>
      <c r="BJ56" s="8" t="str">
        <f t="shared" si="27"/>
        <v>No</v>
      </c>
      <c r="BK56" s="8">
        <f t="shared" si="28"/>
        <v>10</v>
      </c>
      <c r="BL56" s="8">
        <f t="shared" si="12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N56" s="8" t="str">
        <f>IF(W56="No","No",IF(_xlfn.XLOOKUP(E56,Groups!A:A,Groups!BD:BD)=1,(AL56*5%),EXP(0.7354*LN(C56)^0.4078)*2/IF(_xlfn.XLOOKUP(E56,Groups!A:A,Groups!BL:BL)=1,1000,100)))</f>
        <v>No</v>
      </c>
      <c r="BO56" s="8">
        <f>IF(BG56="No","No",IF(_xlfn.XLOOKUP(E56,Groups!A:A,Groups!BF:BF)=1,(0.0315*C56+2.1825)*2,(0.7354*C56^0.4078)*2)/IF(_xlfn.XLOOKUP(E56,Groups!A:A,Groups!BM:BM)=1,1000,100))</f>
        <v>6.6202392635939605E-2</v>
      </c>
      <c r="BP56" s="8">
        <f t="shared" si="29"/>
        <v>9.2083847873202812E-2</v>
      </c>
      <c r="BQ56" s="8" t="str">
        <f t="shared" si="13"/>
        <v>No</v>
      </c>
      <c r="BR56" s="8" t="str">
        <f t="shared" si="30"/>
        <v>No</v>
      </c>
      <c r="BS56" s="8">
        <f t="shared" si="14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21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22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IFERROR(AVERAGE(_xlfn.XLOOKUP(B57,Animals!B:B,Animals!N:N),_xlfn.XLOOKUP(B57,Animals!B:B,Animals!O:O)),0)</f>
        <v>0</v>
      </c>
      <c r="AT57" s="8">
        <f>MROUND(40*Animals!AO57*_xlfn.XLOOKUP(Animals!BA57,Leathers!$A$2:$A$100,Leathers!$B$2:$B$100,0)+(140*_xlfn.XLOOKUP(B57,Animals!B:B,Animals!AO:AO)*2),5)</f>
        <v>320</v>
      </c>
      <c r="AU57" s="8">
        <f>IFERROR(ROUND(SQRT(V57-1)*IF(_xlfn.XLOOKUP(E57,Groups!A:A,Groups!BF:BF)=0,2,1)*IF(_xlfn.XLOOKUP('Base stats'!E57,Groups!A:A,Groups!O:O)=0,1,0.1),1),0)</f>
        <v>3</v>
      </c>
      <c r="AV57" s="8">
        <f t="shared" si="23"/>
        <v>0</v>
      </c>
      <c r="AW57" s="8">
        <f t="shared" si="24"/>
        <v>0</v>
      </c>
      <c r="AX57" s="8">
        <f t="shared" si="25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stats'!AY57,IF(OR(_xlfn.XLOOKUP(E57,Groups!A:A,Groups!BD:BD)=1,_xlfn.XLOOKUP(E57,Groups!A:A,Groups!U:U)=2),BA57,IF(_xlfn.XLOOKUP(B57,Animals!B:B,Animals!AO:AO)&gt;4,AVERAGE(BA57,BC57),BC57))))</f>
        <v>No</v>
      </c>
      <c r="BA57" s="8">
        <f t="shared" si="26"/>
        <v>0.84061651845168284</v>
      </c>
      <c r="BB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EXP(1.076*LN(AO57)-4.5397)*IF(_xlfn.XLOOKUP(E57,Groups!A:A,Groups!BC:BC)=1,1.25,IF(_xlfn.XLOOKUP(E57,Groups!A:A,Groups!BD:BD)=1,3.5,2.5))</f>
        <v>56.210239558641248</v>
      </c>
      <c r="BE57" s="8">
        <f>EXP(1.076*LN(AP57)-4.5397)*IF(_xlfn.XLOOKUP(E57,Groups!A:A,Groups!M:M)=1,0.8,IF(_xlfn.XLOOKUP(E57,Groups!A:A,Groups!BC:BC)=1,1.3,3))</f>
        <v>74.485487848676939</v>
      </c>
      <c r="BF57" s="8" t="str">
        <f>IF(W57="No","No",IF(_xlfn.XLOOKUP(E57,Groups!A:A,Groups!U:U)=1,'Base stats'!BG57,IF(OR(_xlfn.XLOOKUP(E57,Groups!A:A,Groups!BD:BD)=1,_xlfn.XLOOKUP(E57,Groups!A:A,Groups!U:U)=2),BD57,BE57))*1.2)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10"/>
        <v>11</v>
      </c>
      <c r="BI57" s="8">
        <f t="shared" si="11"/>
        <v>10</v>
      </c>
      <c r="BJ57" s="8" t="str">
        <f t="shared" si="27"/>
        <v>No</v>
      </c>
      <c r="BK57" s="8">
        <f t="shared" si="28"/>
        <v>10</v>
      </c>
      <c r="BL57" s="8">
        <f t="shared" si="12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N57" s="8" t="str">
        <f>IF(W57="No","No",IF(_xlfn.XLOOKUP(E57,Groups!A:A,Groups!BD:BD)=1,(AL57*5%),EXP(0.7354*LN(C57)^0.4078)*2/IF(_xlfn.XLOOKUP(E57,Groups!A:A,Groups!BL:BL)=1,1000,100)))</f>
        <v>No</v>
      </c>
      <c r="BO57" s="8">
        <f>IF(BG57="No","No",IF(_xlfn.XLOOKUP(E57,Groups!A:A,Groups!BF:BF)=1,(0.0315*C57+2.1825)*2,(0.7354*C57^0.4078)*2)/IF(_xlfn.XLOOKUP(E57,Groups!A:A,Groups!BM:BM)=1,1000,100))</f>
        <v>6.6202392635939605E-2</v>
      </c>
      <c r="BP57" s="8">
        <f t="shared" si="29"/>
        <v>9.2083847873202812E-2</v>
      </c>
      <c r="BQ57" s="8" t="str">
        <f t="shared" si="13"/>
        <v>No</v>
      </c>
      <c r="BR57" s="8" t="str">
        <f t="shared" si="30"/>
        <v>No</v>
      </c>
      <c r="BS57" s="8">
        <f t="shared" si="14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21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22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IFERROR(AVERAGE(_xlfn.XLOOKUP(B58,Animals!B:B,Animals!N:N),_xlfn.XLOOKUP(B58,Animals!B:B,Animals!O:O)),0)</f>
        <v>0</v>
      </c>
      <c r="AT58" s="8">
        <f>MROUND(40*Animals!AO58*_xlfn.XLOOKUP(Animals!BA58,Leathers!$A$2:$A$100,Leathers!$B$2:$B$100,0)+(140*_xlfn.XLOOKUP(B58,Animals!B:B,Animals!AO:AO)*2),5)</f>
        <v>160</v>
      </c>
      <c r="AU58" s="8">
        <f>IFERROR(ROUND(SQRT(V58-1)*IF(_xlfn.XLOOKUP(E58,Groups!A:A,Groups!BF:BF)=0,2,1)*IF(_xlfn.XLOOKUP('Base stats'!E58,Groups!A:A,Groups!O:O)=0,1,0.1),1),0)</f>
        <v>2.2000000000000002</v>
      </c>
      <c r="AV58" s="8">
        <f t="shared" si="23"/>
        <v>0</v>
      </c>
      <c r="AW58" s="8">
        <f t="shared" si="24"/>
        <v>0</v>
      </c>
      <c r="AX58" s="8">
        <f t="shared" si="25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stats'!AY58,IF(OR(_xlfn.XLOOKUP(E58,Groups!A:A,Groups!BD:BD)=1,_xlfn.XLOOKUP(E58,Groups!A:A,Groups!U:U)=2),BA58,IF(_xlfn.XLOOKUP(B58,Animals!B:B,Animals!AO:AO)&gt;4,AVERAGE(BA58,BC58),BC58))))</f>
        <v>No</v>
      </c>
      <c r="BA58" s="8">
        <f t="shared" si="26"/>
        <v>0.18173586703179376</v>
      </c>
      <c r="BB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EXP(1.076*LN(AO58)-4.5397)*IF(_xlfn.XLOOKUP(E58,Groups!A:A,Groups!BC:BC)=1,1.25,IF(_xlfn.XLOOKUP(E58,Groups!A:A,Groups!BD:BD)=1,3.5,2.5))</f>
        <v>10.527055515355739</v>
      </c>
      <c r="BE58" s="8">
        <f>EXP(1.076*LN(AP58)-4.5397)*IF(_xlfn.XLOOKUP(E58,Groups!A:A,Groups!M:M)=1,0.8,IF(_xlfn.XLOOKUP(E58,Groups!A:A,Groups!BC:BC)=1,1.3,3))</f>
        <v>15.464959930645772</v>
      </c>
      <c r="BF58" s="8" t="str">
        <f>IF(W58="No","No",IF(_xlfn.XLOOKUP(E58,Groups!A:A,Groups!U:U)=1,'Base stats'!BG58,IF(OR(_xlfn.XLOOKUP(E58,Groups!A:A,Groups!BD:BD)=1,_xlfn.XLOOKUP(E58,Groups!A:A,Groups!U:U)=2),BD58,BE58))*1.2)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10"/>
        <v>10</v>
      </c>
      <c r="BI58" s="8">
        <f t="shared" si="11"/>
        <v>10</v>
      </c>
      <c r="BJ58" s="8" t="str">
        <f t="shared" si="27"/>
        <v>No</v>
      </c>
      <c r="BK58" s="8">
        <f t="shared" si="28"/>
        <v>8</v>
      </c>
      <c r="BL58" s="8">
        <f t="shared" si="12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N58" s="8" t="str">
        <f>IF(W58="No","No",IF(_xlfn.XLOOKUP(E58,Groups!A:A,Groups!BD:BD)=1,(AL58*5%),EXP(0.7354*LN(C58)^0.4078)*2/IF(_xlfn.XLOOKUP(E58,Groups!A:A,Groups!BL:BL)=1,1000,100)))</f>
        <v>No</v>
      </c>
      <c r="BO58" s="8">
        <f>IF(BG58="No","No",IF(_xlfn.XLOOKUP(E58,Groups!A:A,Groups!BF:BF)=1,(0.0315*C58+2.1825)*2,(0.7354*C58^0.4078)*2)/IF(_xlfn.XLOOKUP(E58,Groups!A:A,Groups!BM:BM)=1,1000,100))</f>
        <v>3.1221830370346076E-2</v>
      </c>
      <c r="BP58" s="8">
        <f t="shared" si="29"/>
        <v>5.7141862367864123E-2</v>
      </c>
      <c r="BQ58" s="8" t="str">
        <f t="shared" si="13"/>
        <v>No</v>
      </c>
      <c r="BR58" s="8" t="str">
        <f t="shared" si="30"/>
        <v>No</v>
      </c>
      <c r="BS58" s="8">
        <f t="shared" si="14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21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22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IFERROR(AVERAGE(_xlfn.XLOOKUP(B59,Animals!B:B,Animals!N:N),_xlfn.XLOOKUP(B59,Animals!B:B,Animals!O:O)),0)</f>
        <v>0</v>
      </c>
      <c r="AT59" s="8">
        <f>MROUND(40*Animals!AO59*_xlfn.XLOOKUP(Animals!BA59,Leathers!$A$2:$A$100,Leathers!$B$2:$B$100,0)+(140*_xlfn.XLOOKUP(B59,Animals!B:B,Animals!AO:AO)*2),5)</f>
        <v>115</v>
      </c>
      <c r="AU59" s="8">
        <f>IFERROR(ROUND(SQRT(V59-1)*IF(_xlfn.XLOOKUP(E59,Groups!A:A,Groups!BF:BF)=0,2,1)*IF(_xlfn.XLOOKUP('Base stats'!E59,Groups!A:A,Groups!O:O)=0,1,0.1),1),0)</f>
        <v>1.3</v>
      </c>
      <c r="AV59" s="8">
        <f t="shared" si="23"/>
        <v>0</v>
      </c>
      <c r="AW59" s="8">
        <f t="shared" si="24"/>
        <v>0</v>
      </c>
      <c r="AX59" s="8">
        <f t="shared" si="25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stats'!AY59,IF(OR(_xlfn.XLOOKUP(E59,Groups!A:A,Groups!BD:BD)=1,_xlfn.XLOOKUP(E59,Groups!A:A,Groups!U:U)=2),BA59,IF(_xlfn.XLOOKUP(B59,Animals!B:B,Animals!AO:AO)&gt;4,AVERAGE(BA59,BC59),BC59))))</f>
        <v>No</v>
      </c>
      <c r="BA59" s="8">
        <f t="shared" si="26"/>
        <v>0.1097017953113776</v>
      </c>
      <c r="BB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EXP(1.076*LN(AO59)-4.5397)*IF(_xlfn.XLOOKUP(E59,Groups!A:A,Groups!BC:BC)=1,1.25,IF(_xlfn.XLOOKUP(E59,Groups!A:A,Groups!BD:BD)=1,3.5,2.5))</f>
        <v>6.0607987784578112</v>
      </c>
      <c r="BE59" s="8">
        <f>EXP(1.076*LN(AP59)-4.5397)*IF(_xlfn.XLOOKUP(E59,Groups!A:A,Groups!M:M)=1,0.8,IF(_xlfn.XLOOKUP(E59,Groups!A:A,Groups!BC:BC)=1,1.3,3))</f>
        <v>9.2115455176779086</v>
      </c>
      <c r="BF59" s="8" t="str">
        <f>IF(W59="No","No",IF(_xlfn.XLOOKUP(E59,Groups!A:A,Groups!U:U)=1,'Base stats'!BG59,IF(OR(_xlfn.XLOOKUP(E59,Groups!A:A,Groups!BD:BD)=1,_xlfn.XLOOKUP(E59,Groups!A:A,Groups!U:U)=2),BD59,BE59))*1.2)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10"/>
        <v>10</v>
      </c>
      <c r="BI59" s="8">
        <f t="shared" si="11"/>
        <v>9</v>
      </c>
      <c r="BJ59" s="8" t="str">
        <f t="shared" si="27"/>
        <v>No</v>
      </c>
      <c r="BK59" s="8">
        <f t="shared" si="28"/>
        <v>8</v>
      </c>
      <c r="BL59" s="8">
        <f t="shared" si="12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N59" s="8" t="str">
        <f>IF(W59="No","No",IF(_xlfn.XLOOKUP(E59,Groups!A:A,Groups!BD:BD)=1,(AL59*5%),EXP(0.7354*LN(C59)^0.4078)*2/IF(_xlfn.XLOOKUP(E59,Groups!A:A,Groups!BL:BL)=1,1000,100)))</f>
        <v>No</v>
      </c>
      <c r="BO59" s="8">
        <f>IF(BG59="No","No",IF(_xlfn.XLOOKUP(E59,Groups!A:A,Groups!BF:BF)=1,(0.0315*C59+2.1825)*2,(0.7354*C59^0.4078)*2)/IF(_xlfn.XLOOKUP(E59,Groups!A:A,Groups!BM:BM)=1,1000,100))</f>
        <v>2.437116265271768E-2</v>
      </c>
      <c r="BP59" s="8">
        <f t="shared" si="29"/>
        <v>4.8826373677029716E-2</v>
      </c>
      <c r="BQ59" s="8" t="str">
        <f t="shared" si="13"/>
        <v>No</v>
      </c>
      <c r="BR59" s="8" t="str">
        <f t="shared" si="30"/>
        <v>No</v>
      </c>
      <c r="BS59" s="8">
        <f t="shared" si="14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21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22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IFERROR(AVERAGE(_xlfn.XLOOKUP(B60,Animals!B:B,Animals!N:N),_xlfn.XLOOKUP(B60,Animals!B:B,Animals!O:O)),0)</f>
        <v>0</v>
      </c>
      <c r="AT60" s="8">
        <f>MROUND(40*Animals!AO60*_xlfn.XLOOKUP(Animals!BA60,Leathers!$A$2:$A$100,Leathers!$B$2:$B$100,0)+(140*_xlfn.XLOOKUP(B60,Animals!B:B,Animals!AO:AO)*2),5)</f>
        <v>95</v>
      </c>
      <c r="AU60" s="8">
        <f>IFERROR(ROUND(SQRT(V60-1)*IF(_xlfn.XLOOKUP(E60,Groups!A:A,Groups!BF:BF)=0,2,1)*IF(_xlfn.XLOOKUP('Base stats'!E60,Groups!A:A,Groups!O:O)=0,1,0.1),1),0)</f>
        <v>1.2</v>
      </c>
      <c r="AV60" s="8">
        <f t="shared" si="23"/>
        <v>0</v>
      </c>
      <c r="AW60" s="8">
        <f t="shared" si="24"/>
        <v>0</v>
      </c>
      <c r="AX60" s="8">
        <f t="shared" si="25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stats'!AY60,IF(OR(_xlfn.XLOOKUP(E60,Groups!A:A,Groups!BD:BD)=1,_xlfn.XLOOKUP(E60,Groups!A:A,Groups!U:U)=2),BA60,IF(_xlfn.XLOOKUP(B60,Animals!B:B,Animals!AO:AO)&gt;4,AVERAGE(BA60,BC60),BC60))))</f>
        <v>No</v>
      </c>
      <c r="BA60" s="8">
        <f t="shared" si="26"/>
        <v>8.1141234129247383E-2</v>
      </c>
      <c r="BB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EXP(1.076*LN(AO60)-4.5397)*IF(_xlfn.XLOOKUP(E60,Groups!A:A,Groups!BC:BC)=1,1.25,IF(_xlfn.XLOOKUP(E60,Groups!A:A,Groups!BD:BD)=1,3.5,2.5))</f>
        <v>4.357932797631479</v>
      </c>
      <c r="BE60" s="8">
        <f>EXP(1.076*LN(AP60)-4.5397)*IF(_xlfn.XLOOKUP(E60,Groups!A:A,Groups!M:M)=1,0.8,IF(_xlfn.XLOOKUP(E60,Groups!A:A,Groups!BC:BC)=1,1.3,3))</f>
        <v>6.7592987261888648</v>
      </c>
      <c r="BF60" s="8" t="str">
        <f>IF(W60="No","No",IF(_xlfn.XLOOKUP(E60,Groups!A:A,Groups!U:U)=1,'Base stats'!BG60,IF(OR(_xlfn.XLOOKUP(E60,Groups!A:A,Groups!BD:BD)=1,_xlfn.XLOOKUP(E60,Groups!A:A,Groups!U:U)=2),BD60,BE60))*1.2)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10"/>
        <v>10</v>
      </c>
      <c r="BI60" s="8">
        <f t="shared" si="11"/>
        <v>9</v>
      </c>
      <c r="BJ60" s="8" t="str">
        <f t="shared" si="27"/>
        <v>No</v>
      </c>
      <c r="BK60" s="8">
        <f t="shared" si="28"/>
        <v>7</v>
      </c>
      <c r="BL60" s="8">
        <f t="shared" si="12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N60" s="8" t="str">
        <f>IF(W60="No","No",IF(_xlfn.XLOOKUP(E60,Groups!A:A,Groups!BD:BD)=1,(AL60*5%),EXP(0.7354*LN(C60)^0.4078)*2/IF(_xlfn.XLOOKUP(E60,Groups!A:A,Groups!BL:BL)=1,1000,100)))</f>
        <v>No</v>
      </c>
      <c r="BO60" s="8">
        <f>IF(BG60="No","No",IF(_xlfn.XLOOKUP(E60,Groups!A:A,Groups!BF:BF)=1,(0.0315*C60+2.1825)*2,(0.7354*C60^0.4078)*2)/IF(_xlfn.XLOOKUP(E60,Groups!A:A,Groups!BM:BM)=1,1000,100))</f>
        <v>2.1018599044415626E-2</v>
      </c>
      <c r="BP60" s="8">
        <f t="shared" si="29"/>
        <v>4.444779679845097E-2</v>
      </c>
      <c r="BQ60" s="8" t="str">
        <f t="shared" si="13"/>
        <v>No</v>
      </c>
      <c r="BR60" s="8" t="str">
        <f t="shared" si="30"/>
        <v>No</v>
      </c>
      <c r="BS60" s="8">
        <f t="shared" si="14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Groups!A46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0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21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22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IFERROR(AVERAGE(_xlfn.XLOOKUP(B61,Animals!B:B,Animals!N:N),_xlfn.XLOOKUP(B61,Animals!B:B,Animals!O:O)),0)</f>
        <v>0</v>
      </c>
      <c r="AT61" s="8">
        <f>MROUND(40*Animals!AO61*_xlfn.XLOOKUP(Animals!BA61,Leathers!$A$2:$A$100,Leathers!$B$2:$B$100,0)+(140*_xlfn.XLOOKUP(B61,Animals!B:B,Animals!AO:AO)*2),5)</f>
        <v>140</v>
      </c>
      <c r="AU61" s="8">
        <f>IFERROR(ROUND(SQRT(V61-1)*IF(_xlfn.XLOOKUP(E61,Groups!A:A,Groups!BF:BF)=0,2,1)*IF(_xlfn.XLOOKUP('Base stats'!E61,Groups!A:A,Groups!O:O)=0,1,0.1),1),0)</f>
        <v>4</v>
      </c>
      <c r="AV61" s="8">
        <f t="shared" si="23"/>
        <v>0</v>
      </c>
      <c r="AW61" s="8">
        <f t="shared" si="24"/>
        <v>0</v>
      </c>
      <c r="AX61" s="8">
        <f t="shared" si="25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stats'!AY61,IF(OR(_xlfn.XLOOKUP(E61,Groups!A:A,Groups!BD:BD)=1,_xlfn.XLOOKUP(E61,Groups!A:A,Groups!U:U)=2),BA61,IF(_xlfn.XLOOKUP(B61,Animals!B:B,Animals!AO:AO)&gt;4,AVERAGE(BA61,BC61),BC61))))</f>
        <v>No</v>
      </c>
      <c r="BA61" s="8">
        <f t="shared" si="26"/>
        <v>0.26563547098338458</v>
      </c>
      <c r="BB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EXP(1.076*LN(AO61)-4.5397)*IF(_xlfn.XLOOKUP(E61,Groups!A:A,Groups!BC:BC)=1,1.25,IF(_xlfn.XLOOKUP(E61,Groups!A:A,Groups!BD:BD)=1,3.5,2.5))</f>
        <v>15.944275717953127</v>
      </c>
      <c r="BE61" s="8">
        <f>EXP(1.076*LN(AP61)-4.5397)*IF(_xlfn.XLOOKUP(E61,Groups!A:A,Groups!M:M)=1,0.8,IF(_xlfn.XLOOKUP(E61,Groups!A:A,Groups!BC:BC)=1,1.3,3))</f>
        <v>22.832185638487289</v>
      </c>
      <c r="BF61" s="8" t="str">
        <f>IF(W61="No","No",IF(_xlfn.XLOOKUP(E61,Groups!A:A,Groups!U:U)=1,'Base stats'!BG61,IF(OR(_xlfn.XLOOKUP(E61,Groups!A:A,Groups!BD:BD)=1,_xlfn.XLOOKUP(E61,Groups!A:A,Groups!U:U)=2),BD61,BE61))*1.2)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10"/>
        <v>10</v>
      </c>
      <c r="BI61" s="8">
        <f t="shared" si="11"/>
        <v>10</v>
      </c>
      <c r="BJ61" s="8" t="str">
        <f t="shared" si="27"/>
        <v>No</v>
      </c>
      <c r="BK61" s="8">
        <f t="shared" si="28"/>
        <v>7</v>
      </c>
      <c r="BL61" s="8">
        <f t="shared" si="12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N61" s="8" t="str">
        <f>IF(W61="No","No",IF(_xlfn.XLOOKUP(E61,Groups!A:A,Groups!BD:BD)=1,(AL61*5%),EXP(0.7354*LN(C61)^0.4078)*2/IF(_xlfn.XLOOKUP(E61,Groups!A:A,Groups!BL:BL)=1,1000,100)))</f>
        <v>No</v>
      </c>
      <c r="BO61" s="8">
        <f>IF(BG61="No","No",IF(_xlfn.XLOOKUP(E61,Groups!A:A,Groups!BF:BF)=1,(0.0315*C61+2.1825)*2,(0.7354*C61^0.4078)*2)/IF(_xlfn.XLOOKUP(E61,Groups!A:A,Groups!BM:BM)=1,1000,100))</f>
        <v>3.7614355184740135E-2</v>
      </c>
      <c r="BP61" s="8">
        <f t="shared" si="29"/>
        <v>6.4314931691790186E-2</v>
      </c>
      <c r="BQ61" s="8" t="str">
        <f t="shared" si="13"/>
        <v>No</v>
      </c>
      <c r="BR61" s="8" t="str">
        <f t="shared" si="30"/>
        <v>No</v>
      </c>
      <c r="BS61" s="8">
        <f t="shared" si="14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Groups!A59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21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22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IFERROR(AVERAGE(_xlfn.XLOOKUP(B62,Animals!B:B,Animals!N:N),_xlfn.XLOOKUP(B62,Animals!B:B,Animals!O:O)),0)</f>
        <v>0</v>
      </c>
      <c r="AT62" s="8">
        <f>MROUND(40*Animals!AO62*_xlfn.XLOOKUP(Animals!BA62,Leathers!$A$2:$A$100,Leathers!$B$2:$B$100,0)+(140*_xlfn.XLOOKUP(B62,Animals!B:B,Animals!AO:AO)*2),5)</f>
        <v>570</v>
      </c>
      <c r="AU62" s="8">
        <f>IFERROR(ROUND(SQRT(V62-1)*IF(_xlfn.XLOOKUP(E62,Groups!A:A,Groups!BF:BF)=0,2,1)*IF(_xlfn.XLOOKUP('Base stats'!E62,Groups!A:A,Groups!O:O)=0,1,0.1),1),0)</f>
        <v>3.7</v>
      </c>
      <c r="AV62" s="8">
        <f t="shared" si="23"/>
        <v>2</v>
      </c>
      <c r="AW62" s="8">
        <f t="shared" si="24"/>
        <v>0</v>
      </c>
      <c r="AX62" s="8">
        <f t="shared" si="25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stats'!AY62,IF(OR(_xlfn.XLOOKUP(E62,Groups!A:A,Groups!BD:BD)=1,_xlfn.XLOOKUP(E62,Groups!A:A,Groups!U:U)=2),BA62,IF(_xlfn.XLOOKUP(B62,Animals!B:B,Animals!AO:AO)&gt;4,AVERAGE(BA62,BC62),BC62))))</f>
        <v>No</v>
      </c>
      <c r="BA62" s="8">
        <f t="shared" si="26"/>
        <v>1.4259182203105851</v>
      </c>
      <c r="BB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EXP(1.076*LN(AO62)-4.5397)*IF(_xlfn.XLOOKUP(E62,Groups!A:A,Groups!BC:BC)=1,1.25,IF(_xlfn.XLOOKUP(E62,Groups!A:A,Groups!BD:BD)=1,3.5,2.5))</f>
        <v>149.67842915790638</v>
      </c>
      <c r="BE62" s="8">
        <f>EXP(1.076*LN(AP62)-4.5397)*IF(_xlfn.XLOOKUP(E62,Groups!A:A,Groups!M:M)=1,0.8,IF(_xlfn.XLOOKUP(E62,Groups!A:A,Groups!BC:BC)=1,1.3,3))</f>
        <v>186.73733175450468</v>
      </c>
      <c r="BF62" s="8" t="str">
        <f>IF(W62="No","No",IF(_xlfn.XLOOKUP(E62,Groups!A:A,Groups!U:U)=1,'Base stats'!BG62,IF(OR(_xlfn.XLOOKUP(E62,Groups!A:A,Groups!BD:BD)=1,_xlfn.XLOOKUP(E62,Groups!A:A,Groups!U:U)=2),BD62,BE62))*1.2)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10"/>
        <v>14</v>
      </c>
      <c r="BI62" s="8">
        <f t="shared" si="11"/>
        <v>11</v>
      </c>
      <c r="BJ62" s="8" t="str">
        <f t="shared" si="27"/>
        <v>No</v>
      </c>
      <c r="BK62" s="8">
        <f t="shared" si="28"/>
        <v>11</v>
      </c>
      <c r="BL62" s="8">
        <f t="shared" si="12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N62" s="8" t="str">
        <f>IF(W62="No","No",IF(_xlfn.XLOOKUP(E62,Groups!A:A,Groups!BD:BD)=1,(AL62*5%),EXP(0.7354*LN(C62)^0.4078)*2/IF(_xlfn.XLOOKUP(E62,Groups!A:A,Groups!BL:BL)=1,1000,100)))</f>
        <v>No</v>
      </c>
      <c r="BO62" s="8">
        <f>IF(BG62="No","No",IF(_xlfn.XLOOKUP(E62,Groups!A:A,Groups!BF:BF)=1,(0.0315*C62+2.1825)*2,(0.7354*C62^0.4078)*2)/IF(_xlfn.XLOOKUP(E62,Groups!A:A,Groups!BM:BM)=1,1000,100))</f>
        <v>0.10273420468589994</v>
      </c>
      <c r="BP62" s="8">
        <f t="shared" si="29"/>
        <v>0.12171430407701948</v>
      </c>
      <c r="BQ62" s="8">
        <f t="shared" si="13"/>
        <v>1817.6743794867182</v>
      </c>
      <c r="BR62" s="8" t="str">
        <f t="shared" si="30"/>
        <v>No</v>
      </c>
      <c r="BS62" s="8">
        <f t="shared" si="14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21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22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IFERROR(AVERAGE(_xlfn.XLOOKUP(B63,Animals!B:B,Animals!N:N),_xlfn.XLOOKUP(B63,Animals!B:B,Animals!O:O)),0)</f>
        <v>0</v>
      </c>
      <c r="AT63" s="8">
        <f>MROUND(40*Animals!AO63*_xlfn.XLOOKUP(Animals!BA63,Leathers!$A$2:$A$100,Leathers!$B$2:$B$100,0)+(140*_xlfn.XLOOKUP(B63,Animals!B:B,Animals!AO:AO)*2),5)</f>
        <v>15</v>
      </c>
      <c r="AU63" s="8">
        <f>IFERROR(ROUND(SQRT(V63-1)*IF(_xlfn.XLOOKUP(E63,Groups!A:A,Groups!BF:BF)=0,2,1)*IF(_xlfn.XLOOKUP('Base stats'!E63,Groups!A:A,Groups!O:O)=0,1,0.1),1),0)</f>
        <v>0</v>
      </c>
      <c r="AV63" s="8">
        <f t="shared" si="23"/>
        <v>0</v>
      </c>
      <c r="AW63" s="8">
        <f t="shared" si="24"/>
        <v>0</v>
      </c>
      <c r="AX63" s="8">
        <f t="shared" si="25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stats'!AY63,IF(OR(_xlfn.XLOOKUP(E63,Groups!A:A,Groups!BD:BD)=1,_xlfn.XLOOKUP(E63,Groups!A:A,Groups!U:U)=2),BA63,IF(_xlfn.XLOOKUP(B63,Animals!B:B,Animals!AO:AO)&gt;4,AVERAGE(BA63,BC63),BC63))))</f>
        <v>No</v>
      </c>
      <c r="BA63" s="8">
        <f t="shared" si="26"/>
        <v>2.5950916655253192E-3</v>
      </c>
      <c r="BB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EXP(1.076*LN(AO63)-4.5397)*IF(_xlfn.XLOOKUP(E63,Groups!A:A,Groups!BC:BC)=1,1.25,IF(_xlfn.XLOOKUP(E63,Groups!A:A,Groups!BD:BD)=1,3.5,2.5))</f>
        <v>7.4531558807462206E-2</v>
      </c>
      <c r="BE63" s="8">
        <f>EXP(1.076*LN(AP63)-4.5397)*IF(_xlfn.XLOOKUP(E63,Groups!A:A,Groups!M:M)=1,0.8,IF(_xlfn.XLOOKUP(E63,Groups!A:A,Groups!BC:BC)=1,1.3,3))</f>
        <v>0.14850282761580455</v>
      </c>
      <c r="BF63" s="8" t="str">
        <f>IF(W63="No","No",IF(_xlfn.XLOOKUP(E63,Groups!A:A,Groups!U:U)=1,'Base stats'!BG63,IF(OR(_xlfn.XLOOKUP(E63,Groups!A:A,Groups!BD:BD)=1,_xlfn.XLOOKUP(E63,Groups!A:A,Groups!U:U)=2),BD63,BE63))*1.2)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10"/>
        <v>7</v>
      </c>
      <c r="BI63" s="8">
        <f t="shared" si="11"/>
        <v>6</v>
      </c>
      <c r="BJ63" s="8" t="str">
        <f t="shared" si="27"/>
        <v>No</v>
      </c>
      <c r="BK63" s="8">
        <f t="shared" si="28"/>
        <v>4</v>
      </c>
      <c r="BL63" s="8">
        <f t="shared" si="12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N63" s="8" t="str">
        <f>IF(W63="No","No",IF(_xlfn.XLOOKUP(E63,Groups!A:A,Groups!BD:BD)=1,(AL63*5%),EXP(0.7354*LN(C63)^0.4078)*2/IF(_xlfn.XLOOKUP(E63,Groups!A:A,Groups!BL:BL)=1,1000,100)))</f>
        <v>No</v>
      </c>
      <c r="BO63" s="8">
        <f>IF(BG63="No","No",IF(_xlfn.XLOOKUP(E63,Groups!A:A,Groups!BF:BF)=1,(0.0315*C63+2.1825)*2,(0.7354*C63^0.4078)*2)/IF(_xlfn.XLOOKUP(E63,Groups!A:A,Groups!BM:BM)=1,1000,100))</f>
        <v>4.3667199000000004E-2</v>
      </c>
      <c r="BP63" s="8">
        <f t="shared" si="29"/>
        <v>1.394894946139395E-2</v>
      </c>
      <c r="BQ63" s="8">
        <f t="shared" si="13"/>
        <v>43.8443841658056</v>
      </c>
      <c r="BR63" s="8" t="str">
        <f t="shared" si="30"/>
        <v>No</v>
      </c>
      <c r="BS63" s="8">
        <f t="shared" si="14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21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22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IFERROR(AVERAGE(_xlfn.XLOOKUP(B64,Animals!B:B,Animals!N:N),_xlfn.XLOOKUP(B64,Animals!B:B,Animals!O:O)),0)</f>
        <v>0</v>
      </c>
      <c r="AT64" s="8">
        <f>MROUND(40*Animals!AO64*_xlfn.XLOOKUP(Animals!BA64,Leathers!$A$2:$A$100,Leathers!$B$2:$B$100,0)+(140*_xlfn.XLOOKUP(B64,Animals!B:B,Animals!AO:AO)*2),5)</f>
        <v>15</v>
      </c>
      <c r="AU64" s="8">
        <f>IFERROR(ROUND(SQRT(V64-1)*IF(_xlfn.XLOOKUP(E64,Groups!A:A,Groups!BF:BF)=0,2,1)*IF(_xlfn.XLOOKUP('Base stats'!E64,Groups!A:A,Groups!O:O)=0,1,0.1),1),0)</f>
        <v>0</v>
      </c>
      <c r="AV64" s="8">
        <f t="shared" si="23"/>
        <v>0</v>
      </c>
      <c r="AW64" s="8">
        <f t="shared" si="24"/>
        <v>0</v>
      </c>
      <c r="AX64" s="8">
        <f t="shared" si="25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stats'!AY64,IF(OR(_xlfn.XLOOKUP(E64,Groups!A:A,Groups!BD:BD)=1,_xlfn.XLOOKUP(E64,Groups!A:A,Groups!U:U)=2),BA64,IF(_xlfn.XLOOKUP(B64,Animals!B:B,Animals!AO:AO)&gt;4,AVERAGE(BA64,BC64),BC64))))</f>
        <v>No</v>
      </c>
      <c r="BA64" s="8">
        <f t="shared" si="26"/>
        <v>3.1297768397533835E-3</v>
      </c>
      <c r="BB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EXP(1.076*LN(AO64)-4.5397)*IF(_xlfn.XLOOKUP(E64,Groups!A:A,Groups!BC:BC)=1,1.25,IF(_xlfn.XLOOKUP(E64,Groups!A:A,Groups!BD:BD)=1,3.5,2.5))</f>
        <v>9.3414677317642594E-2</v>
      </c>
      <c r="BE64" s="8">
        <f>EXP(1.076*LN(AP64)-4.5397)*IF(_xlfn.XLOOKUP(E64,Groups!A:A,Groups!M:M)=1,0.8,IF(_xlfn.XLOOKUP(E64,Groups!A:A,Groups!BC:BC)=1,1.3,3))</f>
        <v>0.18355749139767674</v>
      </c>
      <c r="BF64" s="8" t="str">
        <f>IF(W64="No","No",IF(_xlfn.XLOOKUP(E64,Groups!A:A,Groups!U:U)=1,'Base stats'!BG64,IF(OR(_xlfn.XLOOKUP(E64,Groups!A:A,Groups!BD:BD)=1,_xlfn.XLOOKUP(E64,Groups!A:A,Groups!U:U)=2),BD64,BE64))*1.2)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10"/>
        <v>7</v>
      </c>
      <c r="BI64" s="8">
        <f t="shared" si="11"/>
        <v>6</v>
      </c>
      <c r="BJ64" s="8" t="str">
        <f t="shared" si="27"/>
        <v>No</v>
      </c>
      <c r="BK64" s="8">
        <f t="shared" si="28"/>
        <v>4</v>
      </c>
      <c r="BL64" s="8">
        <f t="shared" si="12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N64" s="8" t="str">
        <f>IF(W64="No","No",IF(_xlfn.XLOOKUP(E64,Groups!A:A,Groups!BD:BD)=1,(AL64*5%),EXP(0.7354*LN(C64)^0.4078)*2/IF(_xlfn.XLOOKUP(E64,Groups!A:A,Groups!BL:BL)=1,1000,100)))</f>
        <v>No</v>
      </c>
      <c r="BO64" s="8">
        <f>IF(BG64="No","No",IF(_xlfn.XLOOKUP(E64,Groups!A:A,Groups!BF:BF)=1,(0.0315*C64+2.1825)*2,(0.7354*C64^0.4078)*2)/IF(_xlfn.XLOOKUP(E64,Groups!A:A,Groups!BM:BM)=1,1000,100))</f>
        <v>4.3672050000000004E-2</v>
      </c>
      <c r="BP64" s="8">
        <f t="shared" si="29"/>
        <v>1.487571694472993E-2</v>
      </c>
      <c r="BQ64" s="8">
        <f t="shared" si="13"/>
        <v>48.971966536822436</v>
      </c>
      <c r="BR64" s="8" t="str">
        <f t="shared" si="30"/>
        <v>No</v>
      </c>
      <c r="BS64" s="8">
        <f t="shared" si="14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21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22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IFERROR(AVERAGE(_xlfn.XLOOKUP(B65,Animals!B:B,Animals!N:N),_xlfn.XLOOKUP(B65,Animals!B:B,Animals!O:O)),0)</f>
        <v>0</v>
      </c>
      <c r="AT65" s="8">
        <f>MROUND(40*Animals!AO65*_xlfn.XLOOKUP(Animals!BA65,Leathers!$A$2:$A$100,Leathers!$B$2:$B$100,0)+(140*_xlfn.XLOOKUP(B65,Animals!B:B,Animals!AO:AO)*2),5)</f>
        <v>30</v>
      </c>
      <c r="AU65" s="8">
        <f>IFERROR(ROUND(SQRT(V65-1)*IF(_xlfn.XLOOKUP(E65,Groups!A:A,Groups!BF:BF)=0,2,1)*IF(_xlfn.XLOOKUP('Base stats'!E65,Groups!A:A,Groups!O:O)=0,1,0.1),1),0)</f>
        <v>0.2</v>
      </c>
      <c r="AV65" s="8">
        <f t="shared" si="23"/>
        <v>0</v>
      </c>
      <c r="AW65" s="8">
        <f t="shared" si="24"/>
        <v>0</v>
      </c>
      <c r="AX65" s="8">
        <f t="shared" si="25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stats'!AY65,IF(OR(_xlfn.XLOOKUP(E65,Groups!A:A,Groups!BD:BD)=1,_xlfn.XLOOKUP(E65,Groups!A:A,Groups!U:U)=2),BA65,IF(_xlfn.XLOOKUP(B65,Animals!B:B,Animals!AO:AO)&gt;4,AVERAGE(BA65,BC65),BC65))))</f>
        <v>No</v>
      </c>
      <c r="BA65" s="8">
        <f t="shared" si="26"/>
        <v>2.1031328287467725E-2</v>
      </c>
      <c r="BB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EXP(1.076*LN(AO65)-4.5397)*IF(_xlfn.XLOOKUP(E65,Groups!A:A,Groups!BC:BC)=1,1.25,IF(_xlfn.XLOOKUP(E65,Groups!A:A,Groups!BD:BD)=1,3.5,2.5))</f>
        <v>0.99526644196323455</v>
      </c>
      <c r="BE65" s="8">
        <f>EXP(1.076*LN(AP65)-4.5397)*IF(_xlfn.XLOOKUP(E65,Groups!A:A,Groups!M:M)=1,0.8,IF(_xlfn.XLOOKUP(E65,Groups!A:A,Groups!BC:BC)=1,1.3,3))</f>
        <v>1.6906030117326418</v>
      </c>
      <c r="BF65" s="8" t="str">
        <f>IF(W65="No","No",IF(_xlfn.XLOOKUP(E65,Groups!A:A,Groups!U:U)=1,'Base stats'!BG65,IF(OR(_xlfn.XLOOKUP(E65,Groups!A:A,Groups!BD:BD)=1,_xlfn.XLOOKUP(E65,Groups!A:A,Groups!U:U)=2),BD65,BE65))*1.2)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10"/>
        <v>9</v>
      </c>
      <c r="BI65" s="8">
        <f t="shared" si="11"/>
        <v>7</v>
      </c>
      <c r="BJ65" s="8" t="str">
        <f t="shared" si="27"/>
        <v>No</v>
      </c>
      <c r="BK65" s="8">
        <f t="shared" si="28"/>
        <v>7</v>
      </c>
      <c r="BL65" s="8">
        <f t="shared" si="12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N65" s="8" t="str">
        <f>IF(W65="No","No",IF(_xlfn.XLOOKUP(E65,Groups!A:A,Groups!BD:BD)=1,(AL65*5%),EXP(0.7354*LN(C65)^0.4078)*2/IF(_xlfn.XLOOKUP(E65,Groups!A:A,Groups!BL:BL)=1,1000,100)))</f>
        <v>No</v>
      </c>
      <c r="BO65" s="8">
        <f>IF(BG65="No","No",IF(_xlfn.XLOOKUP(E65,Groups!A:A,Groups!BF:BF)=1,(0.0315*C65+2.1825)*2,(0.7354*C65^0.4078)*2)/IF(_xlfn.XLOOKUP(E65,Groups!A:A,Groups!BM:BM)=1,1000,100))</f>
        <v>4.3947801000000002E-2</v>
      </c>
      <c r="BP65" s="8">
        <f t="shared" si="29"/>
        <v>2.9185405806822336E-2</v>
      </c>
      <c r="BQ65" s="8">
        <f t="shared" si="13"/>
        <v>156.02421582443409</v>
      </c>
      <c r="BR65" s="8" t="str">
        <f t="shared" si="30"/>
        <v>No</v>
      </c>
      <c r="BS65" s="8">
        <f t="shared" si="14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3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3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IFERROR(AVERAGE(_xlfn.XLOOKUP(B66,Animals!B:B,Animals!N:N),_xlfn.XLOOKUP(B66,Animals!B:B,Animals!O:O)),0)</f>
        <v>0</v>
      </c>
      <c r="AT66" s="8">
        <f>MROUND(40*Animals!AO66*_xlfn.XLOOKUP(Animals!BA66,Leathers!$A$2:$A$100,Leathers!$B$2:$B$100,0)+(140*_xlfn.XLOOKUP(B66,Animals!B:B,Animals!AO:AO)*2),5)</f>
        <v>40</v>
      </c>
      <c r="AU66" s="8">
        <f>IFERROR(ROUND(SQRT(V66-1)*IF(_xlfn.XLOOKUP(E66,Groups!A:A,Groups!BF:BF)=0,2,1)*IF(_xlfn.XLOOKUP('Base stats'!E66,Groups!A:A,Groups!O:O)=0,1,0.1),1),0)</f>
        <v>0.2</v>
      </c>
      <c r="AV66" s="8">
        <f t="shared" ref="AV66:AV97" si="36">IFERROR(ROUND(SQRT(U66-1),1),0)</f>
        <v>0</v>
      </c>
      <c r="AW66" s="8">
        <f t="shared" ref="AW66:AW97" si="37">IFERROR(ROUND(SQRT(W66),1),0)</f>
        <v>0</v>
      </c>
      <c r="AX66" s="8">
        <f t="shared" ref="AX66:AX97" si="3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stats'!AY66,IF(OR(_xlfn.XLOOKUP(E66,Groups!A:A,Groups!BD:BD)=1,_xlfn.XLOOKUP(E66,Groups!A:A,Groups!U:U)=2),BA66,IF(_xlfn.XLOOKUP(B66,Animals!B:B,Animals!AO:AO)&gt;4,AVERAGE(BA66,BC66),BC66))))</f>
        <v>No</v>
      </c>
      <c r="BA66" s="8">
        <f t="shared" ref="BA66:BA97" si="39">(0.0392*C66^IF(OR(Y66="Herbivore",Y66="Dendrovore",Y66="OmnivoreRough"),0.889,0.966))*C66^-0.135</f>
        <v>3.9199999999999999E-2</v>
      </c>
      <c r="BB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EXP(1.076*LN(AO66)-4.5397)*IF(_xlfn.XLOOKUP(E66,Groups!A:A,Groups!BC:BC)=1,1.25,IF(_xlfn.XLOOKUP(E66,Groups!A:A,Groups!BD:BD)=1,3.5,2.5))</f>
        <v>1.9665617864035057</v>
      </c>
      <c r="BE66" s="8">
        <f>EXP(1.076*LN(AP66)-4.5397)*IF(_xlfn.XLOOKUP(E66,Groups!A:A,Groups!M:M)=1,0.8,IF(_xlfn.XLOOKUP(E66,Groups!A:A,Groups!BC:BC)=1,1.3,3))</f>
        <v>3.2033344684475749</v>
      </c>
      <c r="BF66" s="8" t="str">
        <f>IF(W66="No","No",IF(_xlfn.XLOOKUP(E66,Groups!A:A,Groups!U:U)=1,'Base stats'!BG66,IF(OR(_xlfn.XLOOKUP(E66,Groups!A:A,Groups!BD:BD)=1,_xlfn.XLOOKUP(E66,Groups!A:A,Groups!U:U)=2),BD66,BE66))*1.2)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10"/>
        <v>10</v>
      </c>
      <c r="BI66" s="8">
        <f t="shared" si="11"/>
        <v>7</v>
      </c>
      <c r="BJ66" s="8" t="str">
        <f t="shared" ref="BJ66:BJ97" si="40">IF(W66="No","No",ROUNDDOWN(SQRT((2*BF66)/AZ66),0))</f>
        <v>No</v>
      </c>
      <c r="BK66" s="8">
        <f t="shared" ref="BK66:BK97" si="41">IF(V66="No","No",ROUNDDOWN(SQRT((2*BG66)/AY66),0))</f>
        <v>7</v>
      </c>
      <c r="BL66" s="8">
        <f t="shared" si="12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N66" s="8" t="str">
        <f>IF(W66="No","No",IF(_xlfn.XLOOKUP(E66,Groups!A:A,Groups!BD:BD)=1,(AL66*5%),EXP(0.7354*LN(C66)^0.4078)*2/IF(_xlfn.XLOOKUP(E66,Groups!A:A,Groups!BL:BL)=1,1000,100)))</f>
        <v>No</v>
      </c>
      <c r="BO66" s="8">
        <f>IF(BG66="No","No",IF(_xlfn.XLOOKUP(E66,Groups!A:A,Groups!BF:BF)=1,(0.0315*C66+2.1825)*2,(0.7354*C66^0.4078)*2)/IF(_xlfn.XLOOKUP(E66,Groups!A:A,Groups!BM:BM)=1,1000,100))</f>
        <v>4.428E-2</v>
      </c>
      <c r="BP66" s="8">
        <f t="shared" ref="BP66:BP97" si="42">BD66/(AL66*5%)</f>
        <v>3.5433545700964068E-2</v>
      </c>
      <c r="BQ66" s="8">
        <f t="shared" si="13"/>
        <v>217.79538131952506</v>
      </c>
      <c r="BR66" s="8" t="str">
        <f t="shared" ref="BR66:BR97" si="43">IF(W66="No","No",BF66/BN66)</f>
        <v>No</v>
      </c>
      <c r="BS66" s="8">
        <f t="shared" si="14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</v>
      </c>
      <c r="D67" s="7" t="s">
        <v>1301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34"/>
        <v>248.49804638108569</v>
      </c>
      <c r="AM67" s="8">
        <f>IFERROR(C67*_xlfn.XLOOKUP(E67,Groups!A:A,Groups!K:K),0.106*C67^0.94)</f>
        <v>1.2170428387866963E-2</v>
      </c>
      <c r="AN67" s="8">
        <f>AM67*10000/(_xlfn.XLOOKUP(E67,Groups!A:A,Groups!J:J)*AL67)</f>
        <v>0.44932066041065122</v>
      </c>
      <c r="AO67" s="8">
        <f t="shared" si="35"/>
        <v>7.7757224389992476</v>
      </c>
      <c r="AP67" s="8">
        <f>IF(_xlfn.XLOOKUP(E67,Groups!A:A,Groups!M:M)=1,EXP(0.7444*LN('Base stats'!C67)+6.5696),EXP(0.7927*LN('Base stats'!C67)+4.28))</f>
        <v>11.643415147050879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R67" s="8">
        <f>IF(_xlfn.XLOOKUP(E67,Groups!A:A,Groups!U:U)=3,AP67,IF(_xlfn.XLOOKUP(E67,Groups!A:A,Groups!U:U)=2,AO67,AQ67))</f>
        <v>2.8568142751486909</v>
      </c>
      <c r="AS67" s="46">
        <f>IFERROR(AVERAGE(_xlfn.XLOOKUP(B67,Animals!B:B,Animals!N:N),_xlfn.XLOOKUP(B67,Animals!B:B,Animals!O:O)),0)</f>
        <v>0</v>
      </c>
      <c r="AT67" s="8">
        <f>MROUND(40*Animals!AO67*_xlfn.XLOOKUP(Animals!BA67,Leathers!$A$2:$A$100,Leathers!$B$2:$B$100,0)+(140*_xlfn.XLOOKUP(B67,Animals!B:B,Animals!AO:AO)*2),5)</f>
        <v>30</v>
      </c>
      <c r="AU67" s="8">
        <f>IFERROR(ROUND(SQRT(V67-1)*IF(_xlfn.XLOOKUP(E67,Groups!A:A,Groups!BF:BF)=0,2,1)*IF(_xlfn.XLOOKUP('Base stats'!E67,Groups!A:A,Groups!O:O)=0,1,0.1),1),0)</f>
        <v>0</v>
      </c>
      <c r="AV67" s="8">
        <f t="shared" si="36"/>
        <v>0</v>
      </c>
      <c r="AW67" s="8">
        <f t="shared" si="37"/>
        <v>0</v>
      </c>
      <c r="AX67" s="8">
        <f t="shared" si="3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1.2660279088491499E-2</v>
      </c>
      <c r="AZ67" s="8" t="str">
        <f>IF(W67="No","No",IF(_xlfn.XLOOKUP(E67,Groups!A:A,Groups!U:U)=1,'Base stats'!AY67,IF(OR(_xlfn.XLOOKUP(E67,Groups!A:A,Groups!BD:BD)=1,_xlfn.XLOOKUP(E67,Groups!A:A,Groups!U:U)=2),BA67,IF(_xlfn.XLOOKUP(B67,Animals!B:B,Animals!AO:AO)&gt;4,AVERAGE(BA67,BC67),BC67))))</f>
        <v>No</v>
      </c>
      <c r="BA67" s="8">
        <f t="shared" si="39"/>
        <v>6.9069461019335872E-3</v>
      </c>
      <c r="BB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C67" s="8">
        <f>(0.048*C67^1.01)/IF(_xlfn.XLOOKUP(E67,Groups!A:A,Groups!M:M)=1,0.25,0.8)*C67^-0.25</f>
        <v>1.0426804972496253E-2</v>
      </c>
      <c r="BD67" s="8">
        <f>EXP(1.076*LN(AO67)-4.5397)*IF(_xlfn.XLOOKUP(E67,Groups!A:A,Groups!BC:BC)=1,1.25,IF(_xlfn.XLOOKUP(E67,Groups!A:A,Groups!BD:BD)=1,3.5,2.5))</f>
        <v>0.2425550917554648</v>
      </c>
      <c r="BE67" s="8">
        <f>EXP(1.076*LN(AP67)-4.5397)*IF(_xlfn.XLOOKUP(E67,Groups!A:A,Groups!M:M)=1,0.8,IF(_xlfn.XLOOKUP(E67,Groups!A:A,Groups!BC:BC)=1,1.3,3))</f>
        <v>0.44942485486133998</v>
      </c>
      <c r="BF67" s="8" t="str">
        <f>IF(W67="No","No",IF(_xlfn.XLOOKUP(E67,Groups!A:A,Groups!U:U)=1,'Base stats'!BG67,IF(OR(_xlfn.XLOOKUP(E67,Groups!A:A,Groups!BD:BD)=1,_xlfn.XLOOKUP(E67,Groups!A:A,Groups!U:U)=2),BD67,BE67))*1.2)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0.12387784682636251</v>
      </c>
      <c r="BH67" s="8">
        <f t="shared" ref="BH67:BH130" si="44">ROUNDDOWN(SQRT((2*BD67)/BA67),0)</f>
        <v>8</v>
      </c>
      <c r="BI67" s="8">
        <f t="shared" ref="BI67:BI130" si="45">ROUNDDOWN(SQRT((2*BE67)/BB67),0)</f>
        <v>6</v>
      </c>
      <c r="BJ67" s="8" t="str">
        <f t="shared" si="40"/>
        <v>No</v>
      </c>
      <c r="BK67" s="8">
        <f t="shared" si="41"/>
        <v>4</v>
      </c>
      <c r="BL67" s="8">
        <f t="shared" ref="BL67:BL130" si="46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N67" s="8" t="str">
        <f>IF(W67="No","No",IF(_xlfn.XLOOKUP(E67,Groups!A:A,Groups!BD:BD)=1,(AL67*5%),EXP(0.7354*LN(C67)^0.4078)*2/IF(_xlfn.XLOOKUP(E67,Groups!A:A,Groups!BL:BL)=1,1000,100)))</f>
        <v>No</v>
      </c>
      <c r="BO67" s="8">
        <f>IF(BG67="No","No",IF(_xlfn.XLOOKUP(E67,Groups!A:A,Groups!BF:BF)=1,(0.0315*C67+2.1825)*2,(0.7354*C67^0.4078)*2)/IF(_xlfn.XLOOKUP(E67,Groups!A:A,Groups!BM:BM)=1,1000,100))</f>
        <v>5.7511357814731753E-3</v>
      </c>
      <c r="BP67" s="8">
        <f t="shared" si="42"/>
        <v>1.9521690032403151E-2</v>
      </c>
      <c r="BQ67" s="8">
        <f t="shared" ref="BQ67:BQ130" si="47">IF(BM67="No","No",BE67/BM67)</f>
        <v>78.145408478987108</v>
      </c>
      <c r="BR67" s="8" t="str">
        <f t="shared" si="43"/>
        <v>No</v>
      </c>
      <c r="BS67" s="8">
        <f t="shared" ref="BS67:BS130" si="48">IF(BG67="No","No",BG67/BO67)</f>
        <v>21.539718680512657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D68" s="7" t="s">
        <v>1299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3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3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IFERROR(AVERAGE(_xlfn.XLOOKUP(B68,Animals!B:B,Animals!N:N),_xlfn.XLOOKUP(B68,Animals!B:B,Animals!O:O)),0)</f>
        <v>0</v>
      </c>
      <c r="AT68" s="8">
        <f>MROUND(40*Animals!AO68*_xlfn.XLOOKUP(Animals!BA68,Leathers!$A$2:$A$100,Leathers!$B$2:$B$100,0)+(140*_xlfn.XLOOKUP(B68,Animals!B:B,Animals!AO:AO)*2),5)</f>
        <v>110</v>
      </c>
      <c r="AU68" s="8">
        <f>IFERROR(ROUND(SQRT(V68-1)*IF(_xlfn.XLOOKUP(E68,Groups!A:A,Groups!BF:BF)=0,2,1)*IF(_xlfn.XLOOKUP('Base stats'!E68,Groups!A:A,Groups!O:O)=0,1,0.1),1),0)</f>
        <v>0.2</v>
      </c>
      <c r="AV68" s="8">
        <f t="shared" si="36"/>
        <v>0</v>
      </c>
      <c r="AW68" s="8">
        <f t="shared" si="37"/>
        <v>0</v>
      </c>
      <c r="AX68" s="8">
        <f t="shared" si="3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stats'!AY68,IF(OR(_xlfn.XLOOKUP(E68,Groups!A:A,Groups!BD:BD)=1,_xlfn.XLOOKUP(E68,Groups!A:A,Groups!U:U)=2),BA68,IF(_xlfn.XLOOKUP(B68,Animals!B:B,Animals!AO:AO)&gt;4,AVERAGE(BA68,BC68),BC68))))</f>
        <v>No</v>
      </c>
      <c r="BA68" s="8">
        <f t="shared" si="39"/>
        <v>0.21267696187850707</v>
      </c>
      <c r="BB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EXP(1.076*LN(AO68)-4.5397)*IF(_xlfn.XLOOKUP(E68,Groups!A:A,Groups!BC:BC)=1,1.25,IF(_xlfn.XLOOKUP(E68,Groups!A:A,Groups!BD:BD)=1,3.5,2.5))</f>
        <v>15.101487727291271</v>
      </c>
      <c r="BE68" s="8">
        <f>EXP(1.076*LN(AP68)-4.5397)*IF(_xlfn.XLOOKUP(E68,Groups!A:A,Groups!M:M)=1,0.8,IF(_xlfn.XLOOKUP(E68,Groups!A:A,Groups!BC:BC)=1,1.3,3))</f>
        <v>21.697731412335632</v>
      </c>
      <c r="BF68" s="8" t="str">
        <f>IF(W68="No","No",IF(_xlfn.XLOOKUP(E68,Groups!A:A,Groups!U:U)=1,'Base stats'!BG68,IF(OR(_xlfn.XLOOKUP(E68,Groups!A:A,Groups!BD:BD)=1,_xlfn.XLOOKUP(E68,Groups!A:A,Groups!U:U)=2),BD68,BE68))*1.2)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44"/>
        <v>11</v>
      </c>
      <c r="BI68" s="8">
        <f t="shared" si="45"/>
        <v>8</v>
      </c>
      <c r="BJ68" s="8" t="str">
        <f t="shared" si="40"/>
        <v>No</v>
      </c>
      <c r="BK68" s="8">
        <f t="shared" si="41"/>
        <v>6</v>
      </c>
      <c r="BL68" s="8">
        <f t="shared" si="46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N68" s="8" t="str">
        <f>IF(W68="No","No",IF(_xlfn.XLOOKUP(E68,Groups!A:A,Groups!BD:BD)=1,(AL68*5%),EXP(0.7354*LN(C68)^0.4078)*2/IF(_xlfn.XLOOKUP(E68,Groups!A:A,Groups!BL:BL)=1,1000,100)))</f>
        <v>No</v>
      </c>
      <c r="BO68" s="8">
        <f>IF(BG68="No","No",IF(_xlfn.XLOOKUP(E68,Groups!A:A,Groups!BF:BF)=1,(0.0315*C68+2.1825)*2,(0.7354*C68^0.4078)*2)/IF(_xlfn.XLOOKUP(E68,Groups!A:A,Groups!BM:BM)=1,1000,100))</f>
        <v>3.6708917623684029E-2</v>
      </c>
      <c r="BP68" s="8">
        <f t="shared" si="42"/>
        <v>6.3327692554768944E-2</v>
      </c>
      <c r="BQ68" s="8" t="str">
        <f t="shared" si="47"/>
        <v>No</v>
      </c>
      <c r="BR68" s="8" t="str">
        <f t="shared" si="43"/>
        <v>No</v>
      </c>
      <c r="BS68" s="8">
        <f t="shared" si="48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D69" s="7" t="s">
        <v>1300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3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3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IFERROR(AVERAGE(_xlfn.XLOOKUP(B69,Animals!B:B,Animals!N:N),_xlfn.XLOOKUP(B69,Animals!B:B,Animals!O:O)),0)</f>
        <v>0</v>
      </c>
      <c r="AT69" s="8">
        <f>MROUND(40*Animals!AO69*_xlfn.XLOOKUP(Animals!BA69,Leathers!$A$2:$A$100,Leathers!$B$2:$B$100,0)+(140*_xlfn.XLOOKUP(B69,Animals!B:B,Animals!AO:AO)*2),5)</f>
        <v>55</v>
      </c>
      <c r="AU69" s="8">
        <f>IFERROR(ROUND(SQRT(V69-1)*IF(_xlfn.XLOOKUP(E69,Groups!A:A,Groups!BF:BF)=0,2,1)*IF(_xlfn.XLOOKUP('Base stats'!E69,Groups!A:A,Groups!O:O)=0,1,0.1),1),0)</f>
        <v>0.3</v>
      </c>
      <c r="AV69" s="8">
        <f t="shared" si="36"/>
        <v>0</v>
      </c>
      <c r="AW69" s="8">
        <f t="shared" si="37"/>
        <v>0</v>
      </c>
      <c r="AX69" s="8">
        <f t="shared" si="3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stats'!AY69,IF(OR(_xlfn.XLOOKUP(E69,Groups!A:A,Groups!BD:BD)=1,_xlfn.XLOOKUP(E69,Groups!A:A,Groups!U:U)=2),BA69,IF(_xlfn.XLOOKUP(B69,Animals!B:B,Animals!AO:AO)&gt;4,AVERAGE(BA69,BC69),BC69))))</f>
        <v>No</v>
      </c>
      <c r="BA69" s="8">
        <f t="shared" si="39"/>
        <v>5.4905759483311625E-2</v>
      </c>
      <c r="BB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EXP(1.076*LN(AO69)-4.5397)*IF(_xlfn.XLOOKUP(E69,Groups!A:A,Groups!BC:BC)=1,1.25,IF(_xlfn.XLOOKUP(E69,Groups!A:A,Groups!BD:BD)=1,3.5,2.5))</f>
        <v>2.8428663840234449</v>
      </c>
      <c r="BE69" s="8">
        <f>EXP(1.076*LN(AP69)-4.5397)*IF(_xlfn.XLOOKUP(E69,Groups!A:A,Groups!M:M)=1,0.8,IF(_xlfn.XLOOKUP(E69,Groups!A:A,Groups!BC:BC)=1,1.3,3))</f>
        <v>4.5268747755982712</v>
      </c>
      <c r="BF69" s="8" t="str">
        <f>IF(W69="No","No",IF(_xlfn.XLOOKUP(E69,Groups!A:A,Groups!U:U)=1,'Base stats'!BG69,IF(OR(_xlfn.XLOOKUP(E69,Groups!A:A,Groups!BD:BD)=1,_xlfn.XLOOKUP(E69,Groups!A:A,Groups!U:U)=2),BD69,BE69))*1.2)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44"/>
        <v>10</v>
      </c>
      <c r="BI69" s="8">
        <f t="shared" si="45"/>
        <v>7</v>
      </c>
      <c r="BJ69" s="8" t="str">
        <f t="shared" si="40"/>
        <v>No</v>
      </c>
      <c r="BK69" s="8">
        <f t="shared" si="41"/>
        <v>5</v>
      </c>
      <c r="BL69" s="8">
        <f t="shared" si="46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N69" s="8" t="str">
        <f>IF(W69="No","No",IF(_xlfn.XLOOKUP(E69,Groups!A:A,Groups!BD:BD)=1,(AL69*5%),EXP(0.7354*LN(C69)^0.4078)*2/IF(_xlfn.XLOOKUP(E69,Groups!A:A,Groups!BL:BL)=1,1000,100)))</f>
        <v>No</v>
      </c>
      <c r="BO69" s="8">
        <f>IF(BG69="No","No",IF(_xlfn.XLOOKUP(E69,Groups!A:A,Groups!BF:BF)=1,(0.0315*C69+2.1825)*2,(0.7354*C69^0.4078)*2)/IF(_xlfn.XLOOKUP(E69,Groups!A:A,Groups!BM:BM)=1,1000,100))</f>
        <v>1.7352563272430833E-2</v>
      </c>
      <c r="BP69" s="8">
        <f t="shared" si="42"/>
        <v>3.9355383307618119E-2</v>
      </c>
      <c r="BQ69" s="8" t="str">
        <f t="shared" si="47"/>
        <v>No</v>
      </c>
      <c r="BR69" s="8" t="str">
        <f t="shared" si="43"/>
        <v>No</v>
      </c>
      <c r="BS69" s="8">
        <f t="shared" si="48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D70" s="7" t="s">
        <v>1302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3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3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IFERROR(AVERAGE(_xlfn.XLOOKUP(B70,Animals!B:B,Animals!N:N),_xlfn.XLOOKUP(B70,Animals!B:B,Animals!O:O)),0)</f>
        <v>0</v>
      </c>
      <c r="AT70" s="8">
        <f>MROUND(40*Animals!AO70*_xlfn.XLOOKUP(Animals!BA70,Leathers!$A$2:$A$100,Leathers!$B$2:$B$100,0)+(140*_xlfn.XLOOKUP(B70,Animals!B:B,Animals!AO:AO)*2),5)</f>
        <v>70</v>
      </c>
      <c r="AU70" s="8">
        <f>IFERROR(ROUND(SQRT(V70-1)*IF(_xlfn.XLOOKUP(E70,Groups!A:A,Groups!BF:BF)=0,2,1)*IF(_xlfn.XLOOKUP('Base stats'!E70,Groups!A:A,Groups!O:O)=0,1,0.1),1),0)</f>
        <v>0.3</v>
      </c>
      <c r="AV70" s="8">
        <f t="shared" si="36"/>
        <v>0</v>
      </c>
      <c r="AW70" s="8">
        <f t="shared" si="37"/>
        <v>0</v>
      </c>
      <c r="AX70" s="8">
        <f t="shared" si="3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stats'!AY70,IF(OR(_xlfn.XLOOKUP(E70,Groups!A:A,Groups!BD:BD)=1,_xlfn.XLOOKUP(E70,Groups!A:A,Groups!U:U)=2),BA70,IF(_xlfn.XLOOKUP(B70,Animals!B:B,Animals!AO:AO)&gt;4,AVERAGE(BA70,BC70),BC70))))</f>
        <v>No</v>
      </c>
      <c r="BA70" s="8">
        <f t="shared" si="39"/>
        <v>0.10439053900204885</v>
      </c>
      <c r="BB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EXP(1.076*LN(AO70)-4.5397)*IF(_xlfn.XLOOKUP(E70,Groups!A:A,Groups!BC:BC)=1,1.25,IF(_xlfn.XLOOKUP(E70,Groups!A:A,Groups!BD:BD)=1,3.5,2.5))</f>
        <v>5.7405955414483669</v>
      </c>
      <c r="BE70" s="8">
        <f>EXP(1.076*LN(AP70)-4.5397)*IF(_xlfn.XLOOKUP(E70,Groups!A:A,Groups!M:M)=1,0.8,IF(_xlfn.XLOOKUP(E70,Groups!A:A,Groups!BC:BC)=1,1.3,3))</f>
        <v>8.7540846645893815</v>
      </c>
      <c r="BF70" s="8" t="str">
        <f>IF(W70="No","No",IF(_xlfn.XLOOKUP(E70,Groups!A:A,Groups!U:U)=1,'Base stats'!BG70,IF(OR(_xlfn.XLOOKUP(E70,Groups!A:A,Groups!BD:BD)=1,_xlfn.XLOOKUP(E70,Groups!A:A,Groups!U:U)=2),BD70,BE70))*1.2)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44"/>
        <v>10</v>
      </c>
      <c r="BI70" s="8">
        <f t="shared" si="45"/>
        <v>7</v>
      </c>
      <c r="BJ70" s="8" t="str">
        <f t="shared" si="40"/>
        <v>No</v>
      </c>
      <c r="BK70" s="8">
        <f t="shared" si="41"/>
        <v>5</v>
      </c>
      <c r="BL70" s="8">
        <f t="shared" si="46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N70" s="8" t="str">
        <f>IF(W70="No","No",IF(_xlfn.XLOOKUP(E70,Groups!A:A,Groups!BD:BD)=1,(AL70*5%),EXP(0.7354*LN(C70)^0.4078)*2/IF(_xlfn.XLOOKUP(E70,Groups!A:A,Groups!BL:BL)=1,1000,100)))</f>
        <v>No</v>
      </c>
      <c r="BO70" s="8">
        <f>IF(BG70="No","No",IF(_xlfn.XLOOKUP(E70,Groups!A:A,Groups!BF:BF)=1,(0.0315*C70+2.1825)*2,(0.7354*C70^0.4078)*2)/IF(_xlfn.XLOOKUP(E70,Groups!A:A,Groups!BM:BM)=1,1000,100))</f>
        <v>2.3784808318953549E-2</v>
      </c>
      <c r="BP70" s="8">
        <f t="shared" si="42"/>
        <v>4.8077268085271629E-2</v>
      </c>
      <c r="BQ70" s="8" t="str">
        <f t="shared" si="47"/>
        <v>No</v>
      </c>
      <c r="BR70" s="8" t="str">
        <f t="shared" si="43"/>
        <v>No</v>
      </c>
      <c r="BS70" s="8">
        <f t="shared" si="48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34"/>
        <v>10016.299203835699</v>
      </c>
      <c r="AM71" s="8">
        <f>IFERROR(C71*_xlfn.XLOOKUP(E71,Groups!A:A,Groups!K:K),0.106*C71^0.94)</f>
        <v>2.5523401971081974</v>
      </c>
      <c r="AN71" s="8">
        <f>AM71*10000/(_xlfn.XLOOKUP(E71,Groups!A:A,Groups!J:J)*AL71)</f>
        <v>2.3377861058820342</v>
      </c>
      <c r="AO71" s="8">
        <f t="shared" si="35"/>
        <v>948.41716738744265</v>
      </c>
      <c r="AP71" s="8">
        <f>IF(_xlfn.XLOOKUP(E71,Groups!A:A,Groups!M:M)=1,EXP(0.7444*LN('Base stats'!C71)+6.5696),EXP(0.7927*LN('Base stats'!C71)+4.28))</f>
        <v>1056.5943757585062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R71" s="8">
        <f>IF(_xlfn.XLOOKUP(E71,Groups!A:A,Groups!U:U)=3,AP71,IF(_xlfn.XLOOKUP(E71,Groups!A:A,Groups!U:U)=2,AO71,AQ71))</f>
        <v>146.21732769443346</v>
      </c>
      <c r="AS71" s="46">
        <f>IFERROR(AVERAGE(_xlfn.XLOOKUP(B71,Animals!B:B,Animals!N:N),_xlfn.XLOOKUP(B71,Animals!B:B,Animals!O:O)),0)</f>
        <v>0</v>
      </c>
      <c r="AT71" s="8">
        <f>MROUND(40*Animals!AO71*_xlfn.XLOOKUP(Animals!BA71,Leathers!$A$2:$A$100,Leathers!$B$2:$B$100,0)+(140*_xlfn.XLOOKUP(B71,Animals!B:B,Animals!AO:AO)*2),5)</f>
        <v>195</v>
      </c>
      <c r="AU71" s="8">
        <f>IFERROR(ROUND(SQRT(V71-1)*IF(_xlfn.XLOOKUP(E71,Groups!A:A,Groups!BF:BF)=0,2,1)*IF(_xlfn.XLOOKUP('Base stats'!E71,Groups!A:A,Groups!O:O)=0,1,0.1),1),0)</f>
        <v>0.3</v>
      </c>
      <c r="AV71" s="8">
        <f t="shared" si="36"/>
        <v>0</v>
      </c>
      <c r="AW71" s="8">
        <f t="shared" si="37"/>
        <v>0</v>
      </c>
      <c r="AX71" s="8">
        <f t="shared" si="38"/>
        <v>2.7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0.39542837054088481</v>
      </c>
      <c r="AZ71" s="8" t="str">
        <f>IF(W71="No","No",IF(_xlfn.XLOOKUP(E71,Groups!A:A,Groups!U:U)=1,'Base stats'!AY71,IF(OR(_xlfn.XLOOKUP(E71,Groups!A:A,Groups!BD:BD)=1,_xlfn.XLOOKUP(E71,Groups!A:A,Groups!U:U)=2),BA71,IF(_xlfn.XLOOKUP(B71,Animals!B:B,Animals!AO:AO)&gt;4,AVERAGE(BA71,BC71),BC71))))</f>
        <v>No</v>
      </c>
      <c r="BA71" s="8">
        <f t="shared" si="39"/>
        <v>0.65269180866351817</v>
      </c>
      <c r="BB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C71" s="8">
        <f>(0.048*C71^1.01)/IF(_xlfn.XLOOKUP(E71,Groups!A:A,Groups!M:M)=1,0.25,0.8)*C71^-0.25</f>
        <v>0.78562624366136824</v>
      </c>
      <c r="BD71" s="8">
        <f>EXP(1.076*LN(AO71)-4.5397)*IF(_xlfn.XLOOKUP(E71,Groups!A:A,Groups!BC:BC)=1,1.25,IF(_xlfn.XLOOKUP(E71,Groups!A:A,Groups!BD:BD)=1,3.5,2.5))</f>
        <v>42.621105545852032</v>
      </c>
      <c r="BE71" s="8">
        <f>EXP(1.076*LN(AP71)-4.5397)*IF(_xlfn.XLOOKUP(E71,Groups!A:A,Groups!M:M)=1,0.8,IF(_xlfn.XLOOKUP(E71,Groups!A:A,Groups!BC:BC)=1,1.3,3))</f>
        <v>57.448662259053492</v>
      </c>
      <c r="BF71" s="8" t="str">
        <f>IF(W71="No","No",IF(_xlfn.XLOOKUP(E71,Groups!A:A,Groups!U:U)=1,'Base stats'!BG71,IF(OR(_xlfn.XLOOKUP(E71,Groups!A:A,Groups!BD:BD)=1,_xlfn.XLOOKUP(E71,Groups!A:A,Groups!U:U)=2),BD71,BE71))*1.2)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8.5507333343977123</v>
      </c>
      <c r="BH71" s="8">
        <f t="shared" si="44"/>
        <v>11</v>
      </c>
      <c r="BI71" s="8">
        <f t="shared" si="45"/>
        <v>8</v>
      </c>
      <c r="BJ71" s="8" t="str">
        <f t="shared" si="40"/>
        <v>No</v>
      </c>
      <c r="BK71" s="8">
        <f t="shared" si="41"/>
        <v>6</v>
      </c>
      <c r="BL71" s="8">
        <f t="shared" si="46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N71" s="8" t="str">
        <f>IF(W71="No","No",IF(_xlfn.XLOOKUP(E71,Groups!A:A,Groups!BD:BD)=1,(AL71*5%),EXP(0.7354*LN(C71)^0.4078)*2/IF(_xlfn.XLOOKUP(E71,Groups!A:A,Groups!BL:BL)=1,1000,100)))</f>
        <v>No</v>
      </c>
      <c r="BO71" s="8">
        <f>IF(BG71="No","No",IF(_xlfn.XLOOKUP(E71,Groups!A:A,Groups!BF:BF)=1,(0.0315*C71+2.1825)*2,(0.7354*C71^0.4078)*2)/IF(_xlfn.XLOOKUP(E71,Groups!A:A,Groups!BM:BM)=1,1000,100))</f>
        <v>5.8471877539490437E-2</v>
      </c>
      <c r="BP71" s="8">
        <f t="shared" si="42"/>
        <v>8.5103499163704022E-2</v>
      </c>
      <c r="BQ71" s="8" t="str">
        <f t="shared" si="47"/>
        <v>No</v>
      </c>
      <c r="BR71" s="8" t="str">
        <f t="shared" si="43"/>
        <v>No</v>
      </c>
      <c r="BS71" s="8">
        <f t="shared" si="48"/>
        <v>146.23668153331937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D72" s="7" t="s">
        <v>1303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3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3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IFERROR(AVERAGE(_xlfn.XLOOKUP(B72,Animals!B:B,Animals!N:N),_xlfn.XLOOKUP(B72,Animals!B:B,Animals!O:O)),0)</f>
        <v>0</v>
      </c>
      <c r="AT72" s="8">
        <f>MROUND(40*Animals!AO72*_xlfn.XLOOKUP(Animals!BA72,Leathers!$A$2:$A$100,Leathers!$B$2:$B$100,0)+(140*_xlfn.XLOOKUP(B72,Animals!B:B,Animals!AO:AO)*2),5)</f>
        <v>85</v>
      </c>
      <c r="AU72" s="8">
        <f>IFERROR(ROUND(SQRT(V72-1)*IF(_xlfn.XLOOKUP(E72,Groups!A:A,Groups!BF:BF)=0,2,1)*IF(_xlfn.XLOOKUP('Base stats'!E72,Groups!A:A,Groups!O:O)=0,1,0.1),1),0)</f>
        <v>0.1</v>
      </c>
      <c r="AV72" s="8">
        <f t="shared" si="36"/>
        <v>0.9</v>
      </c>
      <c r="AW72" s="8">
        <f t="shared" si="37"/>
        <v>0</v>
      </c>
      <c r="AX72" s="8">
        <f t="shared" si="3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stats'!AY72,IF(OR(_xlfn.XLOOKUP(E72,Groups!A:A,Groups!BD:BD)=1,_xlfn.XLOOKUP(E72,Groups!A:A,Groups!U:U)=2),BA72,IF(_xlfn.XLOOKUP(B72,Animals!B:B,Animals!AO:AO)&gt;4,AVERAGE(BA72,BC72),BC72))))</f>
        <v>No</v>
      </c>
      <c r="BA72" s="8">
        <f t="shared" si="39"/>
        <v>0.11566874724947172</v>
      </c>
      <c r="BB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EXP(1.076*LN(AO72)-4.5397)*IF(_xlfn.XLOOKUP(E72,Groups!A:A,Groups!BC:BC)=1,1.25,IF(_xlfn.XLOOKUP(E72,Groups!A:A,Groups!BD:BD)=1,3.5,2.5))</f>
        <v>7.2473148784519097</v>
      </c>
      <c r="BE72" s="8">
        <f>EXP(1.076*LN(AP72)-4.5397)*IF(_xlfn.XLOOKUP(E72,Groups!A:A,Groups!M:M)=1,0.8,IF(_xlfn.XLOOKUP(E72,Groups!A:A,Groups!BC:BC)=1,1.3,3))</f>
        <v>10.894311214938487</v>
      </c>
      <c r="BF72" s="8" t="str">
        <f>IF(W72="No","No",IF(_xlfn.XLOOKUP(E72,Groups!A:A,Groups!U:U)=1,'Base stats'!BG72,IF(OR(_xlfn.XLOOKUP(E72,Groups!A:A,Groups!BD:BD)=1,_xlfn.XLOOKUP(E72,Groups!A:A,Groups!U:U)=2),BD72,BE72))*1.2)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44"/>
        <v>11</v>
      </c>
      <c r="BI72" s="8">
        <f t="shared" si="45"/>
        <v>7</v>
      </c>
      <c r="BJ72" s="8" t="str">
        <f t="shared" si="40"/>
        <v>No</v>
      </c>
      <c r="BK72" s="8">
        <f t="shared" si="41"/>
        <v>5</v>
      </c>
      <c r="BL72" s="8">
        <f t="shared" si="46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N72" s="8" t="str">
        <f>IF(W72="No","No",IF(_xlfn.XLOOKUP(E72,Groups!A:A,Groups!BD:BD)=1,(AL72*5%),EXP(0.7354*LN(C72)^0.4078)*2/IF(_xlfn.XLOOKUP(E72,Groups!A:A,Groups!BL:BL)=1,1000,100)))</f>
        <v>No</v>
      </c>
      <c r="BO72" s="8">
        <f>IF(BG72="No","No",IF(_xlfn.XLOOKUP(E72,Groups!A:A,Groups!BF:BF)=1,(0.0315*C72+2.1825)*2,(0.7354*C72^0.4078)*2)/IF(_xlfn.XLOOKUP(E72,Groups!A:A,Groups!BM:BM)=1,1000,100))</f>
        <v>2.6406733457828967E-2</v>
      </c>
      <c r="BP72" s="8">
        <f t="shared" si="42"/>
        <v>5.1377398377034179E-2</v>
      </c>
      <c r="BQ72" s="8">
        <f t="shared" si="47"/>
        <v>412.55807850435144</v>
      </c>
      <c r="BR72" s="8" t="str">
        <f t="shared" si="43"/>
        <v>No</v>
      </c>
      <c r="BS72" s="8">
        <f t="shared" si="48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D73" s="7" t="s">
        <v>1304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3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3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IFERROR(AVERAGE(_xlfn.XLOOKUP(B73,Animals!B:B,Animals!N:N),_xlfn.XLOOKUP(B73,Animals!B:B,Animals!O:O)),0)</f>
        <v>0</v>
      </c>
      <c r="AT73" s="8">
        <f>MROUND(40*Animals!AO73*_xlfn.XLOOKUP(Animals!BA73,Leathers!$A$2:$A$100,Leathers!$B$2:$B$100,0)+(140*_xlfn.XLOOKUP(B73,Animals!B:B,Animals!AO:AO)*2),5)</f>
        <v>85</v>
      </c>
      <c r="AU73" s="8">
        <f>IFERROR(ROUND(SQRT(V73-1)*IF(_xlfn.XLOOKUP(E73,Groups!A:A,Groups!BF:BF)=0,2,1)*IF(_xlfn.XLOOKUP('Base stats'!E73,Groups!A:A,Groups!O:O)=0,1,0.1),1),0)</f>
        <v>0.2</v>
      </c>
      <c r="AV73" s="8">
        <f t="shared" si="36"/>
        <v>1</v>
      </c>
      <c r="AW73" s="8">
        <f t="shared" si="37"/>
        <v>0</v>
      </c>
      <c r="AX73" s="8">
        <f t="shared" si="3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stats'!AY73,IF(OR(_xlfn.XLOOKUP(E73,Groups!A:A,Groups!BD:BD)=1,_xlfn.XLOOKUP(E73,Groups!A:A,Groups!U:U)=2),BA73,IF(_xlfn.XLOOKUP(B73,Animals!B:B,Animals!AO:AO)&gt;4,AVERAGE(BA73,BC73),BC73))))</f>
        <v>No</v>
      </c>
      <c r="BA73" s="8">
        <f t="shared" si="39"/>
        <v>0.15999413468554857</v>
      </c>
      <c r="BB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EXP(1.076*LN(AO73)-4.5397)*IF(_xlfn.XLOOKUP(E73,Groups!A:A,Groups!BC:BC)=1,1.25,IF(_xlfn.XLOOKUP(E73,Groups!A:A,Groups!BD:BD)=1,3.5,2.5))</f>
        <v>9.1576306976978312</v>
      </c>
      <c r="BE73" s="8">
        <f>EXP(1.076*LN(AP73)-4.5397)*IF(_xlfn.XLOOKUP(E73,Groups!A:A,Groups!M:M)=1,0.8,IF(_xlfn.XLOOKUP(E73,Groups!A:A,Groups!BC:BC)=1,1.3,3))</f>
        <v>13.569094750060124</v>
      </c>
      <c r="BF73" s="8" t="str">
        <f>IF(W73="No","No",IF(_xlfn.XLOOKUP(E73,Groups!A:A,Groups!U:U)=1,'Base stats'!BG73,IF(OR(_xlfn.XLOOKUP(E73,Groups!A:A,Groups!BD:BD)=1,_xlfn.XLOOKUP(E73,Groups!A:A,Groups!U:U)=2),BD73,BE73))*1.2)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44"/>
        <v>10</v>
      </c>
      <c r="BI73" s="8">
        <f t="shared" si="45"/>
        <v>7</v>
      </c>
      <c r="BJ73" s="8" t="str">
        <f t="shared" si="40"/>
        <v>No</v>
      </c>
      <c r="BK73" s="8">
        <f t="shared" si="41"/>
        <v>5</v>
      </c>
      <c r="BL73" s="8">
        <f t="shared" si="46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N73" s="8" t="str">
        <f>IF(W73="No","No",IF(_xlfn.XLOOKUP(E73,Groups!A:A,Groups!BD:BD)=1,(AL73*5%),EXP(0.7354*LN(C73)^0.4078)*2/IF(_xlfn.XLOOKUP(E73,Groups!A:A,Groups!BL:BL)=1,1000,100)))</f>
        <v>No</v>
      </c>
      <c r="BO73" s="8">
        <f>IF(BG73="No","No",IF(_xlfn.XLOOKUP(E73,Groups!A:A,Groups!BF:BF)=1,(0.0315*C73+2.1825)*2,(0.7354*C73^0.4078)*2)/IF(_xlfn.XLOOKUP(E73,Groups!A:A,Groups!BM:BM)=1,1000,100))</f>
        <v>2.9329375304767199E-2</v>
      </c>
      <c r="BP73" s="8">
        <f t="shared" si="42"/>
        <v>5.4917952136282484E-2</v>
      </c>
      <c r="BQ73" s="8">
        <f t="shared" si="47"/>
        <v>462.64520157899858</v>
      </c>
      <c r="BR73" s="8" t="str">
        <f t="shared" si="43"/>
        <v>No</v>
      </c>
      <c r="BS73" s="8">
        <f t="shared" si="48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Groups!A18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3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3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IFERROR(AVERAGE(_xlfn.XLOOKUP(B74,Animals!B:B,Animals!N:N),_xlfn.XLOOKUP(B74,Animals!B:B,Animals!O:O)),0)</f>
        <v>0</v>
      </c>
      <c r="AT74" s="8">
        <f>MROUND(40*Animals!AO74*_xlfn.XLOOKUP(Animals!BA74,Leathers!$A$2:$A$100,Leathers!$B$2:$B$100,0)+(140*_xlfn.XLOOKUP(B74,Animals!B:B,Animals!AO:AO)*2),5)</f>
        <v>760</v>
      </c>
      <c r="AU74" s="8">
        <f>IFERROR(ROUND(SQRT(V74-1)*IF(_xlfn.XLOOKUP(E74,Groups!A:A,Groups!BF:BF)=0,2,1)*IF(_xlfn.XLOOKUP('Base stats'!E74,Groups!A:A,Groups!O:O)=0,1,0.1),1),0)</f>
        <v>4.7</v>
      </c>
      <c r="AV74" s="8">
        <f t="shared" si="36"/>
        <v>2.7</v>
      </c>
      <c r="AW74" s="8">
        <f t="shared" si="37"/>
        <v>0</v>
      </c>
      <c r="AX74" s="8">
        <f t="shared" si="3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stats'!AY74,IF(OR(_xlfn.XLOOKUP(E74,Groups!A:A,Groups!BD:BD)=1,_xlfn.XLOOKUP(E74,Groups!A:A,Groups!U:U)=2),BA74,IF(_xlfn.XLOOKUP(B74,Animals!B:B,Animals!AO:AO)&gt;4,AVERAGE(BA74,BC74),BC74))))</f>
        <v>No</v>
      </c>
      <c r="BA74" s="8">
        <f t="shared" si="39"/>
        <v>2.9398057811909384</v>
      </c>
      <c r="BB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EXP(1.076*LN(AO74)-4.5397)*IF(_xlfn.XLOOKUP(E74,Groups!A:A,Groups!BC:BC)=1,1.25,IF(_xlfn.XLOOKUP(E74,Groups!A:A,Groups!BD:BD)=1,3.5,2.5))</f>
        <v>221.05688813983673</v>
      </c>
      <c r="BE74" s="8">
        <f>EXP(1.076*LN(AP74)-4.5397)*IF(_xlfn.XLOOKUP(E74,Groups!A:A,Groups!M:M)=1,0.8,IF(_xlfn.XLOOKUP(E74,Groups!A:A,Groups!BC:BC)=1,1.3,3))</f>
        <v>269.24711752883059</v>
      </c>
      <c r="BF74" s="8" t="str">
        <f>IF(W74="No","No",IF(_xlfn.XLOOKUP(E74,Groups!A:A,Groups!U:U)=1,'Base stats'!BG74,IF(OR(_xlfn.XLOOKUP(E74,Groups!A:A,Groups!BD:BD)=1,_xlfn.XLOOKUP(E74,Groups!A:A,Groups!U:U)=2),BD74,BE74))*1.2)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44"/>
        <v>12</v>
      </c>
      <c r="BI74" s="8">
        <f t="shared" si="45"/>
        <v>11</v>
      </c>
      <c r="BJ74" s="8" t="str">
        <f t="shared" si="40"/>
        <v>No</v>
      </c>
      <c r="BK74" s="8">
        <f t="shared" si="41"/>
        <v>12</v>
      </c>
      <c r="BL74" s="8">
        <f t="shared" si="46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N74" s="8" t="str">
        <f>IF(W74="No","No",IF(_xlfn.XLOOKUP(E74,Groups!A:A,Groups!BD:BD)=1,(AL74*5%),EXP(0.7354*LN(C74)^0.4078)*2/IF(_xlfn.XLOOKUP(E74,Groups!A:A,Groups!BL:BL)=1,1000,100)))</f>
        <v>No</v>
      </c>
      <c r="BO74" s="8">
        <f>IF(BG74="No","No",IF(_xlfn.XLOOKUP(E74,Groups!A:A,Groups!BF:BF)=1,(0.0315*C74+2.1825)*2,(0.7354*C74^0.4078)*2)/IF(_xlfn.XLOOKUP(E74,Groups!A:A,Groups!BM:BM)=1,1000,100))</f>
        <v>0.12237591709715004</v>
      </c>
      <c r="BP74" s="8">
        <f t="shared" si="42"/>
        <v>0.13601258440057237</v>
      </c>
      <c r="BQ74" s="8">
        <f t="shared" si="47"/>
        <v>2200.1642473092525</v>
      </c>
      <c r="BR74" s="8" t="str">
        <f t="shared" si="43"/>
        <v>No</v>
      </c>
      <c r="BS74" s="8">
        <f t="shared" si="48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Groups!A17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3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3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IFERROR(AVERAGE(_xlfn.XLOOKUP(B75,Animals!B:B,Animals!N:N),_xlfn.XLOOKUP(B75,Animals!B:B,Animals!O:O)),0)</f>
        <v>0</v>
      </c>
      <c r="AT75" s="8">
        <f>MROUND(40*Animals!AO75*_xlfn.XLOOKUP(Animals!BA75,Leathers!$A$2:$A$100,Leathers!$B$2:$B$100,0)+(140*_xlfn.XLOOKUP(B75,Animals!B:B,Animals!AO:AO)*2),5)</f>
        <v>850</v>
      </c>
      <c r="AU75" s="8">
        <f>IFERROR(ROUND(SQRT(V75-1)*IF(_xlfn.XLOOKUP(E75,Groups!A:A,Groups!BF:BF)=0,2,1)*IF(_xlfn.XLOOKUP('Base stats'!E75,Groups!A:A,Groups!O:O)=0,1,0.1),1),0)</f>
        <v>6</v>
      </c>
      <c r="AV75" s="8">
        <f t="shared" si="36"/>
        <v>2.7</v>
      </c>
      <c r="AW75" s="8">
        <f t="shared" si="37"/>
        <v>0</v>
      </c>
      <c r="AX75" s="8">
        <f t="shared" si="3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stats'!AY75,IF(OR(_xlfn.XLOOKUP(E75,Groups!A:A,Groups!BD:BD)=1,_xlfn.XLOOKUP(E75,Groups!A:A,Groups!U:U)=2),BA75,IF(_xlfn.XLOOKUP(B75,Animals!B:B,Animals!AO:AO)&gt;4,AVERAGE(BA75,BC75),BC75))))</f>
        <v>No</v>
      </c>
      <c r="BA75" s="8">
        <f t="shared" si="39"/>
        <v>3.4202006287772089</v>
      </c>
      <c r="BB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EXP(1.076*LN(AO75)-4.5397)*IF(_xlfn.XLOOKUP(E75,Groups!A:A,Groups!BC:BC)=1,1.25,IF(_xlfn.XLOOKUP(E75,Groups!A:A,Groups!BD:BD)=1,3.5,2.5))</f>
        <v>260.85474587575175</v>
      </c>
      <c r="BE75" s="8">
        <f>EXP(1.076*LN(AP75)-4.5397)*IF(_xlfn.XLOOKUP(E75,Groups!A:A,Groups!M:M)=1,0.8,IF(_xlfn.XLOOKUP(E75,Groups!A:A,Groups!BC:BC)=1,1.3,3))</f>
        <v>314.49945199495397</v>
      </c>
      <c r="BF75" s="8" t="str">
        <f>IF(W75="No","No",IF(_xlfn.XLOOKUP(E75,Groups!A:A,Groups!U:U)=1,'Base stats'!BG75,IF(OR(_xlfn.XLOOKUP(E75,Groups!A:A,Groups!BD:BD)=1,_xlfn.XLOOKUP(E75,Groups!A:A,Groups!U:U)=2),BD75,BE75))*1.2)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44"/>
        <v>12</v>
      </c>
      <c r="BI75" s="8">
        <f t="shared" si="45"/>
        <v>11</v>
      </c>
      <c r="BJ75" s="8" t="str">
        <f t="shared" si="40"/>
        <v>No</v>
      </c>
      <c r="BK75" s="8">
        <f t="shared" si="41"/>
        <v>11</v>
      </c>
      <c r="BL75" s="8">
        <f t="shared" si="46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N75" s="8" t="str">
        <f>IF(W75="No","No",IF(_xlfn.XLOOKUP(E75,Groups!A:A,Groups!BD:BD)=1,(AL75*5%),EXP(0.7354*LN(C75)^0.4078)*2/IF(_xlfn.XLOOKUP(E75,Groups!A:A,Groups!BL:BL)=1,1000,100)))</f>
        <v>No</v>
      </c>
      <c r="BO75" s="8">
        <f>IF(BG75="No","No",IF(_xlfn.XLOOKUP(E75,Groups!A:A,Groups!BF:BF)=1,(0.0315*C75+2.1825)*2,(0.7354*C75^0.4078)*2)/IF(_xlfn.XLOOKUP(E75,Groups!A:A,Groups!BM:BM)=1,1000,100))</f>
        <v>0.13181151542323583</v>
      </c>
      <c r="BP75" s="8">
        <f t="shared" si="42"/>
        <v>0.14257984029534224</v>
      </c>
      <c r="BQ75" s="8">
        <f t="shared" si="47"/>
        <v>2385.9785769484733</v>
      </c>
      <c r="BR75" s="8" t="str">
        <f t="shared" si="43"/>
        <v>No</v>
      </c>
      <c r="BS75" s="8">
        <f t="shared" si="48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D76" s="7" t="s">
        <v>1305</v>
      </c>
      <c r="E76" s="7" t="str">
        <f>Groups!A19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3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3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IFERROR(AVERAGE(_xlfn.XLOOKUP(B76,Animals!B:B,Animals!N:N),_xlfn.XLOOKUP(B76,Animals!B:B,Animals!O:O)),0)</f>
        <v>0</v>
      </c>
      <c r="AT76" s="8">
        <f>MROUND(40*Animals!AO76*_xlfn.XLOOKUP(Animals!BA76,Leathers!$A$2:$A$100,Leathers!$B$2:$B$100,0)+(140*_xlfn.XLOOKUP(B76,Animals!B:B,Animals!AO:AO)*2),5)</f>
        <v>30</v>
      </c>
      <c r="AU76" s="8">
        <f>IFERROR(ROUND(SQRT(V76-1)*IF(_xlfn.XLOOKUP(E76,Groups!A:A,Groups!BF:BF)=0,2,1)*IF(_xlfn.XLOOKUP('Base stats'!E76,Groups!A:A,Groups!O:O)=0,1,0.1),1),0)</f>
        <v>0.2</v>
      </c>
      <c r="AV76" s="8">
        <f t="shared" si="36"/>
        <v>0</v>
      </c>
      <c r="AW76" s="8">
        <f t="shared" si="37"/>
        <v>0</v>
      </c>
      <c r="AX76" s="8">
        <f t="shared" si="3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stats'!AY76,IF(OR(_xlfn.XLOOKUP(E76,Groups!A:A,Groups!BD:BD)=1,_xlfn.XLOOKUP(E76,Groups!A:A,Groups!U:U)=2),BA76,IF(_xlfn.XLOOKUP(B76,Animals!B:B,Animals!AO:AO)&gt;4,AVERAGE(BA76,BC76),BC76))))</f>
        <v>No</v>
      </c>
      <c r="BA76" s="8">
        <f t="shared" si="39"/>
        <v>2.2035866906060905E-2</v>
      </c>
      <c r="BB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EXP(1.076*LN(AO76)-4.5397)*IF(_xlfn.XLOOKUP(E76,Groups!A:A,Groups!BC:BC)=1,1.25,IF(_xlfn.XLOOKUP(E76,Groups!A:A,Groups!BD:BD)=1,3.5,2.5))</f>
        <v>1.0473751742036277</v>
      </c>
      <c r="BE76" s="8">
        <f>EXP(1.076*LN(AP76)-4.5397)*IF(_xlfn.XLOOKUP(E76,Groups!A:A,Groups!M:M)=1,0.8,IF(_xlfn.XLOOKUP(E76,Groups!A:A,Groups!BC:BC)=1,1.3,3))</f>
        <v>1.7735367701517157</v>
      </c>
      <c r="BF76" s="8" t="str">
        <f>IF(W76="No","No",IF(_xlfn.XLOOKUP(E76,Groups!A:A,Groups!U:U)=1,'Base stats'!BG76,IF(OR(_xlfn.XLOOKUP(E76,Groups!A:A,Groups!BD:BD)=1,_xlfn.XLOOKUP(E76,Groups!A:A,Groups!U:U)=2),BD76,BE76))*1.2)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44"/>
        <v>9</v>
      </c>
      <c r="BI76" s="8">
        <f t="shared" si="45"/>
        <v>9</v>
      </c>
      <c r="BJ76" s="8" t="str">
        <f t="shared" si="40"/>
        <v>No</v>
      </c>
      <c r="BK76" s="8">
        <f t="shared" si="41"/>
        <v>6</v>
      </c>
      <c r="BL76" s="8">
        <f t="shared" si="46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N76" s="8" t="str">
        <f>IF(W76="No","No",IF(_xlfn.XLOOKUP(E76,Groups!A:A,Groups!BD:BD)=1,(AL76*5%),EXP(0.7354*LN(C76)^0.4078)*2/IF(_xlfn.XLOOKUP(E76,Groups!A:A,Groups!BL:BL)=1,1000,100)))</f>
        <v>No</v>
      </c>
      <c r="BO76" s="8">
        <f>IF(BG76="No","No",IF(_xlfn.XLOOKUP(E76,Groups!A:A,Groups!BF:BF)=1,(0.0315*C76+2.1825)*2,(0.7354*C76^0.4078)*2)/IF(_xlfn.XLOOKUP(E76,Groups!A:A,Groups!BM:BM)=1,1000,100))</f>
        <v>1.1086477730522874E-2</v>
      </c>
      <c r="BP76" s="8">
        <f t="shared" si="42"/>
        <v>2.9612753377009197E-2</v>
      </c>
      <c r="BQ76" s="8" t="str">
        <f t="shared" si="47"/>
        <v>No</v>
      </c>
      <c r="BR76" s="8" t="str">
        <f t="shared" si="43"/>
        <v>No</v>
      </c>
      <c r="BS76" s="8">
        <f t="shared" si="48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Groups!A19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3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3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IFERROR(AVERAGE(_xlfn.XLOOKUP(B77,Animals!B:B,Animals!N:N),_xlfn.XLOOKUP(B77,Animals!B:B,Animals!O:O)),0)</f>
        <v>0</v>
      </c>
      <c r="AT77" s="8">
        <f>MROUND(40*Animals!AO77*_xlfn.XLOOKUP(Animals!BA77,Leathers!$A$2:$A$100,Leathers!$B$2:$B$100,0)+(140*_xlfn.XLOOKUP(B77,Animals!B:B,Animals!AO:AO)*2),5)</f>
        <v>250</v>
      </c>
      <c r="AU77" s="8">
        <f>IFERROR(ROUND(SQRT(V77-1)*IF(_xlfn.XLOOKUP(E77,Groups!A:A,Groups!BF:BF)=0,2,1)*IF(_xlfn.XLOOKUP('Base stats'!E77,Groups!A:A,Groups!O:O)=0,1,0.1),1),0)</f>
        <v>0.7</v>
      </c>
      <c r="AV77" s="8">
        <f t="shared" si="36"/>
        <v>0</v>
      </c>
      <c r="AW77" s="8">
        <f t="shared" si="37"/>
        <v>0</v>
      </c>
      <c r="AX77" s="8">
        <f t="shared" si="3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stats'!AY77,IF(OR(_xlfn.XLOOKUP(E77,Groups!A:A,Groups!BD:BD)=1,_xlfn.XLOOKUP(E77,Groups!A:A,Groups!U:U)=2),BA77,IF(_xlfn.XLOOKUP(B77,Animals!B:B,Animals!AO:AO)&gt;4,AVERAGE(BA77,BC77),BC77))))</f>
        <v>No</v>
      </c>
      <c r="BA77" s="8">
        <f t="shared" si="39"/>
        <v>1.0952858120082261</v>
      </c>
      <c r="BB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EXP(1.076*LN(AO77)-4.5397)*IF(_xlfn.XLOOKUP(E77,Groups!A:A,Groups!BC:BC)=1,1.25,IF(_xlfn.XLOOKUP(E77,Groups!A:A,Groups!BD:BD)=1,3.5,2.5))</f>
        <v>75.078981297499624</v>
      </c>
      <c r="BE77" s="8">
        <f>EXP(1.076*LN(AP77)-4.5397)*IF(_xlfn.XLOOKUP(E77,Groups!A:A,Groups!M:M)=1,0.8,IF(_xlfn.XLOOKUP(E77,Groups!A:A,Groups!BC:BC)=1,1.3,3))</f>
        <v>97.731888109270812</v>
      </c>
      <c r="BF77" s="8" t="str">
        <f>IF(W77="No","No",IF(_xlfn.XLOOKUP(E77,Groups!A:A,Groups!U:U)=1,'Base stats'!BG77,IF(OR(_xlfn.XLOOKUP(E77,Groups!A:A,Groups!BD:BD)=1,_xlfn.XLOOKUP(E77,Groups!A:A,Groups!U:U)=2),BD77,BE77))*1.2)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44"/>
        <v>11</v>
      </c>
      <c r="BI77" s="8">
        <f t="shared" si="45"/>
        <v>10</v>
      </c>
      <c r="BJ77" s="8" t="str">
        <f t="shared" si="40"/>
        <v>No</v>
      </c>
      <c r="BK77" s="8">
        <f t="shared" si="41"/>
        <v>9</v>
      </c>
      <c r="BL77" s="8">
        <f t="shared" si="46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N77" s="8" t="str">
        <f>IF(W77="No","No",IF(_xlfn.XLOOKUP(E77,Groups!A:A,Groups!BD:BD)=1,(AL77*5%),EXP(0.7354*LN(C77)^0.4078)*2/IF(_xlfn.XLOOKUP(E77,Groups!A:A,Groups!BL:BL)=1,1000,100)))</f>
        <v>No</v>
      </c>
      <c r="BO77" s="8">
        <f>IF(BG77="No","No",IF(_xlfn.XLOOKUP(E77,Groups!A:A,Groups!BF:BF)=1,(0.0315*C77+2.1825)*2,(0.7354*C77^0.4078)*2)/IF(_xlfn.XLOOKUP(E77,Groups!A:A,Groups!BM:BM)=1,1000,100))</f>
        <v>7.5383018919233477E-2</v>
      </c>
      <c r="BP77" s="8">
        <f t="shared" si="42"/>
        <v>9.9997614552410241E-2</v>
      </c>
      <c r="BQ77" s="8" t="str">
        <f t="shared" si="47"/>
        <v>No</v>
      </c>
      <c r="BR77" s="8" t="str">
        <f t="shared" si="43"/>
        <v>No</v>
      </c>
      <c r="BS77" s="8">
        <f t="shared" si="48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1306</v>
      </c>
      <c r="E78" s="7" t="str">
        <f>Groups!A36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3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3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IFERROR(AVERAGE(_xlfn.XLOOKUP(B78,Animals!B:B,Animals!N:N),_xlfn.XLOOKUP(B78,Animals!B:B,Animals!O:O)),0)</f>
        <v>0</v>
      </c>
      <c r="AT78" s="8">
        <f>MROUND(40*Animals!AO78*_xlfn.XLOOKUP(Animals!BA78,Leathers!$A$2:$A$100,Leathers!$B$2:$B$100,0)+(140*_xlfn.XLOOKUP(B78,Animals!B:B,Animals!AO:AO)*2),5)</f>
        <v>1605</v>
      </c>
      <c r="AU78" s="8">
        <f>IFERROR(ROUND(SQRT(V78-1)*IF(_xlfn.XLOOKUP(E78,Groups!A:A,Groups!BF:BF)=0,2,1)*IF(_xlfn.XLOOKUP('Base stats'!E78,Groups!A:A,Groups!O:O)=0,1,0.1),1),0)</f>
        <v>7</v>
      </c>
      <c r="AV78" s="8">
        <f t="shared" si="36"/>
        <v>0</v>
      </c>
      <c r="AW78" s="8">
        <f t="shared" si="37"/>
        <v>0</v>
      </c>
      <c r="AX78" s="8">
        <f t="shared" si="3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stats'!AY78,IF(OR(_xlfn.XLOOKUP(E78,Groups!A:A,Groups!BD:BD)=1,_xlfn.XLOOKUP(E78,Groups!A:A,Groups!U:U)=2),BA78,IF(_xlfn.XLOOKUP(B78,Animals!B:B,Animals!AO:AO)&gt;4,AVERAGE(BA78,BC78),BC78))))</f>
        <v>No</v>
      </c>
      <c r="BA78" s="8">
        <f t="shared" si="39"/>
        <v>8.9104357162526373</v>
      </c>
      <c r="BB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EXP(1.076*LN(AO78)-4.5397)*IF(_xlfn.XLOOKUP(E78,Groups!A:A,Groups!BC:BC)=1,1.25,IF(_xlfn.XLOOKUP(E78,Groups!A:A,Groups!BD:BD)=1,3.5,2.5))</f>
        <v>1362.8522229463938</v>
      </c>
      <c r="BE78" s="8">
        <f>EXP(1.076*LN(AP78)-4.5397)*IF(_xlfn.XLOOKUP(E78,Groups!A:A,Groups!M:M)=1,0.8,IF(_xlfn.XLOOKUP(E78,Groups!A:A,Groups!BC:BC)=1,1.3,3))</f>
        <v>1484.111499243088</v>
      </c>
      <c r="BF78" s="8" t="str">
        <f>IF(W78="No","No",IF(_xlfn.XLOOKUP(E78,Groups!A:A,Groups!U:U)=1,'Base stats'!BG78,IF(OR(_xlfn.XLOOKUP(E78,Groups!A:A,Groups!BD:BD)=1,_xlfn.XLOOKUP(E78,Groups!A:A,Groups!U:U)=2),BD78,BE78))*1.2)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44"/>
        <v>17</v>
      </c>
      <c r="BI78" s="8">
        <f t="shared" si="45"/>
        <v>12</v>
      </c>
      <c r="BJ78" s="8" t="str">
        <f t="shared" si="40"/>
        <v>No</v>
      </c>
      <c r="BK78" s="8">
        <f t="shared" si="41"/>
        <v>11</v>
      </c>
      <c r="BL78" s="8">
        <f t="shared" si="46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N78" s="8" t="str">
        <f>IF(W78="No","No",IF(_xlfn.XLOOKUP(E78,Groups!A:A,Groups!BD:BD)=1,(AL78*5%),EXP(0.7354*LN(C78)^0.4078)*2/IF(_xlfn.XLOOKUP(E78,Groups!A:A,Groups!BL:BL)=1,1000,100)))</f>
        <v>No</v>
      </c>
      <c r="BO78" s="8">
        <f>IF(BG78="No","No",IF(_xlfn.XLOOKUP(E78,Groups!A:A,Groups!BF:BF)=1,(0.0315*C78+2.1825)*2,(0.7354*C78^0.4078)*2)/IF(_xlfn.XLOOKUP(E78,Groups!A:A,Groups!BM:BM)=1,1000,100))</f>
        <v>0.88470000000000004</v>
      </c>
      <c r="BP78" s="8">
        <f t="shared" si="42"/>
        <v>0.22834576481801233</v>
      </c>
      <c r="BQ78" s="8" t="str">
        <f t="shared" si="47"/>
        <v>No</v>
      </c>
      <c r="BR78" s="8" t="str">
        <f t="shared" si="43"/>
        <v>No</v>
      </c>
      <c r="BS78" s="8">
        <f t="shared" si="48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3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3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IFERROR(AVERAGE(_xlfn.XLOOKUP(B79,Animals!B:B,Animals!N:N),_xlfn.XLOOKUP(B79,Animals!B:B,Animals!O:O)),0)</f>
        <v>0</v>
      </c>
      <c r="AT79" s="8">
        <f>MROUND(40*Animals!AO79*_xlfn.XLOOKUP(Animals!BA79,Leathers!$A$2:$A$100,Leathers!$B$2:$B$100,0)+(140*_xlfn.XLOOKUP(B79,Animals!B:B,Animals!AO:AO)*2),5)</f>
        <v>2200</v>
      </c>
      <c r="AU79" s="8">
        <f>IFERROR(ROUND(SQRT(V79-1)*IF(_xlfn.XLOOKUP(E79,Groups!A:A,Groups!BF:BF)=0,2,1)*IF(_xlfn.XLOOKUP('Base stats'!E79,Groups!A:A,Groups!O:O)=0,1,0.1),1),0)</f>
        <v>0</v>
      </c>
      <c r="AV79" s="8">
        <f t="shared" si="36"/>
        <v>0</v>
      </c>
      <c r="AW79" s="8">
        <f t="shared" si="37"/>
        <v>11.8</v>
      </c>
      <c r="AX79" s="8">
        <f t="shared" si="3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stats'!AY79,IF(OR(_xlfn.XLOOKUP(E79,Groups!A:A,Groups!BD:BD)=1,_xlfn.XLOOKUP(E79,Groups!A:A,Groups!U:U)=2),BA79,IF(_xlfn.XLOOKUP(B79,Animals!B:B,Animals!AO:AO)&gt;4,AVERAGE(BA79,BC79),BC79))))</f>
        <v>36.145948551119211</v>
      </c>
      <c r="BA79" s="8">
        <f t="shared" si="39"/>
        <v>27.670187995209911</v>
      </c>
      <c r="BB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EXP(1.076*LN(AO79)-4.5397)*IF(_xlfn.XLOOKUP(E79,Groups!A:A,Groups!BC:BC)=1,1.25,IF(_xlfn.XLOOKUP(E79,Groups!A:A,Groups!BD:BD)=1,3.5,2.5))</f>
        <v>2670.7220547406591</v>
      </c>
      <c r="BE79" s="8">
        <f>EXP(1.076*LN(AP79)-4.5397)*IF(_xlfn.XLOOKUP(E79,Groups!A:A,Groups!M:M)=1,0.8,IF(_xlfn.XLOOKUP(E79,Groups!A:A,Groups!BC:BC)=1,1.3,3))</f>
        <v>2317.2898443594122</v>
      </c>
      <c r="BF79" s="8">
        <f>IF(W79="No","No",IF(_xlfn.XLOOKUP(E79,Groups!A:A,Groups!U:U)=1,'Base stats'!BG79,IF(OR(_xlfn.XLOOKUP(E79,Groups!A:A,Groups!BD:BD)=1,_xlfn.XLOOKUP(E79,Groups!A:A,Groups!U:U)=2),BD79,BE79))*1.2)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44"/>
        <v>13</v>
      </c>
      <c r="BI79" s="8">
        <f t="shared" si="45"/>
        <v>11</v>
      </c>
      <c r="BJ79" s="8">
        <f t="shared" si="40"/>
        <v>12</v>
      </c>
      <c r="BK79" s="8" t="str">
        <f t="shared" si="41"/>
        <v>No</v>
      </c>
      <c r="BL79" s="8">
        <f t="shared" si="46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N79" s="8">
        <f>IF(W79="No","No",IF(_xlfn.XLOOKUP(E79,Groups!A:A,Groups!BD:BD)=1,(AL79*5%),EXP(0.7354*LN(C79)^0.4078)*2/IF(_xlfn.XLOOKUP(E79,Groups!A:A,Groups!BL:BL)=1,1000,100)))</f>
        <v>0.11822361841876085</v>
      </c>
      <c r="BO79" s="8" t="str">
        <f>IF(BG79="No","No",IF(_xlfn.XLOOKUP(E79,Groups!A:A,Groups!BF:BF)=1,(0.0315*C79+2.1825)*2,(0.7354*C79^0.4078)*2)/IF(_xlfn.XLOOKUP(E79,Groups!A:A,Groups!BM:BM)=1,1000,100))</f>
        <v>No</v>
      </c>
      <c r="BP79" s="8">
        <f t="shared" si="42"/>
        <v>0.16847574944282484</v>
      </c>
      <c r="BQ79" s="8">
        <f t="shared" si="47"/>
        <v>2.5902091152033417</v>
      </c>
      <c r="BR79" s="8">
        <f t="shared" si="43"/>
        <v>23521.085299399183</v>
      </c>
      <c r="BS79" s="8" t="str">
        <f t="shared" si="48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Groups!A57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3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3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IFERROR(AVERAGE(_xlfn.XLOOKUP(B80,Animals!B:B,Animals!N:N),_xlfn.XLOOKUP(B80,Animals!B:B,Animals!O:O)),0)</f>
        <v>1.2000000000000002</v>
      </c>
      <c r="AT80" s="8">
        <f>MROUND(40*Animals!AO80*_xlfn.XLOOKUP(Animals!BA80,Leathers!$A$2:$A$100,Leathers!$B$2:$B$100,0)+(140*_xlfn.XLOOKUP(B80,Animals!B:B,Animals!AO:AO)*2),5)</f>
        <v>6480</v>
      </c>
      <c r="AU80" s="8">
        <f>IFERROR(ROUND(SQRT(V80-1)*IF(_xlfn.XLOOKUP(E80,Groups!A:A,Groups!BF:BF)=0,2,1)*IF(_xlfn.XLOOKUP('Base stats'!E80,Groups!A:A,Groups!O:O)=0,1,0.1),1),0)</f>
        <v>0</v>
      </c>
      <c r="AV80" s="8">
        <f t="shared" si="36"/>
        <v>0</v>
      </c>
      <c r="AW80" s="8">
        <f t="shared" si="37"/>
        <v>8.9</v>
      </c>
      <c r="AX80" s="8">
        <f t="shared" si="3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stats'!AY80,IF(OR(_xlfn.XLOOKUP(E80,Groups!A:A,Groups!BD:BD)=1,_xlfn.XLOOKUP(E80,Groups!A:A,Groups!U:U)=2),BA80,IF(_xlfn.XLOOKUP(B80,Animals!B:B,Animals!AO:AO)&gt;4,AVERAGE(BA80,BC80),BC80))))</f>
        <v>31.080642587354337</v>
      </c>
      <c r="BA80" s="8">
        <f t="shared" si="39"/>
        <v>31.080642587354337</v>
      </c>
      <c r="BB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EXP(1.076*LN(AO80)-4.5397)*IF(_xlfn.XLOOKUP(E80,Groups!A:A,Groups!BC:BC)=1,1.25,IF(_xlfn.XLOOKUP(E80,Groups!A:A,Groups!BD:BD)=1,3.5,2.5))</f>
        <v>3072.3907043748436</v>
      </c>
      <c r="BE80" s="8">
        <f>EXP(1.076*LN(AP80)-4.5397)*IF(_xlfn.XLOOKUP(E80,Groups!A:A,Groups!M:M)=1,0.8,IF(_xlfn.XLOOKUP(E80,Groups!A:A,Groups!BC:BC)=1,1.3,3))</f>
        <v>2642.9095557450332</v>
      </c>
      <c r="BF80" s="8">
        <f>IF(W80="No","No",IF(_xlfn.XLOOKUP(E80,Groups!A:A,Groups!U:U)=1,'Base stats'!BG80,IF(OR(_xlfn.XLOOKUP(E80,Groups!A:A,Groups!BD:BD)=1,_xlfn.XLOOKUP(E80,Groups!A:A,Groups!U:U)=2),BD80,BE80))*1.2)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44"/>
        <v>14</v>
      </c>
      <c r="BI80" s="8">
        <f t="shared" si="45"/>
        <v>11</v>
      </c>
      <c r="BJ80" s="8">
        <f t="shared" si="40"/>
        <v>15</v>
      </c>
      <c r="BK80" s="8" t="str">
        <f t="shared" si="41"/>
        <v>No</v>
      </c>
      <c r="BL80" s="8">
        <f t="shared" si="46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N80" s="8">
        <f>IF(W80="No","No",IF(_xlfn.XLOOKUP(E80,Groups!A:A,Groups!BD:BD)=1,(AL80*5%),EXP(0.7354*LN(C80)^0.4078)*2/IF(_xlfn.XLOOKUP(E80,Groups!A:A,Groups!BL:BL)=1,1000,100)))</f>
        <v>1.1974334259305537E-2</v>
      </c>
      <c r="BO80" s="8" t="str">
        <f>IF(BG80="No","No",IF(_xlfn.XLOOKUP(E80,Groups!A:A,Groups!BF:BF)=1,(0.0315*C80+2.1825)*2,(0.7354*C80^0.4078)*2)/IF(_xlfn.XLOOKUP(E80,Groups!A:A,Groups!BM:BM)=1,1000,100))</f>
        <v>No</v>
      </c>
      <c r="BP80" s="8">
        <f t="shared" si="42"/>
        <v>0.17533545041371795</v>
      </c>
      <c r="BQ80" s="8">
        <f t="shared" si="47"/>
        <v>2.5521275047954406</v>
      </c>
      <c r="BR80" s="8">
        <f t="shared" si="43"/>
        <v>307897.60544596956</v>
      </c>
      <c r="BS80" s="8" t="str">
        <f t="shared" si="48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34"/>
        <v>3361.6982414074623</v>
      </c>
      <c r="AM81" s="8">
        <f>IFERROR(C81*_xlfn.XLOOKUP(E81,Groups!A:A,Groups!K:K),0.106*C81^0.94)</f>
        <v>1.76</v>
      </c>
      <c r="AN81" s="8">
        <f>AM81*10000/(_xlfn.XLOOKUP(E81,Groups!A:A,Groups!J:J)*AL81)</f>
        <v>5.4535928024454705</v>
      </c>
      <c r="AO81" s="8">
        <f t="shared" si="35"/>
        <v>229.52241957602808</v>
      </c>
      <c r="AP81" s="8">
        <f>IF(_xlfn.XLOOKUP(E81,Groups!A:A,Groups!M:M)=1,EXP(0.7444*LN('Base stats'!C81)+6.5696),EXP(0.7927*LN('Base stats'!C81)+4.28))</f>
        <v>279.03962943422897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R81" s="8">
        <f>IF(_xlfn.XLOOKUP(E81,Groups!A:A,Groups!U:U)=3,AP81,IF(_xlfn.XLOOKUP(E81,Groups!A:A,Groups!U:U)=2,AO81,AQ81))</f>
        <v>243.92832248984715</v>
      </c>
      <c r="AS81" s="46">
        <f>IFERROR(AVERAGE(_xlfn.XLOOKUP(B81,Animals!B:B,Animals!N:N),_xlfn.XLOOKUP(B81,Animals!B:B,Animals!O:O)),0)</f>
        <v>0.25</v>
      </c>
      <c r="AT81" s="8">
        <f>MROUND(40*Animals!AO81*_xlfn.XLOOKUP(Animals!BA81,Leathers!$A$2:$A$100,Leathers!$B$2:$B$100,0)+(140*_xlfn.XLOOKUP(B81,Animals!B:B,Animals!AO:AO)*2),5)</f>
        <v>120</v>
      </c>
      <c r="AU81" s="8">
        <f>IFERROR(ROUND(SQRT(V81-1)*IF(_xlfn.XLOOKUP(E81,Groups!A:A,Groups!BF:BF)=0,2,1)*IF(_xlfn.XLOOKUP('Base stats'!E81,Groups!A:A,Groups!O:O)=0,1,0.1),1),0)</f>
        <v>1.4</v>
      </c>
      <c r="AV81" s="8">
        <f t="shared" si="36"/>
        <v>1</v>
      </c>
      <c r="AW81" s="8">
        <f t="shared" si="37"/>
        <v>0</v>
      </c>
      <c r="AX81" s="8">
        <f t="shared" si="38"/>
        <v>1.1000000000000001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0.4592721757129784</v>
      </c>
      <c r="AZ81" s="8" t="str">
        <f>IF(W81="No","No",IF(_xlfn.XLOOKUP(E81,Groups!A:A,Groups!U:U)=1,'Base stats'!AY81,IF(OR(_xlfn.XLOOKUP(E81,Groups!A:A,Groups!BD:BD)=1,_xlfn.XLOOKUP(E81,Groups!A:A,Groups!U:U)=2),BA81,IF(_xlfn.XLOOKUP(B81,Animals!B:B,Animals!AO:AO)&gt;4,AVERAGE(BA81,BC81),BC81))))</f>
        <v>No</v>
      </c>
      <c r="BA81" s="8">
        <f t="shared" si="39"/>
        <v>0.16163204285849328</v>
      </c>
      <c r="BB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C81" s="8">
        <f>(0.048*C81^1.01)/IF(_xlfn.XLOOKUP(E81,Groups!A:A,Groups!M:M)=1,0.25,0.8)*C81^-0.25</f>
        <v>0.21919310785743251</v>
      </c>
      <c r="BD81" s="8">
        <f>EXP(1.076*LN(AO81)-4.5397)*IF(_xlfn.XLOOKUP(E81,Groups!A:A,Groups!BC:BC)=1,1.25,IF(_xlfn.XLOOKUP(E81,Groups!A:A,Groups!BD:BD)=1,3.5,2.5))</f>
        <v>9.260217158407297</v>
      </c>
      <c r="BE81" s="8">
        <f>EXP(1.076*LN(AP81)-4.5397)*IF(_xlfn.XLOOKUP(E81,Groups!A:A,Groups!M:M)=1,0.8,IF(_xlfn.XLOOKUP(E81,Groups!A:A,Groups!BC:BC)=1,1.3,3))</f>
        <v>13.711693256346145</v>
      </c>
      <c r="BF81" s="8" t="str">
        <f>IF(W81="No","No",IF(_xlfn.XLOOKUP(E81,Groups!A:A,Groups!U:U)=1,'Base stats'!BG81,IF(OR(_xlfn.XLOOKUP(E81,Groups!A:A,Groups!BD:BD)=1,_xlfn.XLOOKUP(E81,Groups!A:A,Groups!U:U)=2),BD81,BE81))*1.2)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14.830601542844571</v>
      </c>
      <c r="BH81" s="8">
        <f t="shared" si="44"/>
        <v>10</v>
      </c>
      <c r="BI81" s="8">
        <f t="shared" si="45"/>
        <v>10</v>
      </c>
      <c r="BJ81" s="8" t="str">
        <f t="shared" si="40"/>
        <v>No</v>
      </c>
      <c r="BK81" s="8">
        <f t="shared" si="41"/>
        <v>8</v>
      </c>
      <c r="BL81" s="8">
        <f t="shared" si="46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N81" s="8" t="str">
        <f>IF(W81="No","No",IF(_xlfn.XLOOKUP(E81,Groups!A:A,Groups!BD:BD)=1,(AL81*5%),EXP(0.7354*LN(C81)^0.4078)*2/IF(_xlfn.XLOOKUP(E81,Groups!A:A,Groups!BL:BL)=1,1000,100)))</f>
        <v>No</v>
      </c>
      <c r="BO81" s="8">
        <f>IF(BG81="No","No",IF(_xlfn.XLOOKUP(E81,Groups!A:A,Groups!BF:BF)=1,(0.0315*C81+2.1825)*2,(0.7354*C81^0.4078)*2)/IF(_xlfn.XLOOKUP(E81,Groups!A:A,Groups!BM:BM)=1,1000,100))</f>
        <v>2.9476337872033787E-2</v>
      </c>
      <c r="BP81" s="8">
        <f t="shared" si="42"/>
        <v>5.5092494884551362E-2</v>
      </c>
      <c r="BQ81" s="8" t="str">
        <f t="shared" si="47"/>
        <v>No</v>
      </c>
      <c r="BR81" s="8" t="str">
        <f t="shared" si="43"/>
        <v>No</v>
      </c>
      <c r="BS81" s="8">
        <f t="shared" si="48"/>
        <v>503.1358239693464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Groups!A33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3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3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IFERROR(AVERAGE(_xlfn.XLOOKUP(B82,Animals!B:B,Animals!N:N),_xlfn.XLOOKUP(B82,Animals!B:B,Animals!O:O)),0)</f>
        <v>0</v>
      </c>
      <c r="AT82" s="8">
        <f>MROUND(40*Animals!AO82*_xlfn.XLOOKUP(Animals!BA82,Leathers!$A$2:$A$100,Leathers!$B$2:$B$100,0)+(140*_xlfn.XLOOKUP(B82,Animals!B:B,Animals!AO:AO)*2),5)</f>
        <v>195</v>
      </c>
      <c r="AU82" s="8">
        <f>IFERROR(ROUND(SQRT(V82-1)*IF(_xlfn.XLOOKUP(E82,Groups!A:A,Groups!BF:BF)=0,2,1)*IF(_xlfn.XLOOKUP('Base stats'!E82,Groups!A:A,Groups!O:O)=0,1,0.1),1),0)</f>
        <v>2.7</v>
      </c>
      <c r="AV82" s="8">
        <f t="shared" si="36"/>
        <v>1.7</v>
      </c>
      <c r="AW82" s="8">
        <f t="shared" si="37"/>
        <v>0</v>
      </c>
      <c r="AX82" s="8">
        <f t="shared" si="3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stats'!AY82,IF(OR(_xlfn.XLOOKUP(E82,Groups!A:A,Groups!BD:BD)=1,_xlfn.XLOOKUP(E82,Groups!A:A,Groups!U:U)=2),BA82,IF(_xlfn.XLOOKUP(B82,Animals!B:B,Animals!AO:AO)&gt;4,AVERAGE(BA82,BC82),BC82))))</f>
        <v>No</v>
      </c>
      <c r="BA82" s="8">
        <f t="shared" si="39"/>
        <v>0.4627056781836914</v>
      </c>
      <c r="BB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EXP(1.076*LN(AO82)-4.5397)*IF(_xlfn.XLOOKUP(E82,Groups!A:A,Groups!BC:BC)=1,1.25,IF(_xlfn.XLOOKUP(E82,Groups!A:A,Groups!BD:BD)=1,3.5,2.5))</f>
        <v>29.256100688292047</v>
      </c>
      <c r="BE82" s="8">
        <f>EXP(1.076*LN(AP82)-4.5397)*IF(_xlfn.XLOOKUP(E82,Groups!A:A,Groups!M:M)=1,0.8,IF(_xlfn.XLOOKUP(E82,Groups!A:A,Groups!BC:BC)=1,1.3,3))</f>
        <v>40.358137574306554</v>
      </c>
      <c r="BF82" s="8" t="str">
        <f>IF(W82="No","No",IF(_xlfn.XLOOKUP(E82,Groups!A:A,Groups!U:U)=1,'Base stats'!BG82,IF(OR(_xlfn.XLOOKUP(E82,Groups!A:A,Groups!BD:BD)=1,_xlfn.XLOOKUP(E82,Groups!A:A,Groups!U:U)=2),BD82,BE82))*1.2)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44"/>
        <v>11</v>
      </c>
      <c r="BI82" s="8">
        <f t="shared" si="45"/>
        <v>10</v>
      </c>
      <c r="BJ82" s="8" t="str">
        <f t="shared" si="40"/>
        <v>No</v>
      </c>
      <c r="BK82" s="8">
        <f t="shared" si="41"/>
        <v>9</v>
      </c>
      <c r="BL82" s="8">
        <f t="shared" si="46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N82" s="8" t="str">
        <f>IF(W82="No","No",IF(_xlfn.XLOOKUP(E82,Groups!A:A,Groups!BD:BD)=1,(AL82*5%),EXP(0.7354*LN(C82)^0.4078)*2/IF(_xlfn.XLOOKUP(E82,Groups!A:A,Groups!BL:BL)=1,1000,100)))</f>
        <v>No</v>
      </c>
      <c r="BO82" s="8">
        <f>IF(BG82="No","No",IF(_xlfn.XLOOKUP(E82,Groups!A:A,Groups!BF:BF)=1,(0.0315*C82+2.1825)*2,(0.7354*C82^0.4078)*2)/IF(_xlfn.XLOOKUP(E82,Groups!A:A,Groups!BM:BM)=1,1000,100))</f>
        <v>4.9388943457744701E-2</v>
      </c>
      <c r="BP82" s="8">
        <f t="shared" si="42"/>
        <v>7.6454131905750483E-2</v>
      </c>
      <c r="BQ82" s="8">
        <f t="shared" si="47"/>
        <v>817.14923925909534</v>
      </c>
      <c r="BR82" s="8" t="str">
        <f t="shared" si="43"/>
        <v>No</v>
      </c>
      <c r="BS82" s="8">
        <f t="shared" si="48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Groups!A31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3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3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IFERROR(AVERAGE(_xlfn.XLOOKUP(B83,Animals!B:B,Animals!N:N),_xlfn.XLOOKUP(B83,Animals!B:B,Animals!O:O)),0)</f>
        <v>0</v>
      </c>
      <c r="AT83" s="8">
        <f>MROUND(40*Animals!AO83*_xlfn.XLOOKUP(Animals!BA83,Leathers!$A$2:$A$100,Leathers!$B$2:$B$100,0)+(140*_xlfn.XLOOKUP(B83,Animals!B:B,Animals!AO:AO)*2),5)</f>
        <v>75</v>
      </c>
      <c r="AU83" s="8">
        <f>IFERROR(ROUND(SQRT(V83-1)*IF(_xlfn.XLOOKUP(E83,Groups!A:A,Groups!BF:BF)=0,2,1)*IF(_xlfn.XLOOKUP('Base stats'!E83,Groups!A:A,Groups!O:O)=0,1,0.1),1),0)</f>
        <v>0</v>
      </c>
      <c r="AV83" s="8">
        <f t="shared" si="36"/>
        <v>0</v>
      </c>
      <c r="AW83" s="8">
        <f t="shared" si="37"/>
        <v>0</v>
      </c>
      <c r="AX83" s="8">
        <f t="shared" si="3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stats'!AY83,IF(OR(_xlfn.XLOOKUP(E83,Groups!A:A,Groups!BD:BD)=1,_xlfn.XLOOKUP(E83,Groups!A:A,Groups!U:U)=2),BA83,IF(_xlfn.XLOOKUP(B83,Animals!B:B,Animals!AO:AO)&gt;4,AVERAGE(BA83,BC83),BC83))))</f>
        <v>No</v>
      </c>
      <c r="BA83" s="8">
        <f t="shared" si="39"/>
        <v>3.7399853403098704E-2</v>
      </c>
      <c r="BB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EXP(1.076*LN(AO83)-4.5397)*IF(_xlfn.XLOOKUP(E83,Groups!A:A,Groups!BC:BC)=1,1.25,IF(_xlfn.XLOOKUP(E83,Groups!A:A,Groups!BD:BD)=1,3.5,2.5))</f>
        <v>1.8680032839406988</v>
      </c>
      <c r="BE83" s="8">
        <f>EXP(1.076*LN(AP83)-4.5397)*IF(_xlfn.XLOOKUP(E83,Groups!A:A,Groups!M:M)=1,0.8,IF(_xlfn.XLOOKUP(E83,Groups!A:A,Groups!BC:BC)=1,1.3,3))</f>
        <v>3.0524388037913885</v>
      </c>
      <c r="BF83" s="8" t="str">
        <f>IF(W83="No","No",IF(_xlfn.XLOOKUP(E83,Groups!A:A,Groups!U:U)=1,'Base stats'!BG83,IF(OR(_xlfn.XLOOKUP(E83,Groups!A:A,Groups!BD:BD)=1,_xlfn.XLOOKUP(E83,Groups!A:A,Groups!U:U)=2),BD83,BE83))*1.2)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44"/>
        <v>9</v>
      </c>
      <c r="BI83" s="8">
        <f t="shared" si="45"/>
        <v>9</v>
      </c>
      <c r="BJ83" s="8" t="str">
        <f t="shared" si="40"/>
        <v>No</v>
      </c>
      <c r="BK83" s="8">
        <f t="shared" si="41"/>
        <v>6</v>
      </c>
      <c r="BL83" s="8">
        <f t="shared" si="46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N83" s="8" t="str">
        <f>IF(W83="No","No",IF(_xlfn.XLOOKUP(E83,Groups!A:A,Groups!BD:BD)=1,(AL83*5%),EXP(0.7354*LN(C83)^0.4078)*2/IF(_xlfn.XLOOKUP(E83,Groups!A:A,Groups!BL:BL)=1,1000,100)))</f>
        <v>No</v>
      </c>
      <c r="BO83" s="8">
        <f>IF(BG83="No","No",IF(_xlfn.XLOOKUP(E83,Groups!A:A,Groups!BF:BF)=1,(0.0315*C83+2.1825)*2,(0.7354*C83^0.4078)*2)/IF(_xlfn.XLOOKUP(E83,Groups!A:A,Groups!BM:BM)=1,1000,100))</f>
        <v>1.4372579272989176E-2</v>
      </c>
      <c r="BP83" s="8">
        <f t="shared" si="42"/>
        <v>3.491837114322812E-2</v>
      </c>
      <c r="BQ83" s="8">
        <f t="shared" si="47"/>
        <v>212.37933329948154</v>
      </c>
      <c r="BR83" s="8" t="str">
        <f t="shared" si="43"/>
        <v>No</v>
      </c>
      <c r="BS83" s="8">
        <f t="shared" si="48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Groups!A34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3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3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IFERROR(AVERAGE(_xlfn.XLOOKUP(B84,Animals!B:B,Animals!N:N),_xlfn.XLOOKUP(B84,Animals!B:B,Animals!O:O)),0)</f>
        <v>0</v>
      </c>
      <c r="AT84" s="8">
        <f>MROUND(40*Animals!AO84*_xlfn.XLOOKUP(Animals!BA84,Leathers!$A$2:$A$100,Leathers!$B$2:$B$100,0)+(140*_xlfn.XLOOKUP(B84,Animals!B:B,Animals!AO:AO)*2),5)</f>
        <v>160</v>
      </c>
      <c r="AU84" s="8">
        <f>IFERROR(ROUND(SQRT(V84-1)*IF(_xlfn.XLOOKUP(E84,Groups!A:A,Groups!BF:BF)=0,2,1)*IF(_xlfn.XLOOKUP('Base stats'!E84,Groups!A:A,Groups!O:O)=0,1,0.1),1),0)</f>
        <v>2</v>
      </c>
      <c r="AV84" s="8">
        <f t="shared" si="36"/>
        <v>1.6</v>
      </c>
      <c r="AW84" s="8">
        <f t="shared" si="37"/>
        <v>0</v>
      </c>
      <c r="AX84" s="8">
        <f t="shared" si="3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stats'!AY84,IF(OR(_xlfn.XLOOKUP(E84,Groups!A:A,Groups!BD:BD)=1,_xlfn.XLOOKUP(E84,Groups!A:A,Groups!U:U)=2),BA84,IF(_xlfn.XLOOKUP(B84,Animals!B:B,Animals!AO:AO)&gt;4,AVERAGE(BA84,BC84),BC84))))</f>
        <v>No</v>
      </c>
      <c r="BA84" s="8">
        <f t="shared" si="39"/>
        <v>0.27114359796251353</v>
      </c>
      <c r="BB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EXP(1.076*LN(AO84)-4.5397)*IF(_xlfn.XLOOKUP(E84,Groups!A:A,Groups!BC:BC)=1,1.25,IF(_xlfn.XLOOKUP(E84,Groups!A:A,Groups!BD:BD)=1,3.5,2.5))</f>
        <v>20.237999913081378</v>
      </c>
      <c r="BE84" s="8">
        <f>EXP(1.076*LN(AP84)-4.5397)*IF(_xlfn.XLOOKUP(E84,Groups!A:A,Groups!M:M)=1,0.8,IF(_xlfn.XLOOKUP(E84,Groups!A:A,Groups!BC:BC)=1,1.3,3))</f>
        <v>28.55846905043661</v>
      </c>
      <c r="BF84" s="8" t="str">
        <f>IF(W84="No","No",IF(_xlfn.XLOOKUP(E84,Groups!A:A,Groups!U:U)=1,'Base stats'!BG84,IF(OR(_xlfn.XLOOKUP(E84,Groups!A:A,Groups!BD:BD)=1,_xlfn.XLOOKUP(E84,Groups!A:A,Groups!U:U)=2),BD84,BE84))*1.2)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44"/>
        <v>12</v>
      </c>
      <c r="BI84" s="8">
        <f t="shared" si="45"/>
        <v>10</v>
      </c>
      <c r="BJ84" s="8" t="str">
        <f t="shared" si="40"/>
        <v>No</v>
      </c>
      <c r="BK84" s="8">
        <f t="shared" si="41"/>
        <v>8</v>
      </c>
      <c r="BL84" s="8">
        <f t="shared" si="46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N84" s="8" t="str">
        <f>IF(W84="No","No",IF(_xlfn.XLOOKUP(E84,Groups!A:A,Groups!BD:BD)=1,(AL84*5%),EXP(0.7354*LN(C84)^0.4078)*2/IF(_xlfn.XLOOKUP(E84,Groups!A:A,Groups!BL:BL)=1,1000,100)))</f>
        <v>No</v>
      </c>
      <c r="BO84" s="8">
        <f>IF(BG84="No","No",IF(_xlfn.XLOOKUP(E84,Groups!A:A,Groups!BF:BF)=1,(0.0315*C84+2.1825)*2,(0.7354*C84^0.4078)*2)/IF(_xlfn.XLOOKUP(E84,Groups!A:A,Groups!BM:BM)=1,1000,100))</f>
        <v>4.1861975603950628E-2</v>
      </c>
      <c r="BP84" s="8">
        <f t="shared" si="42"/>
        <v>6.8835334564904344E-2</v>
      </c>
      <c r="BQ84" s="8">
        <f t="shared" si="47"/>
        <v>682.20547736742435</v>
      </c>
      <c r="BR84" s="8" t="str">
        <f t="shared" si="43"/>
        <v>No</v>
      </c>
      <c r="BS84" s="8">
        <f t="shared" si="48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Groups!A32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3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3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IFERROR(AVERAGE(_xlfn.XLOOKUP(B85,Animals!B:B,Animals!N:N),_xlfn.XLOOKUP(B85,Animals!B:B,Animals!O:O)),0)</f>
        <v>0</v>
      </c>
      <c r="AT85" s="8">
        <f>MROUND(40*Animals!AO85*_xlfn.XLOOKUP(Animals!BA85,Leathers!$A$2:$A$100,Leathers!$B$2:$B$100,0)+(140*_xlfn.XLOOKUP(B85,Animals!B:B,Animals!AO:AO)*2),5)</f>
        <v>160</v>
      </c>
      <c r="AU85" s="8">
        <f>IFERROR(ROUND(SQRT(V85-1)*IF(_xlfn.XLOOKUP(E85,Groups!A:A,Groups!BF:BF)=0,2,1)*IF(_xlfn.XLOOKUP('Base stats'!E85,Groups!A:A,Groups!O:O)=0,1,0.1),1),0)</f>
        <v>1.3</v>
      </c>
      <c r="AV85" s="8">
        <f t="shared" si="36"/>
        <v>0</v>
      </c>
      <c r="AW85" s="8">
        <f t="shared" si="37"/>
        <v>0</v>
      </c>
      <c r="AX85" s="8">
        <f t="shared" si="3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stats'!AY85,IF(OR(_xlfn.XLOOKUP(E85,Groups!A:A,Groups!BD:BD)=1,_xlfn.XLOOKUP(E85,Groups!A:A,Groups!U:U)=2),BA85,IF(_xlfn.XLOOKUP(B85,Animals!B:B,Animals!AO:AO)&gt;4,AVERAGE(BA85,BC85),BC85))))</f>
        <v>No</v>
      </c>
      <c r="BA85" s="8">
        <f t="shared" si="39"/>
        <v>0.28752797616753567</v>
      </c>
      <c r="BB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EXP(1.076*LN(AO85)-4.5397)*IF(_xlfn.XLOOKUP(E85,Groups!A:A,Groups!BC:BC)=1,1.25,IF(_xlfn.XLOOKUP(E85,Groups!A:A,Groups!BD:BD)=1,3.5,2.5))</f>
        <v>17.386929894519422</v>
      </c>
      <c r="BE85" s="8">
        <f>EXP(1.076*LN(AP85)-4.5397)*IF(_xlfn.XLOOKUP(E85,Groups!A:A,Groups!M:M)=1,0.8,IF(_xlfn.XLOOKUP(E85,Groups!A:A,Groups!BC:BC)=1,1.3,3))</f>
        <v>24.765654586765486</v>
      </c>
      <c r="BF85" s="8" t="str">
        <f>IF(W85="No","No",IF(_xlfn.XLOOKUP(E85,Groups!A:A,Groups!U:U)=1,'Base stats'!BG85,IF(OR(_xlfn.XLOOKUP(E85,Groups!A:A,Groups!BD:BD)=1,_xlfn.XLOOKUP(E85,Groups!A:A,Groups!U:U)=2),BD85,BE85))*1.2)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44"/>
        <v>10</v>
      </c>
      <c r="BI85" s="8">
        <f t="shared" si="45"/>
        <v>10</v>
      </c>
      <c r="BJ85" s="8" t="str">
        <f t="shared" si="40"/>
        <v>No</v>
      </c>
      <c r="BK85" s="8">
        <f t="shared" si="41"/>
        <v>8</v>
      </c>
      <c r="BL85" s="8">
        <f t="shared" si="46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N85" s="8" t="str">
        <f>IF(W85="No","No",IF(_xlfn.XLOOKUP(E85,Groups!A:A,Groups!BD:BD)=1,(AL85*5%),EXP(0.7354*LN(C85)^0.4078)*2/IF(_xlfn.XLOOKUP(E85,Groups!A:A,Groups!BL:BL)=1,1000,100)))</f>
        <v>No</v>
      </c>
      <c r="BO85" s="8">
        <f>IF(BG85="No","No",IF(_xlfn.XLOOKUP(E85,Groups!A:A,Groups!BF:BF)=1,(0.0315*C85+2.1825)*2,(0.7354*C85^0.4078)*2)/IF(_xlfn.XLOOKUP(E85,Groups!A:A,Groups!BM:BM)=1,1000,100))</f>
        <v>3.9104969198687008E-2</v>
      </c>
      <c r="BP85" s="8">
        <f t="shared" si="42"/>
        <v>6.5921524279310459E-2</v>
      </c>
      <c r="BQ85" s="8">
        <f t="shared" si="47"/>
        <v>633.31221310863532</v>
      </c>
      <c r="BR85" s="8" t="str">
        <f t="shared" si="43"/>
        <v>No</v>
      </c>
      <c r="BS85" s="8">
        <f t="shared" si="48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Groups!A39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34"/>
        <v>32452.64560229296</v>
      </c>
      <c r="AM86" s="8">
        <f>IFERROR(C86*_xlfn.XLOOKUP(E86,Groups!A:A,Groups!K:K),0.106*C86^0.94)</f>
        <v>22.454999999999998</v>
      </c>
      <c r="AN86" s="8">
        <f>AM86*10000/(_xlfn.XLOOKUP(E86,Groups!A:A,Groups!J:J)*AL86)</f>
        <v>6.34799322177206</v>
      </c>
      <c r="AO86" s="8">
        <f t="shared" si="35"/>
        <v>4369.8792317253037</v>
      </c>
      <c r="AP86" s="8">
        <f>IF(_xlfn.XLOOKUP(E86,Groups!A:A,Groups!M:M)=1,EXP(0.7444*LN('Base stats'!C86)+6.5696),EXP(0.7927*LN('Base stats'!C86)+4.28))</f>
        <v>4431.3382067712973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R86" s="8">
        <f>IF(_xlfn.XLOOKUP(E86,Groups!A:A,Groups!U:U)=3,AP86,IF(_xlfn.XLOOKUP(E86,Groups!A:A,Groups!U:U)=2,AO86,AQ86))</f>
        <v>3321.4193930594188</v>
      </c>
      <c r="AS86" s="46">
        <f>IFERROR(AVERAGE(_xlfn.XLOOKUP(B86,Animals!B:B,Animals!N:N),_xlfn.XLOOKUP(B86,Animals!B:B,Animals!O:O)),0)</f>
        <v>0</v>
      </c>
      <c r="AT86" s="8">
        <f>MROUND(40*Animals!AO86*_xlfn.XLOOKUP(Animals!BA86,Leathers!$A$2:$A$100,Leathers!$B$2:$B$100,0)+(140*_xlfn.XLOOKUP(B86,Animals!B:B,Animals!AO:AO)*2),5)</f>
        <v>750</v>
      </c>
      <c r="AU86" s="8">
        <f>IFERROR(ROUND(SQRT(V86-1)*IF(_xlfn.XLOOKUP(E86,Groups!A:A,Groups!BF:BF)=0,2,1)*IF(_xlfn.XLOOKUP('Base stats'!E86,Groups!A:A,Groups!O:O)=0,1,0.1),1),0)</f>
        <v>4.0999999999999996</v>
      </c>
      <c r="AV86" s="8">
        <f t="shared" si="36"/>
        <v>0</v>
      </c>
      <c r="AW86" s="8">
        <f t="shared" si="37"/>
        <v>0</v>
      </c>
      <c r="AX86" s="8">
        <f t="shared" si="38"/>
        <v>5.0999999999999996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4.0867552418265269</v>
      </c>
      <c r="AZ86" s="8" t="str">
        <f>IF(W86="No","No",IF(_xlfn.XLOOKUP(E86,Groups!A:A,Groups!U:U)=1,'Base stats'!AY86,IF(OR(_xlfn.XLOOKUP(E86,Groups!A:A,Groups!BD:BD)=1,_xlfn.XLOOKUP(E86,Groups!A:A,Groups!U:U)=2),BA86,IF(_xlfn.XLOOKUP(B86,Animals!B:B,Animals!AO:AO)&gt;4,AVERAGE(BA86,BC86),BC86))))</f>
        <v>No</v>
      </c>
      <c r="BA86" s="8">
        <f t="shared" si="39"/>
        <v>2.9337122802000692</v>
      </c>
      <c r="BB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C86" s="8">
        <f>(0.048*C86^1.01)/IF(_xlfn.XLOOKUP(E86,Groups!A:A,Groups!M:M)=1,0.25,0.8)*C86^-0.25</f>
        <v>3.1056917919729647</v>
      </c>
      <c r="BD86" s="8">
        <f>EXP(1.076*LN(AO86)-4.5397)*IF(_xlfn.XLOOKUP(E86,Groups!A:A,Groups!BC:BC)=1,1.25,IF(_xlfn.XLOOKUP(E86,Groups!A:A,Groups!BD:BD)=1,3.5,2.5))</f>
        <v>220.55578881170885</v>
      </c>
      <c r="BE86" s="8">
        <f>EXP(1.076*LN(AP86)-4.5397)*IF(_xlfn.XLOOKUP(E86,Groups!A:A,Groups!M:M)=1,0.8,IF(_xlfn.XLOOKUP(E86,Groups!A:A,Groups!BC:BC)=1,1.3,3))</f>
        <v>268.67431157890962</v>
      </c>
      <c r="BF86" s="8" t="str">
        <f>IF(W86="No","No",IF(_xlfn.XLOOKUP(E86,Groups!A:A,Groups!U:U)=1,'Base stats'!BG86,IF(OR(_xlfn.XLOOKUP(E86,Groups!A:A,Groups!BD:BD)=1,_xlfn.XLOOKUP(E86,Groups!A:A,Groups!U:U)=2),BD86,BE86))*1.2)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246.26853554065281</v>
      </c>
      <c r="BH86" s="8">
        <f t="shared" si="44"/>
        <v>12</v>
      </c>
      <c r="BI86" s="8">
        <f t="shared" si="45"/>
        <v>11</v>
      </c>
      <c r="BJ86" s="8" t="str">
        <f t="shared" si="40"/>
        <v>No</v>
      </c>
      <c r="BK86" s="8">
        <f t="shared" si="41"/>
        <v>10</v>
      </c>
      <c r="BL86" s="8">
        <f t="shared" si="46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N86" s="8" t="str">
        <f>IF(W86="No","No",IF(_xlfn.XLOOKUP(E86,Groups!A:A,Groups!BD:BD)=1,(AL86*5%),EXP(0.7354*LN(C86)^0.4078)*2/IF(_xlfn.XLOOKUP(E86,Groups!A:A,Groups!BL:BL)=1,1000,100)))</f>
        <v>No</v>
      </c>
      <c r="BO86" s="8">
        <f>IF(BG86="No","No",IF(_xlfn.XLOOKUP(E86,Groups!A:A,Groups!BF:BF)=1,(0.0315*C86+2.1825)*2,(0.7354*C86^0.4078)*2)/IF(_xlfn.XLOOKUP(E86,Groups!A:A,Groups!BM:BM)=1,1000,100))</f>
        <v>0.12225137396044293</v>
      </c>
      <c r="BP86" s="8">
        <f t="shared" si="42"/>
        <v>0.13592468947809011</v>
      </c>
      <c r="BQ86" s="8" t="str">
        <f t="shared" si="47"/>
        <v>No</v>
      </c>
      <c r="BR86" s="8" t="str">
        <f t="shared" si="43"/>
        <v>No</v>
      </c>
      <c r="BS86" s="8">
        <f t="shared" si="48"/>
        <v>2014.4439081751204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Groups!A39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34"/>
        <v>24253.620343607145</v>
      </c>
      <c r="AM87" s="8">
        <f>IFERROR(C87*_xlfn.XLOOKUP(E87,Groups!A:A,Groups!K:K),0.106*C87^0.94)</f>
        <v>14.34625</v>
      </c>
      <c r="AN87" s="8">
        <f>AM87*10000/(_xlfn.XLOOKUP(E87,Groups!A:A,Groups!J:J)*AL87)</f>
        <v>5.4266938548725276</v>
      </c>
      <c r="AO87" s="8">
        <f t="shared" si="35"/>
        <v>2993.0378945402767</v>
      </c>
      <c r="AP87" s="8">
        <f>IF(_xlfn.XLOOKUP(E87,Groups!A:A,Groups!M:M)=1,EXP(0.7444*LN('Base stats'!C87)+6.5696),EXP(0.7927*LN('Base stats'!C87)+4.28))</f>
        <v>3106.6731258745958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R87" s="8">
        <f>IF(_xlfn.XLOOKUP(E87,Groups!A:A,Groups!U:U)=3,AP87,IF(_xlfn.XLOOKUP(E87,Groups!A:A,Groups!U:U)=2,AO87,AQ87))</f>
        <v>2375.0082527213076</v>
      </c>
      <c r="AS87" s="46">
        <f>IFERROR(AVERAGE(_xlfn.XLOOKUP(B87,Animals!B:B,Animals!N:N),_xlfn.XLOOKUP(B87,Animals!B:B,Animals!O:O)),0)</f>
        <v>0</v>
      </c>
      <c r="AT87" s="8">
        <f>MROUND(40*Animals!AO87*_xlfn.XLOOKUP(Animals!BA87,Leathers!$A$2:$A$100,Leathers!$B$2:$B$100,0)+(140*_xlfn.XLOOKUP(B87,Animals!B:B,Animals!AO:AO)*2),5)</f>
        <v>570</v>
      </c>
      <c r="AU87" s="8">
        <f>IFERROR(ROUND(SQRT(V87-1)*IF(_xlfn.XLOOKUP(E87,Groups!A:A,Groups!BF:BF)=0,2,1)*IF(_xlfn.XLOOKUP('Base stats'!E87,Groups!A:A,Groups!O:O)=0,1,0.1),1),0)</f>
        <v>3.7</v>
      </c>
      <c r="AV87" s="8">
        <f t="shared" si="36"/>
        <v>0</v>
      </c>
      <c r="AW87" s="8">
        <f t="shared" si="37"/>
        <v>0</v>
      </c>
      <c r="AX87" s="8">
        <f t="shared" si="38"/>
        <v>4.4000000000000004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3.0844368439880543</v>
      </c>
      <c r="AZ87" s="8" t="str">
        <f>IF(W87="No","No",IF(_xlfn.XLOOKUP(E87,Groups!A:A,Groups!U:U)=1,'Base stats'!AY87,IF(OR(_xlfn.XLOOKUP(E87,Groups!A:A,Groups!BD:BD)=1,_xlfn.XLOOKUP(E87,Groups!A:A,Groups!U:U)=2),BA87,IF(_xlfn.XLOOKUP(B87,Animals!B:B,Animals!AO:AO)&gt;4,AVERAGE(BA87,BC87),BC87))))</f>
        <v>No</v>
      </c>
      <c r="BA87" s="8">
        <f t="shared" si="39"/>
        <v>2.0217431129008374</v>
      </c>
      <c r="BB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C87" s="8">
        <f>(0.048*C87^1.01)/IF(_xlfn.XLOOKUP(E87,Groups!A:A,Groups!M:M)=1,0.25,0.8)*C87^-0.25</f>
        <v>2.2094369311808464</v>
      </c>
      <c r="BD87" s="8">
        <f>EXP(1.076*LN(AO87)-4.5397)*IF(_xlfn.XLOOKUP(E87,Groups!A:A,Groups!BC:BC)=1,1.25,IF(_xlfn.XLOOKUP(E87,Groups!A:A,Groups!BD:BD)=1,3.5,2.5))</f>
        <v>146.78108476936248</v>
      </c>
      <c r="BE87" s="8">
        <f>EXP(1.076*LN(AP87)-4.5397)*IF(_xlfn.XLOOKUP(E87,Groups!A:A,Groups!M:M)=1,0.8,IF(_xlfn.XLOOKUP(E87,Groups!A:A,Groups!BC:BC)=1,1.3,3))</f>
        <v>183.34312035376047</v>
      </c>
      <c r="BF87" s="8" t="str">
        <f>IF(W87="No","No",IF(_xlfn.XLOOKUP(E87,Groups!A:A,Groups!U:U)=1,'Base stats'!BG87,IF(OR(_xlfn.XLOOKUP(E87,Groups!A:A,Groups!BD:BD)=1,_xlfn.XLOOKUP(E87,Groups!A:A,Groups!U:U)=2),BD87,BE87))*1.2)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171.66441610011933</v>
      </c>
      <c r="BH87" s="8">
        <f t="shared" si="44"/>
        <v>12</v>
      </c>
      <c r="BI87" s="8">
        <f t="shared" si="45"/>
        <v>11</v>
      </c>
      <c r="BJ87" s="8" t="str">
        <f t="shared" si="40"/>
        <v>No</v>
      </c>
      <c r="BK87" s="8">
        <f t="shared" si="41"/>
        <v>10</v>
      </c>
      <c r="BL87" s="8">
        <f t="shared" si="46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N87" s="8" t="str">
        <f>IF(W87="No","No",IF(_xlfn.XLOOKUP(E87,Groups!A:A,Groups!BD:BD)=1,(AL87*5%),EXP(0.7354*LN(C87)^0.4078)*2/IF(_xlfn.XLOOKUP(E87,Groups!A:A,Groups!BL:BL)=1,1000,100)))</f>
        <v>No</v>
      </c>
      <c r="BO87" s="8">
        <f>IF(BG87="No","No",IF(_xlfn.XLOOKUP(E87,Groups!A:A,Groups!BF:BF)=1,(0.0315*C87+2.1825)*2,(0.7354*C87^0.4078)*2)/IF(_xlfn.XLOOKUP(E87,Groups!A:A,Groups!BM:BM)=1,1000,100))</f>
        <v>0.1018371415070493</v>
      </c>
      <c r="BP87" s="8">
        <f t="shared" si="42"/>
        <v>0.12103849461637306</v>
      </c>
      <c r="BQ87" s="8" t="str">
        <f t="shared" si="47"/>
        <v>No</v>
      </c>
      <c r="BR87" s="8" t="str">
        <f t="shared" si="43"/>
        <v>No</v>
      </c>
      <c r="BS87" s="8">
        <f t="shared" si="48"/>
        <v>1685.6759091989684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Groups!A38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34"/>
        <v>99730.902585309115</v>
      </c>
      <c r="AM88" s="8">
        <f>IFERROR(C88*_xlfn.XLOOKUP(E88,Groups!A:A,Groups!K:K),0.106*C88^0.94)</f>
        <v>126.309375</v>
      </c>
      <c r="AN88" s="8">
        <f>AM88*10000/(_xlfn.XLOOKUP(E88,Groups!A:A,Groups!J:J)*AL88)</f>
        <v>11.619283245866109</v>
      </c>
      <c r="AO88" s="8">
        <f t="shared" si="35"/>
        <v>18797.406492948736</v>
      </c>
      <c r="AP88" s="8">
        <f>IF(_xlfn.XLOOKUP(E88,Groups!A:A,Groups!M:M)=1,EXP(0.7444*LN('Base stats'!C88)+6.5696),EXP(0.7927*LN('Base stats'!C88)+4.28))</f>
        <v>17424.367581962186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17424.367581962186</v>
      </c>
      <c r="AS88" s="46">
        <f>IFERROR(AVERAGE(_xlfn.XLOOKUP(B88,Animals!B:B,Animals!N:N),_xlfn.XLOOKUP(B88,Animals!B:B,Animals!O:O)),0)</f>
        <v>0</v>
      </c>
      <c r="AT88" s="8">
        <f>MROUND(40*Animals!AO88*_xlfn.XLOOKUP(Animals!BA88,Leathers!$A$2:$A$100,Leathers!$B$2:$B$100,0)+(140*_xlfn.XLOOKUP(B88,Animals!B:B,Animals!AO:AO)*2),5)</f>
        <v>1540</v>
      </c>
      <c r="AU88" s="8">
        <f>IFERROR(ROUND(SQRT(V88-1)*IF(_xlfn.XLOOKUP(E88,Groups!A:A,Groups!BF:BF)=0,2,1)*IF(_xlfn.XLOOKUP('Base stats'!E88,Groups!A:A,Groups!O:O)=0,1,0.1),1),0)</f>
        <v>0</v>
      </c>
      <c r="AV88" s="8">
        <f t="shared" si="36"/>
        <v>0</v>
      </c>
      <c r="AW88" s="8">
        <f t="shared" si="37"/>
        <v>7.1</v>
      </c>
      <c r="AX88" s="8">
        <f t="shared" si="38"/>
        <v>9.6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12.324500833292777</v>
      </c>
      <c r="AZ88" s="8">
        <f>IF(W88="No","No",IF(_xlfn.XLOOKUP(E88,Groups!A:A,Groups!U:U)=1,'Base stats'!AY88,IF(OR(_xlfn.XLOOKUP(E88,Groups!A:A,Groups!BD:BD)=1,_xlfn.XLOOKUP(E88,Groups!A:A,Groups!U:U)=2),BA88,IF(_xlfn.XLOOKUP(B88,Animals!B:B,Animals!AO:AO)&gt;4,AVERAGE(BA88,BC88),BC88))))</f>
        <v>11.541213487704422</v>
      </c>
      <c r="BA88" s="8">
        <f t="shared" si="39"/>
        <v>12.324500833292777</v>
      </c>
      <c r="BB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C88" s="8">
        <f>(0.048*C88^1.01)/IF(_xlfn.XLOOKUP(E88,Groups!A:A,Groups!M:M)=1,0.25,0.8)*C88^-0.25</f>
        <v>11.541213487704422</v>
      </c>
      <c r="BD88" s="8">
        <f>EXP(1.076*LN(AO88)-4.5397)*IF(_xlfn.XLOOKUP(E88,Groups!A:A,Groups!BC:BC)=1,1.25,IF(_xlfn.XLOOKUP(E88,Groups!A:A,Groups!BD:BD)=1,3.5,2.5))</f>
        <v>1059.9923359772902</v>
      </c>
      <c r="BE88" s="8">
        <f>EXP(1.076*LN(AP88)-4.5397)*IF(_xlfn.XLOOKUP(E88,Groups!A:A,Groups!M:M)=1,0.8,IF(_xlfn.XLOOKUP(E88,Groups!A:A,Groups!BC:BC)=1,1.3,3))</f>
        <v>1172.3021281689462</v>
      </c>
      <c r="BF88" s="8">
        <f>IF(W88="No","No",IF(_xlfn.XLOOKUP(E88,Groups!A:A,Groups!U:U)=1,'Base stats'!BG88,IF(OR(_xlfn.XLOOKUP(E88,Groups!A:A,Groups!BD:BD)=1,_xlfn.XLOOKUP(E88,Groups!A:A,Groups!U:U)=2),BD88,BE88))*1.2)</f>
        <v>1406.7625538027353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44"/>
        <v>13</v>
      </c>
      <c r="BI88" s="8">
        <f t="shared" si="45"/>
        <v>12</v>
      </c>
      <c r="BJ88" s="8">
        <f t="shared" si="40"/>
        <v>15</v>
      </c>
      <c r="BK88" s="8" t="str">
        <f t="shared" si="41"/>
        <v>No</v>
      </c>
      <c r="BL88" s="8">
        <f t="shared" si="46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N88" s="8">
        <f>IF(W88="No","No",IF(_xlfn.XLOOKUP(E88,Groups!A:A,Groups!BD:BD)=1,(AL88*5%),EXP(0.7354*LN(C88)^0.4078)*2/IF(_xlfn.XLOOKUP(E88,Groups!A:A,Groups!BL:BL)=1,1000,100)))</f>
        <v>0.10091436540167323</v>
      </c>
      <c r="BO88" s="8" t="str">
        <f>IF(BG88="No","No",IF(_xlfn.XLOOKUP(E88,Groups!A:A,Groups!BF:BF)=1,(0.0315*C88+2.1825)*2,(0.7354*C88^0.4078)*2)/IF(_xlfn.XLOOKUP(E88,Groups!A:A,Groups!BM:BM)=1,1000,100))</f>
        <v>No</v>
      </c>
      <c r="BP88" s="8">
        <f t="shared" si="42"/>
        <v>0.21257048888544453</v>
      </c>
      <c r="BQ88" s="8" t="str">
        <f t="shared" si="47"/>
        <v>No</v>
      </c>
      <c r="BR88" s="8">
        <f t="shared" si="43"/>
        <v>13940.161524113495</v>
      </c>
      <c r="BS88" s="8" t="str">
        <f t="shared" si="48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D89" s="7" t="s">
        <v>1307</v>
      </c>
      <c r="E89" s="7" t="str">
        <f>Groups!A41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3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3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IFERROR(AVERAGE(_xlfn.XLOOKUP(B89,Animals!B:B,Animals!N:N),_xlfn.XLOOKUP(B89,Animals!B:B,Animals!O:O)),0)</f>
        <v>0</v>
      </c>
      <c r="AT89" s="8">
        <f>MROUND(40*Animals!AO89*_xlfn.XLOOKUP(Animals!BA89,Leathers!$A$2:$A$100,Leathers!$B$2:$B$100,0)+(140*_xlfn.XLOOKUP(B89,Animals!B:B,Animals!AO:AO)*2),5)</f>
        <v>535</v>
      </c>
      <c r="AU89" s="8">
        <f>IFERROR(ROUND(SQRT(V89-1)*IF(_xlfn.XLOOKUP(E89,Groups!A:A,Groups!BF:BF)=0,2,1)*IF(_xlfn.XLOOKUP('Base stats'!E89,Groups!A:A,Groups!O:O)=0,1,0.1),1),0)</f>
        <v>3</v>
      </c>
      <c r="AV89" s="8">
        <f t="shared" si="36"/>
        <v>0</v>
      </c>
      <c r="AW89" s="8">
        <f t="shared" si="37"/>
        <v>0</v>
      </c>
      <c r="AX89" s="8">
        <f t="shared" si="3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stats'!AY89,IF(OR(_xlfn.XLOOKUP(E89,Groups!A:A,Groups!BD:BD)=1,_xlfn.XLOOKUP(E89,Groups!A:A,Groups!U:U)=2),BA89,IF(_xlfn.XLOOKUP(B89,Animals!B:B,Animals!AO:AO)&gt;4,AVERAGE(BA89,BC89),BC89))))</f>
        <v>No</v>
      </c>
      <c r="BA89" s="8">
        <f t="shared" si="39"/>
        <v>1.7141896806845596</v>
      </c>
      <c r="BB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EXP(1.076*LN(AO89)-4.5397)*IF(_xlfn.XLOOKUP(E89,Groups!A:A,Groups!BC:BC)=1,1.25,IF(_xlfn.XLOOKUP(E89,Groups!A:A,Groups!BD:BD)=1,3.5,2.5))</f>
        <v>186.87484615605439</v>
      </c>
      <c r="BE89" s="8">
        <f>EXP(1.076*LN(AP89)-4.5397)*IF(_xlfn.XLOOKUP(E89,Groups!A:A,Groups!M:M)=1,0.8,IF(_xlfn.XLOOKUP(E89,Groups!A:A,Groups!BC:BC)=1,1.3,3))</f>
        <v>229.97937056804284</v>
      </c>
      <c r="BF89" s="8" t="str">
        <f>IF(W89="No","No",IF(_xlfn.XLOOKUP(E89,Groups!A:A,Groups!U:U)=1,'Base stats'!BG89,IF(OR(_xlfn.XLOOKUP(E89,Groups!A:A,Groups!BD:BD)=1,_xlfn.XLOOKUP(E89,Groups!A:A,Groups!U:U)=2),BD89,BE89))*1.2)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44"/>
        <v>14</v>
      </c>
      <c r="BI89" s="8">
        <f t="shared" si="45"/>
        <v>11</v>
      </c>
      <c r="BJ89" s="8" t="str">
        <f t="shared" si="40"/>
        <v>No</v>
      </c>
      <c r="BK89" s="8">
        <f t="shared" si="41"/>
        <v>10</v>
      </c>
      <c r="BL89" s="8">
        <f t="shared" si="46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N89" s="8" t="str">
        <f>IF(W89="No","No",IF(_xlfn.XLOOKUP(E89,Groups!A:A,Groups!BD:BD)=1,(AL89*5%),EXP(0.7354*LN(C89)^0.4078)*2/IF(_xlfn.XLOOKUP(E89,Groups!A:A,Groups!BL:BL)=1,1000,100)))</f>
        <v>No</v>
      </c>
      <c r="BO89" s="8">
        <f>IF(BG89="No","No",IF(_xlfn.XLOOKUP(E89,Groups!A:A,Groups!BF:BF)=1,(0.0315*C89+2.1825)*2,(0.7354*C89^0.4078)*2)/IF(_xlfn.XLOOKUP(E89,Groups!A:A,Groups!BM:BM)=1,1000,100))</f>
        <v>0.11349157855001941</v>
      </c>
      <c r="BP89" s="8">
        <f t="shared" si="42"/>
        <v>0.12965776963635597</v>
      </c>
      <c r="BQ89" s="8">
        <f t="shared" si="47"/>
        <v>38.2611257388685</v>
      </c>
      <c r="BR89" s="8" t="str">
        <f t="shared" si="43"/>
        <v>No</v>
      </c>
      <c r="BS89" s="8">
        <f t="shared" si="48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Groups!A25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34"/>
        <v>20230.680574341102</v>
      </c>
      <c r="AM90" s="8">
        <f>IFERROR(C90*_xlfn.XLOOKUP(E90,Groups!A:A,Groups!K:K),0.106*C90^0.94)</f>
        <v>7.0543006115668359</v>
      </c>
      <c r="AN90" s="8">
        <f>AM90*10000/(_xlfn.XLOOKUP(E90,Groups!A:A,Groups!J:J)*AL90)</f>
        <v>3.1990201217768943</v>
      </c>
      <c r="AO90" s="8">
        <f t="shared" si="35"/>
        <v>2364.5726521368742</v>
      </c>
      <c r="AP90" s="8">
        <f>IF(_xlfn.XLOOKUP(E90,Groups!A:A,Groups!M:M)=1,EXP(0.7444*LN('Base stats'!C90)+6.5696),EXP(0.7927*LN('Base stats'!C90)+4.28))</f>
        <v>2490.2175762402062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R90" s="8">
        <f>IF(_xlfn.XLOOKUP(E90,Groups!A:A,Groups!U:U)=3,AP90,IF(_xlfn.XLOOKUP(E90,Groups!A:A,Groups!U:U)=2,AO90,AQ90))</f>
        <v>2911.3214320540633</v>
      </c>
      <c r="AS90" s="46">
        <f>IFERROR(AVERAGE(_xlfn.XLOOKUP(B90,Animals!B:B,Animals!N:N),_xlfn.XLOOKUP(B90,Animals!B:B,Animals!O:O)),0)</f>
        <v>0</v>
      </c>
      <c r="AT90" s="8">
        <f>MROUND(40*Animals!AO90*_xlfn.XLOOKUP(Animals!BA90,Leathers!$A$2:$A$100,Leathers!$B$2:$B$100,0)+(140*_xlfn.XLOOKUP(B90,Animals!B:B,Animals!AO:AO)*2),5)</f>
        <v>525</v>
      </c>
      <c r="AU90" s="8">
        <f>IFERROR(ROUND(SQRT(V90-1)*IF(_xlfn.XLOOKUP(E90,Groups!A:A,Groups!BF:BF)=0,2,1)*IF(_xlfn.XLOOKUP('Base stats'!E90,Groups!A:A,Groups!O:O)=0,1,0.1),1),0)</f>
        <v>2.4</v>
      </c>
      <c r="AV90" s="8">
        <f t="shared" si="36"/>
        <v>1</v>
      </c>
      <c r="AW90" s="8">
        <f t="shared" si="37"/>
        <v>0</v>
      </c>
      <c r="AX90" s="8">
        <f t="shared" si="38"/>
        <v>4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3.6866939696073127</v>
      </c>
      <c r="AZ90" s="8" t="str">
        <f>IF(W90="No","No",IF(_xlfn.XLOOKUP(E90,Groups!A:A,Groups!U:U)=1,'Base stats'!AY90,IF(OR(_xlfn.XLOOKUP(E90,Groups!A:A,Groups!BD:BD)=1,_xlfn.XLOOKUP(E90,Groups!A:A,Groups!U:U)=2),BA90,IF(_xlfn.XLOOKUP(B90,Animals!B:B,Animals!AO:AO)&gt;4,AVERAGE(BA90,BC90),BC90))))</f>
        <v>No</v>
      </c>
      <c r="BA90" s="8">
        <f t="shared" si="39"/>
        <v>1.6033434647752516</v>
      </c>
      <c r="BB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C90" s="8">
        <f>(0.048*C90^1.01)/IF(_xlfn.XLOOKUP(E90,Groups!A:A,Groups!M:M)=1,0.25,0.8)*C90^-0.25</f>
        <v>1.7872523730274505</v>
      </c>
      <c r="BD90" s="8">
        <f>EXP(1.076*LN(AO90)-4.5397)*IF(_xlfn.XLOOKUP(E90,Groups!A:A,Groups!BC:BC)=1,1.25,IF(_xlfn.XLOOKUP(E90,Groups!A:A,Groups!BD:BD)=1,3.5,2.5))</f>
        <v>113.90196432761797</v>
      </c>
      <c r="BE90" s="8">
        <f>EXP(1.076*LN(AP90)-4.5397)*IF(_xlfn.XLOOKUP(E90,Groups!A:A,Groups!M:M)=1,0.8,IF(_xlfn.XLOOKUP(E90,Groups!A:A,Groups!BC:BC)=1,1.3,3))</f>
        <v>144.51266952975502</v>
      </c>
      <c r="BF90" s="8" t="str">
        <f>IF(W90="No","No",IF(_xlfn.XLOOKUP(E90,Groups!A:A,Groups!U:U)=1,'Base stats'!BG90,IF(OR(_xlfn.XLOOKUP(E90,Groups!A:A,Groups!BD:BD)=1,_xlfn.XLOOKUP(E90,Groups!A:A,Groups!U:U)=2),BD90,BE90))*1.2)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213.71038057558172</v>
      </c>
      <c r="BH90" s="8">
        <f t="shared" si="44"/>
        <v>11</v>
      </c>
      <c r="BI90" s="8">
        <f t="shared" si="45"/>
        <v>11</v>
      </c>
      <c r="BJ90" s="8" t="str">
        <f t="shared" si="40"/>
        <v>No</v>
      </c>
      <c r="BK90" s="8">
        <f t="shared" si="41"/>
        <v>10</v>
      </c>
      <c r="BL90" s="8">
        <f t="shared" si="46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N90" s="8" t="str">
        <f>IF(W90="No","No",IF(_xlfn.XLOOKUP(E90,Groups!A:A,Groups!BD:BD)=1,(AL90*5%),EXP(0.7354*LN(C90)^0.4078)*2/IF(_xlfn.XLOOKUP(E90,Groups!A:A,Groups!BL:BL)=1,1000,100)))</f>
        <v>No</v>
      </c>
      <c r="BO90" s="8">
        <f>IF(BG90="No","No",IF(_xlfn.XLOOKUP(E90,Groups!A:A,Groups!BF:BF)=1,(0.0315*C90+2.1825)*2,(0.7354*C90^0.4078)*2)/IF(_xlfn.XLOOKUP(E90,Groups!A:A,Groups!BM:BM)=1,1000,100))</f>
        <v>9.0884447708193095E-2</v>
      </c>
      <c r="BP90" s="8">
        <f t="shared" si="42"/>
        <v>0.11260319583324513</v>
      </c>
      <c r="BQ90" s="8">
        <f t="shared" si="47"/>
        <v>1590.0703934929388</v>
      </c>
      <c r="BR90" s="8" t="str">
        <f t="shared" si="43"/>
        <v>No</v>
      </c>
      <c r="BS90" s="8">
        <f t="shared" si="48"/>
        <v>2351.4516065691628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1308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3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3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IFERROR(AVERAGE(_xlfn.XLOOKUP(B91,Animals!B:B,Animals!N:N),_xlfn.XLOOKUP(B91,Animals!B:B,Animals!O:O)),0)</f>
        <v>0.22500000000000001</v>
      </c>
      <c r="AT91" s="8">
        <f>MROUND(40*Animals!AO91*_xlfn.XLOOKUP(Animals!BA91,Leathers!$A$2:$A$100,Leathers!$B$2:$B$100,0)+(140*_xlfn.XLOOKUP(B91,Animals!B:B,Animals!AO:AO)*2),5)</f>
        <v>730</v>
      </c>
      <c r="AU91" s="8">
        <f>IFERROR(ROUND(SQRT(V91-1)*IF(_xlfn.XLOOKUP(E91,Groups!A:A,Groups!BF:BF)=0,2,1)*IF(_xlfn.XLOOKUP('Base stats'!E91,Groups!A:A,Groups!O:O)=0,1,0.1),1),0)</f>
        <v>1.4</v>
      </c>
      <c r="AV91" s="8">
        <f t="shared" si="36"/>
        <v>0</v>
      </c>
      <c r="AW91" s="8">
        <f t="shared" si="37"/>
        <v>0</v>
      </c>
      <c r="AX91" s="8">
        <f t="shared" si="3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stats'!AY91,IF(OR(_xlfn.XLOOKUP(E91,Groups!A:A,Groups!BD:BD)=1,_xlfn.XLOOKUP(E91,Groups!A:A,Groups!U:U)=2),BA91,IF(_xlfn.XLOOKUP(B91,Animals!B:B,Animals!AO:AO)&gt;4,AVERAGE(BA91,BC91),BC91))))</f>
        <v>No</v>
      </c>
      <c r="BA91" s="8">
        <f t="shared" si="39"/>
        <v>2.5491505145749231</v>
      </c>
      <c r="BB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EXP(1.076*LN(AO91)-4.5397)*IF(_xlfn.XLOOKUP(E91,Groups!A:A,Groups!BC:BC)=1,1.25,IF(_xlfn.XLOOKUP(E91,Groups!A:A,Groups!BD:BD)=1,3.5,2.5))</f>
        <v>189.13690135976577</v>
      </c>
      <c r="BE91" s="8">
        <f>EXP(1.076*LN(AP91)-4.5397)*IF(_xlfn.XLOOKUP(E91,Groups!A:A,Groups!M:M)=1,0.8,IF(_xlfn.XLOOKUP(E91,Groups!A:A,Groups!BC:BC)=1,1.3,3))</f>
        <v>232.59084900566722</v>
      </c>
      <c r="BF91" s="8" t="str">
        <f>IF(W91="No","No",IF(_xlfn.XLOOKUP(E91,Groups!A:A,Groups!U:U)=1,'Base stats'!BG91,IF(OR(_xlfn.XLOOKUP(E91,Groups!A:A,Groups!BD:BD)=1,_xlfn.XLOOKUP(E91,Groups!A:A,Groups!U:U)=2),BD91,BE91))*1.2)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44"/>
        <v>12</v>
      </c>
      <c r="BI91" s="8">
        <f t="shared" si="45"/>
        <v>11</v>
      </c>
      <c r="BJ91" s="8" t="str">
        <f t="shared" si="40"/>
        <v>No</v>
      </c>
      <c r="BK91" s="8">
        <f t="shared" si="41"/>
        <v>12</v>
      </c>
      <c r="BL91" s="8">
        <f t="shared" si="46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N91" s="8" t="str">
        <f>IF(W91="No","No",IF(_xlfn.XLOOKUP(E91,Groups!A:A,Groups!BD:BD)=1,(AL91*5%),EXP(0.7354*LN(C91)^0.4078)*2/IF(_xlfn.XLOOKUP(E91,Groups!A:A,Groups!BL:BL)=1,1000,100)))</f>
        <v>No</v>
      </c>
      <c r="BO91" s="8">
        <f>IF(BG91="No","No",IF(_xlfn.XLOOKUP(E91,Groups!A:A,Groups!BF:BF)=1,(0.0315*C91+2.1825)*2,(0.7354*C91^0.4078)*2)/IF(_xlfn.XLOOKUP(E91,Groups!A:A,Groups!BM:BM)=1,1000,100))</f>
        <v>0.13940930761424997</v>
      </c>
      <c r="BP91" s="8">
        <f t="shared" si="42"/>
        <v>0.1301029055066765</v>
      </c>
      <c r="BQ91" s="8" t="str">
        <f t="shared" si="47"/>
        <v>No</v>
      </c>
      <c r="BR91" s="8" t="str">
        <f t="shared" si="43"/>
        <v>No</v>
      </c>
      <c r="BS91" s="8">
        <f t="shared" si="48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1309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3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3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IFERROR(AVERAGE(_xlfn.XLOOKUP(B92,Animals!B:B,Animals!N:N),_xlfn.XLOOKUP(B92,Animals!B:B,Animals!O:O)),0)</f>
        <v>1.5500000000000003</v>
      </c>
      <c r="AT92" s="8">
        <f>MROUND(40*Animals!AO92*_xlfn.XLOOKUP(Animals!BA92,Leathers!$A$2:$A$100,Leathers!$B$2:$B$100,0)+(140*_xlfn.XLOOKUP(B92,Animals!B:B,Animals!AO:AO)*2),5)</f>
        <v>775</v>
      </c>
      <c r="AU92" s="8">
        <f>IFERROR(ROUND(SQRT(V92-1)*IF(_xlfn.XLOOKUP(E92,Groups!A:A,Groups!BF:BF)=0,2,1)*IF(_xlfn.XLOOKUP('Base stats'!E92,Groups!A:A,Groups!O:O)=0,1,0.1),1),0)</f>
        <v>0.2</v>
      </c>
      <c r="AV92" s="8">
        <f t="shared" si="36"/>
        <v>0</v>
      </c>
      <c r="AW92" s="8">
        <f t="shared" si="37"/>
        <v>0</v>
      </c>
      <c r="AX92" s="8">
        <f t="shared" si="3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stats'!AY92,IF(OR(_xlfn.XLOOKUP(E92,Groups!A:A,Groups!BD:BD)=1,_xlfn.XLOOKUP(E92,Groups!A:A,Groups!U:U)=2),BA92,IF(_xlfn.XLOOKUP(B92,Animals!B:B,Animals!AO:AO)&gt;4,AVERAGE(BA92,BC92),BC92))))</f>
        <v>No</v>
      </c>
      <c r="BA92" s="8">
        <f t="shared" si="39"/>
        <v>1.8863484154287324</v>
      </c>
      <c r="BB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EXP(1.076*LN(AO92)-4.5397)*IF(_xlfn.XLOOKUP(E92,Groups!A:A,Groups!BC:BC)=1,1.25,IF(_xlfn.XLOOKUP(E92,Groups!A:A,Groups!BD:BD)=1,3.5,2.5))</f>
        <v>104.86301644922904</v>
      </c>
      <c r="BE92" s="8">
        <f>EXP(1.076*LN(AP92)-4.5397)*IF(_xlfn.XLOOKUP(E92,Groups!A:A,Groups!M:M)=1,0.8,IF(_xlfn.XLOOKUP(E92,Groups!A:A,Groups!BC:BC)=1,1.3,3))</f>
        <v>111.0524664515993</v>
      </c>
      <c r="BF92" s="8" t="str">
        <f>IF(W92="No","No",IF(_xlfn.XLOOKUP(E92,Groups!A:A,Groups!U:U)=1,'Base stats'!BG92,IF(OR(_xlfn.XLOOKUP(E92,Groups!A:A,Groups!BD:BD)=1,_xlfn.XLOOKUP(E92,Groups!A:A,Groups!U:U)=2),BD92,BE92))*1.2)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44"/>
        <v>10</v>
      </c>
      <c r="BI92" s="8">
        <f t="shared" si="45"/>
        <v>9</v>
      </c>
      <c r="BJ92" s="8" t="str">
        <f t="shared" si="40"/>
        <v>No</v>
      </c>
      <c r="BK92" s="8">
        <f t="shared" si="41"/>
        <v>10</v>
      </c>
      <c r="BL92" s="8">
        <f t="shared" si="46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N92" s="8" t="str">
        <f>IF(W92="No","No",IF(_xlfn.XLOOKUP(E92,Groups!A:A,Groups!BD:BD)=1,(AL92*5%),EXP(0.7354*LN(C92)^0.4078)*2/IF(_xlfn.XLOOKUP(E92,Groups!A:A,Groups!BL:BL)=1,1000,100)))</f>
        <v>No</v>
      </c>
      <c r="BO92" s="8">
        <f>IF(BG92="No","No",IF(_xlfn.XLOOKUP(E92,Groups!A:A,Groups!BF:BF)=1,(0.0315*C92+2.1825)*2,(0.7354*C92^0.4078)*2)/IF(_xlfn.XLOOKUP(E92,Groups!A:A,Groups!BM:BM)=1,1000,100))</f>
        <v>0.15093899999999999</v>
      </c>
      <c r="BP92" s="8">
        <f t="shared" si="42"/>
        <v>6.6994606718955574E-2</v>
      </c>
      <c r="BQ92" s="8" t="str">
        <f t="shared" si="47"/>
        <v>No</v>
      </c>
      <c r="BR92" s="8" t="str">
        <f t="shared" si="43"/>
        <v>No</v>
      </c>
      <c r="BS92" s="8">
        <f t="shared" si="48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34"/>
        <v>1198.3180978153825</v>
      </c>
      <c r="AM93" s="8">
        <f>IFERROR(C93*_xlfn.XLOOKUP(E93,Groups!A:A,Groups!K:K),0.106*C93^0.94)</f>
        <v>0.11841023318340879</v>
      </c>
      <c r="AN93" s="8">
        <f>AM93*10000/(_xlfn.XLOOKUP(E93,Groups!A:A,Groups!J:J)*AL93)</f>
        <v>0.90654761578511223</v>
      </c>
      <c r="AO93" s="8">
        <f t="shared" si="35"/>
        <v>60.068845547201157</v>
      </c>
      <c r="AP93" s="8">
        <f>IF(_xlfn.XLOOKUP(E93,Groups!A:A,Groups!M:M)=1,EXP(0.7444*LN('Base stats'!C93)+6.5696),EXP(0.7927*LN('Base stats'!C93)+4.28))</f>
        <v>79.310189413887159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R93" s="8">
        <f>IF(_xlfn.XLOOKUP(E93,Groups!A:A,Groups!U:U)=3,AP93,IF(_xlfn.XLOOKUP(E93,Groups!A:A,Groups!U:U)=2,AO93,AQ93))</f>
        <v>78.795269044622231</v>
      </c>
      <c r="AS93" s="46">
        <f>IFERROR(AVERAGE(_xlfn.XLOOKUP(B93,Animals!B:B,Animals!N:N),_xlfn.XLOOKUP(B93,Animals!B:B,Animals!O:O)),0)</f>
        <v>0</v>
      </c>
      <c r="AT93" s="8">
        <f>MROUND(40*Animals!AO93*_xlfn.XLOOKUP(Animals!BA93,Leathers!$A$2:$A$100,Leathers!$B$2:$B$100,0)+(140*_xlfn.XLOOKUP(B93,Animals!B:B,Animals!AO:AO)*2),5)</f>
        <v>55</v>
      </c>
      <c r="AU93" s="8">
        <f>IFERROR(ROUND(SQRT(V93-1)*IF(_xlfn.XLOOKUP(E93,Groups!A:A,Groups!BF:BF)=0,2,1)*IF(_xlfn.XLOOKUP('Base stats'!E93,Groups!A:A,Groups!O:O)=0,1,0.1),1),0)</f>
        <v>0</v>
      </c>
      <c r="AV93" s="8">
        <f t="shared" si="36"/>
        <v>0</v>
      </c>
      <c r="AW93" s="8">
        <f t="shared" si="37"/>
        <v>0</v>
      </c>
      <c r="AX93" s="8">
        <f t="shared" si="38"/>
        <v>0.6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0.17919098975003619</v>
      </c>
      <c r="AZ93" s="8" t="str">
        <f>IF(W93="No","No",IF(_xlfn.XLOOKUP(E93,Groups!A:A,Groups!U:U)=1,'Base stats'!AY93,IF(OR(_xlfn.XLOOKUP(E93,Groups!A:A,Groups!BD:BD)=1,_xlfn.XLOOKUP(E93,Groups!A:A,Groups!U:U)=2),BA93,IF(_xlfn.XLOOKUP(B93,Animals!B:B,Animals!AO:AO)&gt;4,AVERAGE(BA93,BC93),BC93))))</f>
        <v>No</v>
      </c>
      <c r="BA93" s="8">
        <f t="shared" si="39"/>
        <v>4.2840553072330437E-2</v>
      </c>
      <c r="BB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C93" s="8">
        <f>(0.048*C93^1.01)/IF(_xlfn.XLOOKUP(E93,Groups!A:A,Groups!M:M)=1,0.25,0.8)*C93^-0.25</f>
        <v>6.5618631298402716E-2</v>
      </c>
      <c r="BD93" s="8">
        <f>EXP(1.076*LN(AO93)-4.5397)*IF(_xlfn.XLOOKUP(E93,Groups!A:A,Groups!BC:BC)=1,1.25,IF(_xlfn.XLOOKUP(E93,Groups!A:A,Groups!BD:BD)=1,3.5,2.5))</f>
        <v>2.1887692579587883</v>
      </c>
      <c r="BE93" s="8">
        <f>EXP(1.076*LN(AP93)-4.5397)*IF(_xlfn.XLOOKUP(E93,Groups!A:A,Groups!M:M)=1,0.8,IF(_xlfn.XLOOKUP(E93,Groups!A:A,Groups!BC:BC)=1,1.3,3))</f>
        <v>3.5418697425541152</v>
      </c>
      <c r="BF93" s="8" t="str">
        <f>IF(W93="No","No",IF(_xlfn.XLOOKUP(E93,Groups!A:A,Groups!U:U)=1,'Base stats'!BG93,IF(OR(_xlfn.XLOOKUP(E93,Groups!A:A,Groups!BD:BD)=1,_xlfn.XLOOKUP(E93,Groups!A:A,Groups!U:U)=2),BD93,BE93))*1.2)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4.3964158187185465</v>
      </c>
      <c r="BH93" s="8">
        <f t="shared" si="44"/>
        <v>10</v>
      </c>
      <c r="BI93" s="8">
        <f t="shared" si="45"/>
        <v>9</v>
      </c>
      <c r="BJ93" s="8" t="str">
        <f t="shared" si="40"/>
        <v>No</v>
      </c>
      <c r="BK93" s="8">
        <f t="shared" si="41"/>
        <v>7</v>
      </c>
      <c r="BL93" s="8">
        <f t="shared" si="46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N93" s="8" t="str">
        <f>IF(W93="No","No",IF(_xlfn.XLOOKUP(E93,Groups!A:A,Groups!BD:BD)=1,(AL93*5%),EXP(0.7354*LN(C93)^0.4078)*2/IF(_xlfn.XLOOKUP(E93,Groups!A:A,Groups!BL:BL)=1,1000,100)))</f>
        <v>No</v>
      </c>
      <c r="BO93" s="8">
        <f>IF(BG93="No","No",IF(_xlfn.XLOOKUP(E93,Groups!A:A,Groups!BF:BF)=1,(0.0315*C93+2.1825)*2,(0.7354*C93^0.4078)*2)/IF(_xlfn.XLOOKUP(E93,Groups!A:A,Groups!BM:BM)=1,1000,100))</f>
        <v>1.5431694600289387E-2</v>
      </c>
      <c r="BP93" s="8">
        <f t="shared" si="42"/>
        <v>3.6530688503312557E-2</v>
      </c>
      <c r="BQ93" s="8" t="str">
        <f t="shared" si="47"/>
        <v>No</v>
      </c>
      <c r="BR93" s="8" t="str">
        <f t="shared" si="43"/>
        <v>No</v>
      </c>
      <c r="BS93" s="8">
        <f t="shared" si="48"/>
        <v>284.89520643028419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D94" s="7" t="s">
        <v>1310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3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3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IFERROR(AVERAGE(_xlfn.XLOOKUP(B94,Animals!B:B,Animals!N:N),_xlfn.XLOOKUP(B94,Animals!B:B,Animals!O:O)),0)</f>
        <v>0</v>
      </c>
      <c r="AT94" s="8">
        <f>MROUND(40*Animals!AO94*_xlfn.XLOOKUP(Animals!BA94,Leathers!$A$2:$A$100,Leathers!$B$2:$B$100,0)+(140*_xlfn.XLOOKUP(B94,Animals!B:B,Animals!AO:AO)*2),5)</f>
        <v>180</v>
      </c>
      <c r="AU94" s="8">
        <f>IFERROR(ROUND(SQRT(V94-1)*IF(_xlfn.XLOOKUP(E94,Groups!A:A,Groups!BF:BF)=0,2,1)*IF(_xlfn.XLOOKUP('Base stats'!E94,Groups!A:A,Groups!O:O)=0,1,0.1),1),0)</f>
        <v>2.8</v>
      </c>
      <c r="AV94" s="8">
        <f t="shared" si="36"/>
        <v>0</v>
      </c>
      <c r="AW94" s="8">
        <f t="shared" si="37"/>
        <v>0</v>
      </c>
      <c r="AX94" s="8">
        <f t="shared" si="3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stats'!AY94,IF(OR(_xlfn.XLOOKUP(E94,Groups!A:A,Groups!BD:BD)=1,_xlfn.XLOOKUP(E94,Groups!A:A,Groups!U:U)=2),BA94,IF(_xlfn.XLOOKUP(B94,Animals!B:B,Animals!AO:AO)&gt;4,AVERAGE(BA94,BC94),BC94))))</f>
        <v>No</v>
      </c>
      <c r="BA94" s="8">
        <f t="shared" si="39"/>
        <v>0.30203611563721933</v>
      </c>
      <c r="BB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EXP(1.076*LN(AO94)-4.5397)*IF(_xlfn.XLOOKUP(E94,Groups!A:A,Groups!BC:BC)=1,1.25,IF(_xlfn.XLOOKUP(E94,Groups!A:A,Groups!BD:BD)=1,3.5,2.5))</f>
        <v>23.049082805105311</v>
      </c>
      <c r="BE94" s="8">
        <f>EXP(1.076*LN(AP94)-4.5397)*IF(_xlfn.XLOOKUP(E94,Groups!A:A,Groups!M:M)=1,0.8,IF(_xlfn.XLOOKUP(E94,Groups!A:A,Groups!BC:BC)=1,1.3,3))</f>
        <v>32.265892387046144</v>
      </c>
      <c r="BF94" s="8" t="str">
        <f>IF(W94="No","No",IF(_xlfn.XLOOKUP(E94,Groups!A:A,Groups!U:U)=1,'Base stats'!BG94,IF(OR(_xlfn.XLOOKUP(E94,Groups!A:A,Groups!BD:BD)=1,_xlfn.XLOOKUP(E94,Groups!A:A,Groups!U:U)=2),BD94,BE94))*1.2)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44"/>
        <v>12</v>
      </c>
      <c r="BI94" s="8">
        <f t="shared" si="45"/>
        <v>10</v>
      </c>
      <c r="BJ94" s="8" t="str">
        <f t="shared" si="40"/>
        <v>No</v>
      </c>
      <c r="BK94" s="8">
        <f t="shared" si="41"/>
        <v>8</v>
      </c>
      <c r="BL94" s="8">
        <f t="shared" si="46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N94" s="8" t="str">
        <f>IF(W94="No","No",IF(_xlfn.XLOOKUP(E94,Groups!A:A,Groups!BD:BD)=1,(AL94*5%),EXP(0.7354*LN(C94)^0.4078)*2/IF(_xlfn.XLOOKUP(E94,Groups!A:A,Groups!BL:BL)=1,1000,100)))</f>
        <v>No</v>
      </c>
      <c r="BO94" s="8">
        <f>IF(BG94="No","No",IF(_xlfn.XLOOKUP(E94,Groups!A:A,Groups!BF:BF)=1,(0.0315*C94+2.1825)*2,(0.7354*C94^0.4078)*2)/IF(_xlfn.XLOOKUP(E94,Groups!A:A,Groups!BM:BM)=1,1000,100))</f>
        <v>4.4377582152222601E-2</v>
      </c>
      <c r="BP94" s="8">
        <f t="shared" si="42"/>
        <v>7.1433404110749568E-2</v>
      </c>
      <c r="BQ94" s="8" t="str">
        <f t="shared" si="47"/>
        <v>No</v>
      </c>
      <c r="BR94" s="8" t="str">
        <f t="shared" si="43"/>
        <v>No</v>
      </c>
      <c r="BS94" s="8">
        <f t="shared" si="48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Groups!A47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3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3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IFERROR(AVERAGE(_xlfn.XLOOKUP(B95,Animals!B:B,Animals!N:N),_xlfn.XLOOKUP(B95,Animals!B:B,Animals!O:O)),0)</f>
        <v>0</v>
      </c>
      <c r="AT95" s="8">
        <f>MROUND(40*Animals!AO95*_xlfn.XLOOKUP(Animals!BA95,Leathers!$A$2:$A$100,Leathers!$B$2:$B$100,0)+(140*_xlfn.XLOOKUP(B95,Animals!B:B,Animals!AO:AO)*2),5)</f>
        <v>340</v>
      </c>
      <c r="AU95" s="8">
        <f>IFERROR(ROUND(SQRT(V95-1)*IF(_xlfn.XLOOKUP(E95,Groups!A:A,Groups!BF:BF)=0,2,1)*IF(_xlfn.XLOOKUP('Base stats'!E95,Groups!A:A,Groups!O:O)=0,1,0.1),1),0)</f>
        <v>6</v>
      </c>
      <c r="AV95" s="8">
        <f t="shared" si="36"/>
        <v>0</v>
      </c>
      <c r="AW95" s="8">
        <f t="shared" si="37"/>
        <v>0</v>
      </c>
      <c r="AX95" s="8">
        <f t="shared" si="3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stats'!AY95,IF(OR(_xlfn.XLOOKUP(E95,Groups!A:A,Groups!BD:BD)=1,_xlfn.XLOOKUP(E95,Groups!A:A,Groups!U:U)=2),BA95,IF(_xlfn.XLOOKUP(B95,Animals!B:B,Animals!AO:AO)&gt;4,AVERAGE(BA95,BC95),BC95))))</f>
        <v>No</v>
      </c>
      <c r="BA95" s="8">
        <f t="shared" si="39"/>
        <v>0.85903747445843048</v>
      </c>
      <c r="BB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EXP(1.076*LN(AO95)-4.5397)*IF(_xlfn.XLOOKUP(E95,Groups!A:A,Groups!BC:BC)=1,1.25,IF(_xlfn.XLOOKUP(E95,Groups!A:A,Groups!BD:BD)=1,3.5,2.5))</f>
        <v>81.257655662784387</v>
      </c>
      <c r="BE95" s="8">
        <f>EXP(1.076*LN(AP95)-4.5397)*IF(_xlfn.XLOOKUP(E95,Groups!A:A,Groups!M:M)=1,0.8,IF(_xlfn.XLOOKUP(E95,Groups!A:A,Groups!BC:BC)=1,1.3,3))</f>
        <v>105.26108947147097</v>
      </c>
      <c r="BF95" s="8" t="str">
        <f>IF(W95="No","No",IF(_xlfn.XLOOKUP(E95,Groups!A:A,Groups!U:U)=1,'Base stats'!BG95,IF(OR(_xlfn.XLOOKUP(E95,Groups!A:A,Groups!BD:BD)=1,_xlfn.XLOOKUP(E95,Groups!A:A,Groups!U:U)=2),BD95,BE95))*1.2)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44"/>
        <v>13</v>
      </c>
      <c r="BI95" s="8">
        <f t="shared" si="45"/>
        <v>11</v>
      </c>
      <c r="BJ95" s="8" t="str">
        <f t="shared" si="40"/>
        <v>No</v>
      </c>
      <c r="BK95" s="8">
        <f t="shared" si="41"/>
        <v>9</v>
      </c>
      <c r="BL95" s="8">
        <f t="shared" si="46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N95" s="8" t="str">
        <f>IF(W95="No","No",IF(_xlfn.XLOOKUP(E95,Groups!A:A,Groups!BD:BD)=1,(AL95*5%),EXP(0.7354*LN(C95)^0.4078)*2/IF(_xlfn.XLOOKUP(E95,Groups!A:A,Groups!BL:BL)=1,1000,100)))</f>
        <v>No</v>
      </c>
      <c r="BO95" s="8">
        <f>IF(BG95="No","No",IF(_xlfn.XLOOKUP(E95,Groups!A:A,Groups!BF:BF)=1,(0.0315*C95+2.1825)*2,(0.7354*C95^0.4078)*2)/IF(_xlfn.XLOOKUP(E95,Groups!A:A,Groups!BM:BM)=1,1000,100))</f>
        <v>7.8105874830123129E-2</v>
      </c>
      <c r="BP95" s="8">
        <f t="shared" si="42"/>
        <v>0.10227582528924552</v>
      </c>
      <c r="BQ95" s="8" t="str">
        <f t="shared" si="47"/>
        <v>No</v>
      </c>
      <c r="BR95" s="8" t="str">
        <f t="shared" si="43"/>
        <v>No</v>
      </c>
      <c r="BS95" s="8">
        <f t="shared" si="48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Groups!A51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34"/>
        <v>53284.970149935914</v>
      </c>
      <c r="AM96" s="8">
        <f>IFERROR(C96*_xlfn.XLOOKUP(E96,Groups!A:A,Groups!K:K),0.106*C96^0.94)</f>
        <v>28.621865177479517</v>
      </c>
      <c r="AN96" s="8">
        <f>AM96*10000/(_xlfn.XLOOKUP(E96,Groups!A:A,Groups!J:J)*AL96)</f>
        <v>4.9279546994315222</v>
      </c>
      <c r="AO96" s="8">
        <f t="shared" si="35"/>
        <v>8323.9803426759372</v>
      </c>
      <c r="AP96" s="8">
        <f>IF(_xlfn.XLOOKUP(E96,Groups!A:A,Groups!M:M)=1,EXP(0.7444*LN('Base stats'!C96)+6.5696),EXP(0.7927*LN('Base stats'!C96)+4.28))</f>
        <v>8112.7508566761171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8112.7508566761171</v>
      </c>
      <c r="AS96" s="46">
        <f>IFERROR(AVERAGE(_xlfn.XLOOKUP(B96,Animals!B:B,Animals!N:N),_xlfn.XLOOKUP(B96,Animals!B:B,Animals!O:O)),0)</f>
        <v>0</v>
      </c>
      <c r="AT96" s="8">
        <f>MROUND(40*Animals!AO96*_xlfn.XLOOKUP(Animals!BA96,Leathers!$A$2:$A$100,Leathers!$B$2:$B$100,0)+(140*_xlfn.XLOOKUP(B96,Animals!B:B,Animals!AO:AO)*2),5)</f>
        <v>1000</v>
      </c>
      <c r="AU96" s="8">
        <f>IFERROR(ROUND(SQRT(V96-1)*IF(_xlfn.XLOOKUP(E96,Groups!A:A,Groups!BF:BF)=0,2,1)*IF(_xlfn.XLOOKUP('Base stats'!E96,Groups!A:A,Groups!O:O)=0,1,0.1),1),0)</f>
        <v>0</v>
      </c>
      <c r="AV96" s="8">
        <f t="shared" si="36"/>
        <v>0</v>
      </c>
      <c r="AW96" s="8">
        <f t="shared" si="37"/>
        <v>9</v>
      </c>
      <c r="AX96" s="8">
        <f t="shared" si="38"/>
        <v>6.8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3.4960118395648152</v>
      </c>
      <c r="AZ96" s="8">
        <f>IF(W96="No","No",IF(_xlfn.XLOOKUP(E96,Groups!A:A,Groups!U:U)=1,'Base stats'!AY96,IF(OR(_xlfn.XLOOKUP(E96,Groups!A:A,Groups!BD:BD)=1,_xlfn.XLOOKUP(E96,Groups!A:A,Groups!U:U)=2),BA96,IF(_xlfn.XLOOKUP(B96,Animals!B:B,Animals!AO:AO)&gt;4,AVERAGE(BA96,BC96),BC96))))</f>
        <v>5.545715701799768</v>
      </c>
      <c r="BA96" s="8">
        <f t="shared" si="39"/>
        <v>3.4960118395648152</v>
      </c>
      <c r="BB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C96" s="8">
        <f>(0.048*C96^1.01)/IF(_xlfn.XLOOKUP(E96,Groups!A:A,Groups!M:M)=1,0.25,0.8)*C96^-0.25</f>
        <v>5.545715701799768</v>
      </c>
      <c r="BD96" s="8">
        <f>EXP(1.076*LN(AO96)-4.5397)*IF(_xlfn.XLOOKUP(E96,Groups!A:A,Groups!BC:BC)=1,1.25,IF(_xlfn.XLOOKUP(E96,Groups!A:A,Groups!BD:BD)=1,3.5,2.5))</f>
        <v>441.214274487794</v>
      </c>
      <c r="BE96" s="8">
        <f>EXP(1.076*LN(AP96)-4.5397)*IF(_xlfn.XLOOKUP(E96,Groups!A:A,Groups!M:M)=1,0.8,IF(_xlfn.XLOOKUP(E96,Groups!A:A,Groups!BC:BC)=1,1.3,3))</f>
        <v>515.01456660506551</v>
      </c>
      <c r="BF96" s="8">
        <f>IF(W96="No","No",IF(_xlfn.XLOOKUP(E96,Groups!A:A,Groups!U:U)=1,'Base stats'!BG96,IF(OR(_xlfn.XLOOKUP(E96,Groups!A:A,Groups!BD:BD)=1,_xlfn.XLOOKUP(E96,Groups!A:A,Groups!U:U)=2),BD96,BE96))*1.2)</f>
        <v>618.01747992607864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44"/>
        <v>15</v>
      </c>
      <c r="BI96" s="8">
        <f t="shared" si="45"/>
        <v>11</v>
      </c>
      <c r="BJ96" s="8">
        <f t="shared" si="40"/>
        <v>14</v>
      </c>
      <c r="BK96" s="8" t="str">
        <f t="shared" si="41"/>
        <v>No</v>
      </c>
      <c r="BL96" s="8">
        <f t="shared" si="46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N96" s="8">
        <f>IF(W96="No","No",IF(_xlfn.XLOOKUP(E96,Groups!A:A,Groups!BD:BD)=1,(AL96*5%),EXP(0.7354*LN(C96)^0.4078)*2/IF(_xlfn.XLOOKUP(E96,Groups!A:A,Groups!BL:BL)=1,1000,100)))</f>
        <v>9.1669548120059424E-2</v>
      </c>
      <c r="BO96" s="8" t="str">
        <f>IF(BG96="No","No",IF(_xlfn.XLOOKUP(E96,Groups!A:A,Groups!BF:BF)=1,(0.0315*C96+2.1825)*2,(0.7354*C96^0.4078)*2)/IF(_xlfn.XLOOKUP(E96,Groups!A:A,Groups!BM:BM)=1,1000,100))</f>
        <v>No</v>
      </c>
      <c r="BP96" s="8">
        <f t="shared" si="42"/>
        <v>0.1656055256280648</v>
      </c>
      <c r="BQ96" s="8">
        <f t="shared" si="47"/>
        <v>7.3536127416123254</v>
      </c>
      <c r="BR96" s="8">
        <f t="shared" si="43"/>
        <v>6741.7969500260042</v>
      </c>
      <c r="BS96" s="8" t="str">
        <f t="shared" si="48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Groups!A50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34"/>
        <v>46690.103725594781</v>
      </c>
      <c r="AM97" s="8">
        <f>IFERROR(C97*_xlfn.XLOOKUP(E97,Groups!A:A,Groups!K:K),0.106*C97^0.94)</f>
        <v>23.643827698853102</v>
      </c>
      <c r="AN97" s="8">
        <f>AM97*10000/(_xlfn.XLOOKUP(E97,Groups!A:A,Groups!J:J)*AL97)</f>
        <v>4.6458635372292765</v>
      </c>
      <c r="AO97" s="8">
        <f t="shared" si="35"/>
        <v>7010.7369859297514</v>
      </c>
      <c r="AP97" s="8">
        <f>IF(_xlfn.XLOOKUP(E97,Groups!A:A,Groups!M:M)=1,EXP(0.7444*LN('Base stats'!C97)+6.5696),EXP(0.7927*LN('Base stats'!C97)+4.28))</f>
        <v>6905.4368583239793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6905.4368583239793</v>
      </c>
      <c r="AS97" s="46">
        <f>IFERROR(AVERAGE(_xlfn.XLOOKUP(B97,Animals!B:B,Animals!N:N),_xlfn.XLOOKUP(B97,Animals!B:B,Animals!O:O)),0)</f>
        <v>0</v>
      </c>
      <c r="AT97" s="8">
        <f>MROUND(40*Animals!AO97*_xlfn.XLOOKUP(Animals!BA97,Leathers!$A$2:$A$100,Leathers!$B$2:$B$100,0)+(140*_xlfn.XLOOKUP(B97,Animals!B:B,Animals!AO:AO)*2),5)</f>
        <v>820</v>
      </c>
      <c r="AU97" s="8">
        <f>IFERROR(ROUND(SQRT(V97-1)*IF(_xlfn.XLOOKUP(E97,Groups!A:A,Groups!BF:BF)=0,2,1)*IF(_xlfn.XLOOKUP('Base stats'!E97,Groups!A:A,Groups!O:O)=0,1,0.1),1),0)</f>
        <v>0</v>
      </c>
      <c r="AV97" s="8">
        <f t="shared" si="36"/>
        <v>0</v>
      </c>
      <c r="AW97" s="8">
        <f t="shared" si="37"/>
        <v>7.5</v>
      </c>
      <c r="AX97" s="8">
        <f t="shared" si="3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2.9992469409942233</v>
      </c>
      <c r="AZ97" s="8">
        <f>IF(W97="No","No",IF(_xlfn.XLOOKUP(E97,Groups!A:A,Groups!U:U)=1,'Base stats'!AY97,IF(OR(_xlfn.XLOOKUP(E97,Groups!A:A,Groups!BD:BD)=1,_xlfn.XLOOKUP(E97,Groups!A:A,Groups!U:U)=2),BA97,IF(_xlfn.XLOOKUP(B97,Animals!B:B,Animals!AO:AO)&gt;4,AVERAGE(BA97,BC97),BC97))))</f>
        <v>2.9992469409942233</v>
      </c>
      <c r="BA97" s="8">
        <f t="shared" si="39"/>
        <v>2.9992469409942233</v>
      </c>
      <c r="BB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C97" s="8">
        <f>(0.048*C97^1.01)/IF(_xlfn.XLOOKUP(E97,Groups!A:A,Groups!M:M)=1,0.25,0.8)*C97^-0.25</f>
        <v>4.7518997656342457</v>
      </c>
      <c r="BD97" s="8">
        <f>EXP(1.076*LN(AO97)-4.5397)*IF(_xlfn.XLOOKUP(E97,Groups!A:A,Groups!BC:BC)=1,1.25,IF(_xlfn.XLOOKUP(E97,Groups!A:A,Groups!BD:BD)=1,3.5,2.5))</f>
        <v>513.50313408080808</v>
      </c>
      <c r="BE97" s="8">
        <f>EXP(1.076*LN(AP97)-4.5397)*IF(_xlfn.XLOOKUP(E97,Groups!A:A,Groups!M:M)=1,0.8,IF(_xlfn.XLOOKUP(E97,Groups!A:A,Groups!BC:BC)=1,1.3,3))</f>
        <v>433.03627852091654</v>
      </c>
      <c r="BF97" s="8">
        <f>IF(W97="No","No",IF(_xlfn.XLOOKUP(E97,Groups!A:A,Groups!U:U)=1,'Base stats'!BG97,IF(OR(_xlfn.XLOOKUP(E97,Groups!A:A,Groups!BD:BD)=1,_xlfn.XLOOKUP(E97,Groups!A:A,Groups!U:U)=2),BD97,BE97))*1.2)</f>
        <v>616.2037608969697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44"/>
        <v>18</v>
      </c>
      <c r="BI97" s="8">
        <f t="shared" si="45"/>
        <v>11</v>
      </c>
      <c r="BJ97" s="8">
        <f t="shared" si="40"/>
        <v>20</v>
      </c>
      <c r="BK97" s="8" t="str">
        <f t="shared" si="41"/>
        <v>No</v>
      </c>
      <c r="BL97" s="8">
        <f t="shared" si="46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N97" s="8">
        <f>IF(W97="No","No",IF(_xlfn.XLOOKUP(E97,Groups!A:A,Groups!BD:BD)=1,(AL97*5%),EXP(0.7354*LN(C97)^0.4078)*2/IF(_xlfn.XLOOKUP(E97,Groups!A:A,Groups!BL:BL)=1,1000,100)))</f>
        <v>2334.5051862797391</v>
      </c>
      <c r="BO97" s="8" t="str">
        <f>IF(BG97="No","No",IF(_xlfn.XLOOKUP(E97,Groups!A:A,Groups!BF:BF)=1,(0.0315*C97+2.1825)*2,(0.7354*C97^0.4078)*2)/IF(_xlfn.XLOOKUP(E97,Groups!A:A,Groups!BM:BM)=1,1000,100))</f>
        <v>No</v>
      </c>
      <c r="BP97" s="8">
        <f t="shared" si="42"/>
        <v>0.21996230168977488</v>
      </c>
      <c r="BQ97" s="8">
        <f t="shared" si="47"/>
        <v>7.4286345950640467</v>
      </c>
      <c r="BR97" s="8">
        <f t="shared" si="43"/>
        <v>0.26395476202772988</v>
      </c>
      <c r="BS97" s="8" t="str">
        <f t="shared" si="48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51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52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IFERROR(AVERAGE(_xlfn.XLOOKUP(B98,Animals!B:B,Animals!N:N),_xlfn.XLOOKUP(B98,Animals!B:B,Animals!O:O)),0)</f>
        <v>0.32500000000000007</v>
      </c>
      <c r="AT98" s="8">
        <f>MROUND(40*Animals!AO98*_xlfn.XLOOKUP(Animals!BA98,Leathers!$A$2:$A$100,Leathers!$B$2:$B$100,0)+(140*_xlfn.XLOOKUP(B98,Animals!B:B,Animals!AO:AO)*2),5)</f>
        <v>240</v>
      </c>
      <c r="AU98" s="8">
        <f>IFERROR(ROUND(SQRT(V98-1)*IF(_xlfn.XLOOKUP(E98,Groups!A:A,Groups!BF:BF)=0,2,1)*IF(_xlfn.XLOOKUP('Base stats'!E98,Groups!A:A,Groups!O:O)=0,1,0.1),1),0)</f>
        <v>0</v>
      </c>
      <c r="AV98" s="8">
        <f t="shared" ref="AV98:AV129" si="53">IFERROR(ROUND(SQRT(U98-1),1),0)</f>
        <v>0</v>
      </c>
      <c r="AW98" s="8">
        <f t="shared" ref="AW98:AW129" si="54">IFERROR(ROUND(SQRT(W98),1),0)</f>
        <v>0</v>
      </c>
      <c r="AX98" s="8">
        <f t="shared" ref="AX98:AX129" si="55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stats'!AY98,IF(OR(_xlfn.XLOOKUP(E98,Groups!A:A,Groups!BD:BD)=1,_xlfn.XLOOKUP(E98,Groups!A:A,Groups!U:U)=2),BA98,IF(_xlfn.XLOOKUP(B98,Animals!B:B,Animals!AO:AO)&gt;4,AVERAGE(BA98,BC98),BC98))))</f>
        <v>No</v>
      </c>
      <c r="BA98" s="8">
        <f t="shared" ref="BA98:BA129" si="56">(0.0392*C98^IF(OR(Y98="Herbivore",Y98="Dendrovore",Y98="OmnivoreRough"),0.889,0.966))*C98^-0.135</f>
        <v>0.74870278790389155</v>
      </c>
      <c r="BB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EXP(1.076*LN(AO98)-4.5397)*IF(_xlfn.XLOOKUP(E98,Groups!A:A,Groups!BC:BC)=1,1.25,IF(_xlfn.XLOOKUP(E98,Groups!A:A,Groups!BD:BD)=1,3.5,2.5))</f>
        <v>34.42442382219248</v>
      </c>
      <c r="BE98" s="8">
        <f>EXP(1.076*LN(AP98)-4.5397)*IF(_xlfn.XLOOKUP(E98,Groups!A:A,Groups!M:M)=1,0.8,IF(_xlfn.XLOOKUP(E98,Groups!A:A,Groups!BC:BC)=1,1.3,3))</f>
        <v>39.043855300247856</v>
      </c>
      <c r="BF98" s="8" t="str">
        <f>IF(W98="No","No",IF(_xlfn.XLOOKUP(E98,Groups!A:A,Groups!U:U)=1,'Base stats'!BG98,IF(OR(_xlfn.XLOOKUP(E98,Groups!A:A,Groups!BD:BD)=1,_xlfn.XLOOKUP(E98,Groups!A:A,Groups!U:U)=2),BD98,BE98))*1.2)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44"/>
        <v>9</v>
      </c>
      <c r="BI98" s="8">
        <f t="shared" si="45"/>
        <v>9</v>
      </c>
      <c r="BJ98" s="8" t="str">
        <f t="shared" ref="BJ98:BJ129" si="57">IF(W98="No","No",ROUNDDOWN(SQRT((2*BF98)/AZ98),0))</f>
        <v>No</v>
      </c>
      <c r="BK98" s="8">
        <f t="shared" ref="BK98:BK129" si="58">IF(V98="No","No",ROUNDDOWN(SQRT((2*BG98)/AY98),0))</f>
        <v>9</v>
      </c>
      <c r="BL98" s="8">
        <f t="shared" si="46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N98" s="8" t="str">
        <f>IF(W98="No","No",IF(_xlfn.XLOOKUP(E98,Groups!A:A,Groups!BD:BD)=1,(AL98*5%),EXP(0.7354*LN(C98)^0.4078)*2/IF(_xlfn.XLOOKUP(E98,Groups!A:A,Groups!BL:BL)=1,1000,100)))</f>
        <v>No</v>
      </c>
      <c r="BO98" s="8">
        <f>IF(BG98="No","No",IF(_xlfn.XLOOKUP(E98,Groups!A:A,Groups!BF:BF)=1,(0.0315*C98+2.1825)*2,(0.7354*C98^0.4078)*2)/IF(_xlfn.XLOOKUP(E98,Groups!A:A,Groups!BM:BM)=1,1000,100))</f>
        <v>7.2509279375208957E-2</v>
      </c>
      <c r="BP98" s="8">
        <f t="shared" ref="BP98:BP129" si="59">BD98/(AL98*5%)</f>
        <v>4.8780157032688065E-2</v>
      </c>
      <c r="BQ98" s="8" t="str">
        <f t="shared" si="47"/>
        <v>No</v>
      </c>
      <c r="BR98" s="8" t="str">
        <f t="shared" ref="BR98:BR129" si="60">IF(W98="No","No",BF98/BN98)</f>
        <v>No</v>
      </c>
      <c r="BS98" s="8">
        <f t="shared" si="48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51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52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IFERROR(AVERAGE(_xlfn.XLOOKUP(B99,Animals!B:B,Animals!N:N),_xlfn.XLOOKUP(B99,Animals!B:B,Animals!O:O)),0)</f>
        <v>0</v>
      </c>
      <c r="AT99" s="8">
        <f>MROUND(40*Animals!AO99*_xlfn.XLOOKUP(Animals!BA99,Leathers!$A$2:$A$100,Leathers!$B$2:$B$100,0)+(140*_xlfn.XLOOKUP(B99,Animals!B:B,Animals!AO:AO)*2),5)</f>
        <v>290</v>
      </c>
      <c r="AU99" s="8">
        <f>IFERROR(ROUND(SQRT(V99-1)*IF(_xlfn.XLOOKUP(E99,Groups!A:A,Groups!BF:BF)=0,2,1)*IF(_xlfn.XLOOKUP('Base stats'!E99,Groups!A:A,Groups!O:O)=0,1,0.1),1),0)</f>
        <v>3</v>
      </c>
      <c r="AV99" s="8">
        <f t="shared" si="53"/>
        <v>0</v>
      </c>
      <c r="AW99" s="8">
        <f t="shared" si="54"/>
        <v>0</v>
      </c>
      <c r="AX99" s="8">
        <f t="shared" si="55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stats'!AY99,IF(OR(_xlfn.XLOOKUP(E99,Groups!A:A,Groups!BD:BD)=1,_xlfn.XLOOKUP(E99,Groups!A:A,Groups!U:U)=2),BA99,IF(_xlfn.XLOOKUP(B99,Animals!B:B,Animals!AO:AO)&gt;4,AVERAGE(BA99,BC99),BC99))))</f>
        <v>No</v>
      </c>
      <c r="BA99" s="8">
        <f t="shared" si="56"/>
        <v>0.92705535303548403</v>
      </c>
      <c r="BB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EXP(1.076*LN(AO99)-4.5397)*IF(_xlfn.XLOOKUP(E99,Groups!A:A,Groups!BC:BC)=1,1.25,IF(_xlfn.XLOOKUP(E99,Groups!A:A,Groups!BD:BD)=1,3.5,2.5))</f>
        <v>62.561596172096557</v>
      </c>
      <c r="BE99" s="8">
        <f>EXP(1.076*LN(AP99)-4.5397)*IF(_xlfn.XLOOKUP(E99,Groups!A:A,Groups!M:M)=1,0.8,IF(_xlfn.XLOOKUP(E99,Groups!A:A,Groups!BC:BC)=1,1.3,3))</f>
        <v>82.35727435557628</v>
      </c>
      <c r="BF99" s="8" t="str">
        <f>IF(W99="No","No",IF(_xlfn.XLOOKUP(E99,Groups!A:A,Groups!U:U)=1,'Base stats'!BG99,IF(OR(_xlfn.XLOOKUP(E99,Groups!A:A,Groups!BD:BD)=1,_xlfn.XLOOKUP(E99,Groups!A:A,Groups!U:U)=2),BD99,BE99))*1.2)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44"/>
        <v>11</v>
      </c>
      <c r="BI99" s="8">
        <f t="shared" si="45"/>
        <v>10</v>
      </c>
      <c r="BJ99" s="8" t="str">
        <f t="shared" si="57"/>
        <v>No</v>
      </c>
      <c r="BK99" s="8">
        <f t="shared" si="58"/>
        <v>10</v>
      </c>
      <c r="BL99" s="8">
        <f t="shared" si="46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N99" s="8" t="str">
        <f>IF(W99="No","No",IF(_xlfn.XLOOKUP(E99,Groups!A:A,Groups!BD:BD)=1,(AL99*5%),EXP(0.7354*LN(C99)^0.4078)*2/IF(_xlfn.XLOOKUP(E99,Groups!A:A,Groups!BL:BL)=1,1000,100)))</f>
        <v>No</v>
      </c>
      <c r="BO99" s="8">
        <f>IF(BG99="No","No",IF(_xlfn.XLOOKUP(E99,Groups!A:A,Groups!BF:BF)=1,(0.0315*C99+2.1825)*2,(0.7354*C99^0.4078)*2)/IF(_xlfn.XLOOKUP(E99,Groups!A:A,Groups!BM:BM)=1,1000,100))</f>
        <v>6.9459824922917246E-2</v>
      </c>
      <c r="BP99" s="8">
        <f t="shared" si="59"/>
        <v>9.4935076247559105E-2</v>
      </c>
      <c r="BQ99" s="8" t="str">
        <f t="shared" si="47"/>
        <v>No</v>
      </c>
      <c r="BR99" s="8" t="str">
        <f t="shared" si="60"/>
        <v>No</v>
      </c>
      <c r="BS99" s="8">
        <f t="shared" si="48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D100" s="7" t="s">
        <v>1311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51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52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IFERROR(AVERAGE(_xlfn.XLOOKUP(B100,Animals!B:B,Animals!N:N),_xlfn.XLOOKUP(B100,Animals!B:B,Animals!O:O)),0)</f>
        <v>0</v>
      </c>
      <c r="AT100" s="8">
        <f>MROUND(40*Animals!AO100*_xlfn.XLOOKUP(Animals!BA100,Leathers!$A$2:$A$100,Leathers!$B$2:$B$100,0)+(140*_xlfn.XLOOKUP(B100,Animals!B:B,Animals!AO:AO)*2),5)</f>
        <v>400</v>
      </c>
      <c r="AU100" s="8">
        <f>IFERROR(ROUND(SQRT(V100-1)*IF(_xlfn.XLOOKUP(E100,Groups!A:A,Groups!BF:BF)=0,2,1)*IF(_xlfn.XLOOKUP('Base stats'!E100,Groups!A:A,Groups!O:O)=0,1,0.1),1),0)</f>
        <v>3.3</v>
      </c>
      <c r="AV100" s="8">
        <f t="shared" si="53"/>
        <v>0</v>
      </c>
      <c r="AW100" s="8">
        <f t="shared" si="54"/>
        <v>0</v>
      </c>
      <c r="AX100" s="8">
        <f t="shared" si="55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stats'!AY100,IF(OR(_xlfn.XLOOKUP(E100,Groups!A:A,Groups!BD:BD)=1,_xlfn.XLOOKUP(E100,Groups!A:A,Groups!U:U)=2),BA100,IF(_xlfn.XLOOKUP(B100,Animals!B:B,Animals!AO:AO)&gt;4,AVERAGE(BA100,BC100),BC100))))</f>
        <v>No</v>
      </c>
      <c r="BA100" s="8">
        <f t="shared" si="56"/>
        <v>1.3064746082064107</v>
      </c>
      <c r="BB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EXP(1.076*LN(AO100)-4.5397)*IF(_xlfn.XLOOKUP(E100,Groups!A:A,Groups!BC:BC)=1,1.25,IF(_xlfn.XLOOKUP(E100,Groups!A:A,Groups!BD:BD)=1,3.5,2.5))</f>
        <v>91.047875310537293</v>
      </c>
      <c r="BE100" s="8">
        <f>EXP(1.076*LN(AP100)-4.5397)*IF(_xlfn.XLOOKUP(E100,Groups!A:A,Groups!M:M)=1,0.8,IF(_xlfn.XLOOKUP(E100,Groups!A:A,Groups!BC:BC)=1,1.3,3))</f>
        <v>117.12024383801356</v>
      </c>
      <c r="BF100" s="8" t="str">
        <f>IF(W100="No","No",IF(_xlfn.XLOOKUP(E100,Groups!A:A,Groups!U:U)=1,'Base stats'!BG100,IF(OR(_xlfn.XLOOKUP(E100,Groups!A:A,Groups!BD:BD)=1,_xlfn.XLOOKUP(E100,Groups!A:A,Groups!U:U)=2),BD100,BE100))*1.2)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44"/>
        <v>11</v>
      </c>
      <c r="BI100" s="8">
        <f t="shared" si="45"/>
        <v>11</v>
      </c>
      <c r="BJ100" s="8" t="str">
        <f t="shared" si="57"/>
        <v>No</v>
      </c>
      <c r="BK100" s="8">
        <f t="shared" si="58"/>
        <v>11</v>
      </c>
      <c r="BL100" s="8">
        <f t="shared" si="46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N100" s="8" t="str">
        <f>IF(W100="No","No",IF(_xlfn.XLOOKUP(E100,Groups!A:A,Groups!BD:BD)=1,(AL100*5%),EXP(0.7354*LN(C100)^0.4078)*2/IF(_xlfn.XLOOKUP(E100,Groups!A:A,Groups!BL:BL)=1,1000,100)))</f>
        <v>No</v>
      </c>
      <c r="BO100" s="8">
        <f>IF(BG100="No","No",IF(_xlfn.XLOOKUP(E100,Groups!A:A,Groups!BF:BF)=1,(0.0315*C100+2.1825)*2,(0.7354*C100^0.4078)*2)/IF(_xlfn.XLOOKUP(E100,Groups!A:A,Groups!BM:BM)=1,1000,100))</f>
        <v>8.2196013688283359E-2</v>
      </c>
      <c r="BP100" s="8">
        <f t="shared" si="59"/>
        <v>0.10564429254924645</v>
      </c>
      <c r="BQ100" s="8" t="str">
        <f t="shared" si="47"/>
        <v>No</v>
      </c>
      <c r="BR100" s="8" t="str">
        <f t="shared" si="60"/>
        <v>No</v>
      </c>
      <c r="BS100" s="8">
        <f t="shared" si="48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51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52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IFERROR(AVERAGE(_xlfn.XLOOKUP(B101,Animals!B:B,Animals!N:N),_xlfn.XLOOKUP(B101,Animals!B:B,Animals!O:O)),0)</f>
        <v>0.05</v>
      </c>
      <c r="AT101" s="8">
        <f>MROUND(40*Animals!AO101*_xlfn.XLOOKUP(Animals!BA101,Leathers!$A$2:$A$100,Leathers!$B$2:$B$100,0)+(140*_xlfn.XLOOKUP(B101,Animals!B:B,Animals!AO:AO)*2),5)</f>
        <v>30</v>
      </c>
      <c r="AU101" s="8">
        <f>IFERROR(ROUND(SQRT(V101-1)*IF(_xlfn.XLOOKUP(E101,Groups!A:A,Groups!BF:BF)=0,2,1)*IF(_xlfn.XLOOKUP('Base stats'!E101,Groups!A:A,Groups!O:O)=0,1,0.1),1),0)</f>
        <v>0</v>
      </c>
      <c r="AV101" s="8">
        <f t="shared" si="53"/>
        <v>0.7</v>
      </c>
      <c r="AW101" s="8">
        <f t="shared" si="54"/>
        <v>0</v>
      </c>
      <c r="AX101" s="8">
        <f t="shared" si="55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stats'!AY101,IF(OR(_xlfn.XLOOKUP(E101,Groups!A:A,Groups!BD:BD)=1,_xlfn.XLOOKUP(E101,Groups!A:A,Groups!U:U)=2),BA101,IF(_xlfn.XLOOKUP(B101,Animals!B:B,Animals!AO:AO)&gt;4,AVERAGE(BA101,BC101),BC101))))</f>
        <v>No</v>
      </c>
      <c r="BA101" s="8">
        <f t="shared" si="56"/>
        <v>1.581377273367229E-2</v>
      </c>
      <c r="BB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EXP(1.076*LN(AO101)-4.5397)*IF(_xlfn.XLOOKUP(E101,Groups!A:A,Groups!BC:BC)=1,1.25,IF(_xlfn.XLOOKUP(E101,Groups!A:A,Groups!BD:BD)=1,3.5,2.5))</f>
        <v>0.32918085782853995</v>
      </c>
      <c r="BE101" s="8">
        <f>EXP(1.076*LN(AP101)-4.5397)*IF(_xlfn.XLOOKUP(E101,Groups!A:A,Groups!M:M)=1,0.8,IF(_xlfn.XLOOKUP(E101,Groups!A:A,Groups!BC:BC)=1,1.3,3))</f>
        <v>3.8255209501584542</v>
      </c>
      <c r="BF101" s="8" t="str">
        <f>IF(W101="No","No",IF(_xlfn.XLOOKUP(E101,Groups!A:A,Groups!U:U)=1,'Base stats'!BG101,IF(OR(_xlfn.XLOOKUP(E101,Groups!A:A,Groups!BD:BD)=1,_xlfn.XLOOKUP(E101,Groups!A:A,Groups!U:U)=2),BD101,BE101))*1.2)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44"/>
        <v>6</v>
      </c>
      <c r="BI101" s="8">
        <f t="shared" si="45"/>
        <v>15</v>
      </c>
      <c r="BJ101" s="8" t="str">
        <f t="shared" si="57"/>
        <v>No</v>
      </c>
      <c r="BK101" s="8" t="str">
        <f t="shared" si="58"/>
        <v>No</v>
      </c>
      <c r="BL101" s="8">
        <f t="shared" si="46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N101" s="8" t="str">
        <f>IF(W101="No","No",IF(_xlfn.XLOOKUP(E101,Groups!A:A,Groups!BD:BD)=1,(AL101*5%),EXP(0.7354*LN(C101)^0.4078)*2/IF(_xlfn.XLOOKUP(E101,Groups!A:A,Groups!BL:BL)=1,1000,100)))</f>
        <v>No</v>
      </c>
      <c r="BO101" s="8" t="str">
        <f>IF(BG101="No","No",IF(_xlfn.XLOOKUP(E101,Groups!A:A,Groups!BF:BF)=1,(0.0315*C101+2.1825)*2,(0.7354*C101^0.4078)*2)/IF(_xlfn.XLOOKUP(E101,Groups!A:A,Groups!BM:BM)=1,1000,100))</f>
        <v>No</v>
      </c>
      <c r="BP101" s="8">
        <f t="shared" si="59"/>
        <v>1.2972174256417094E-2</v>
      </c>
      <c r="BQ101" s="8">
        <f t="shared" si="47"/>
        <v>424.97845744360723</v>
      </c>
      <c r="BR101" s="8" t="str">
        <f t="shared" si="60"/>
        <v>No</v>
      </c>
      <c r="BS101" s="8" t="str">
        <f t="shared" si="48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51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52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IFERROR(AVERAGE(_xlfn.XLOOKUP(B102,Animals!B:B,Animals!N:N),_xlfn.XLOOKUP(B102,Animals!B:B,Animals!O:O)),0)</f>
        <v>0.05</v>
      </c>
      <c r="AT102" s="8">
        <f>MROUND(40*Animals!AO102*_xlfn.XLOOKUP(Animals!BA102,Leathers!$A$2:$A$100,Leathers!$B$2:$B$100,0)+(140*_xlfn.XLOOKUP(B102,Animals!B:B,Animals!AO:AO)*2),5)</f>
        <v>30</v>
      </c>
      <c r="AU102" s="8">
        <f>IFERROR(ROUND(SQRT(V102-1)*IF(_xlfn.XLOOKUP(E102,Groups!A:A,Groups!BF:BF)=0,2,1)*IF(_xlfn.XLOOKUP('Base stats'!E102,Groups!A:A,Groups!O:O)=0,1,0.1),1),0)</f>
        <v>0</v>
      </c>
      <c r="AV102" s="8">
        <f t="shared" si="53"/>
        <v>0.7</v>
      </c>
      <c r="AW102" s="8">
        <f t="shared" si="54"/>
        <v>0</v>
      </c>
      <c r="AX102" s="8">
        <f t="shared" si="55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stats'!AY102,IF(OR(_xlfn.XLOOKUP(E102,Groups!A:A,Groups!BD:BD)=1,_xlfn.XLOOKUP(E102,Groups!A:A,Groups!U:U)=2),BA102,IF(_xlfn.XLOOKUP(B102,Animals!B:B,Animals!AO:AO)&gt;4,AVERAGE(BA102,BC102),BC102))))</f>
        <v>No</v>
      </c>
      <c r="BA102" s="8">
        <f t="shared" si="56"/>
        <v>1.581377273367229E-2</v>
      </c>
      <c r="BB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EXP(1.076*LN(AO102)-4.5397)*IF(_xlfn.XLOOKUP(E102,Groups!A:A,Groups!BC:BC)=1,1.25,IF(_xlfn.XLOOKUP(E102,Groups!A:A,Groups!BD:BD)=1,3.5,2.5))</f>
        <v>0.32918085782853995</v>
      </c>
      <c r="BE102" s="8">
        <f>EXP(1.076*LN(AP102)-4.5397)*IF(_xlfn.XLOOKUP(E102,Groups!A:A,Groups!M:M)=1,0.8,IF(_xlfn.XLOOKUP(E102,Groups!A:A,Groups!BC:BC)=1,1.3,3))</f>
        <v>3.8255209501584542</v>
      </c>
      <c r="BF102" s="8" t="str">
        <f>IF(W102="No","No",IF(_xlfn.XLOOKUP(E102,Groups!A:A,Groups!U:U)=1,'Base stats'!BG102,IF(OR(_xlfn.XLOOKUP(E102,Groups!A:A,Groups!BD:BD)=1,_xlfn.XLOOKUP(E102,Groups!A:A,Groups!U:U)=2),BD102,BE102))*1.2)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44"/>
        <v>6</v>
      </c>
      <c r="BI102" s="8">
        <f t="shared" si="45"/>
        <v>15</v>
      </c>
      <c r="BJ102" s="8" t="str">
        <f t="shared" si="57"/>
        <v>No</v>
      </c>
      <c r="BK102" s="8" t="str">
        <f t="shared" si="58"/>
        <v>No</v>
      </c>
      <c r="BL102" s="8">
        <f t="shared" si="46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N102" s="8" t="str">
        <f>IF(W102="No","No",IF(_xlfn.XLOOKUP(E102,Groups!A:A,Groups!BD:BD)=1,(AL102*5%),EXP(0.7354*LN(C102)^0.4078)*2/IF(_xlfn.XLOOKUP(E102,Groups!A:A,Groups!BL:BL)=1,1000,100)))</f>
        <v>No</v>
      </c>
      <c r="BO102" s="8" t="str">
        <f>IF(BG102="No","No",IF(_xlfn.XLOOKUP(E102,Groups!A:A,Groups!BF:BF)=1,(0.0315*C102+2.1825)*2,(0.7354*C102^0.4078)*2)/IF(_xlfn.XLOOKUP(E102,Groups!A:A,Groups!BM:BM)=1,1000,100))</f>
        <v>No</v>
      </c>
      <c r="BP102" s="8">
        <f t="shared" si="59"/>
        <v>1.2972174256417094E-2</v>
      </c>
      <c r="BQ102" s="8">
        <f t="shared" si="47"/>
        <v>424.97845744360723</v>
      </c>
      <c r="BR102" s="8" t="str">
        <f t="shared" si="60"/>
        <v>No</v>
      </c>
      <c r="BS102" s="8" t="str">
        <f t="shared" si="48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51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52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IFERROR(AVERAGE(_xlfn.XLOOKUP(B103,Animals!B:B,Animals!N:N),_xlfn.XLOOKUP(B103,Animals!B:B,Animals!O:O)),0)</f>
        <v>0.25</v>
      </c>
      <c r="AT103" s="8">
        <f>MROUND(40*Animals!AO103*_xlfn.XLOOKUP(Animals!BA103,Leathers!$A$2:$A$100,Leathers!$B$2:$B$100,0)+(140*_xlfn.XLOOKUP(B103,Animals!B:B,Animals!AO:AO)*2),5)</f>
        <v>180</v>
      </c>
      <c r="AU103" s="8">
        <f>IFERROR(ROUND(SQRT(V103-1)*IF(_xlfn.XLOOKUP(E103,Groups!A:A,Groups!BF:BF)=0,2,1)*IF(_xlfn.XLOOKUP('Base stats'!E103,Groups!A:A,Groups!O:O)=0,1,0.1),1),0)</f>
        <v>5.3</v>
      </c>
      <c r="AV103" s="8">
        <f t="shared" si="53"/>
        <v>0</v>
      </c>
      <c r="AW103" s="8">
        <f t="shared" si="54"/>
        <v>0</v>
      </c>
      <c r="AX103" s="8">
        <f t="shared" si="55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stats'!AY103,IF(OR(_xlfn.XLOOKUP(E103,Groups!A:A,Groups!BD:BD)=1,_xlfn.XLOOKUP(E103,Groups!A:A,Groups!U:U)=2),BA103,IF(_xlfn.XLOOKUP(B103,Animals!B:B,Animals!AO:AO)&gt;4,AVERAGE(BA103,BC103),BC103))))</f>
        <v>No</v>
      </c>
      <c r="BA103" s="8">
        <f t="shared" si="56"/>
        <v>0.56881915680859008</v>
      </c>
      <c r="BB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EXP(1.076*LN(AO103)-4.5397)*IF(_xlfn.XLOOKUP(E103,Groups!A:A,Groups!BC:BC)=1,1.25,IF(_xlfn.XLOOKUP(E103,Groups!A:A,Groups!BD:BD)=1,3.5,2.5))</f>
        <v>18.334174469833012</v>
      </c>
      <c r="BE103" s="8">
        <f>EXP(1.076*LN(AP103)-4.5397)*IF(_xlfn.XLOOKUP(E103,Groups!A:A,Groups!M:M)=1,0.8,IF(_xlfn.XLOOKUP(E103,Groups!A:A,Groups!BC:BC)=1,1.3,3))</f>
        <v>132.1956710188129</v>
      </c>
      <c r="BF103" s="8" t="str">
        <f>IF(W103="No","No",IF(_xlfn.XLOOKUP(E103,Groups!A:A,Groups!U:U)=1,'Base stats'!BG103,IF(OR(_xlfn.XLOOKUP(E103,Groups!A:A,Groups!BD:BD)=1,_xlfn.XLOOKUP(E103,Groups!A:A,Groups!U:U)=2),BD103,BE103))*1.2)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44"/>
        <v>8</v>
      </c>
      <c r="BI103" s="8">
        <f t="shared" si="45"/>
        <v>16</v>
      </c>
      <c r="BJ103" s="8" t="str">
        <f t="shared" si="57"/>
        <v>No</v>
      </c>
      <c r="BK103" s="8">
        <f t="shared" si="58"/>
        <v>15</v>
      </c>
      <c r="BL103" s="8">
        <f t="shared" si="46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N103" s="8" t="str">
        <f>IF(W103="No","No",IF(_xlfn.XLOOKUP(E103,Groups!A:A,Groups!BD:BD)=1,(AL103*5%),EXP(0.7354*LN(C103)^0.4078)*2/IF(_xlfn.XLOOKUP(E103,Groups!A:A,Groups!BL:BL)=1,1000,100)))</f>
        <v>No</v>
      </c>
      <c r="BO103" s="8">
        <f>IF(BG103="No","No",IF(_xlfn.XLOOKUP(E103,Groups!A:A,Groups!BF:BF)=1,(0.0315*C103+2.1825)*2,(0.7354*C103^0.4078)*2)/IF(_xlfn.XLOOKUP(E103,Groups!A:A,Groups!BM:BM)=1,1000,100))</f>
        <v>5.4655460365074494E-2</v>
      </c>
      <c r="BP103" s="8">
        <f t="shared" si="59"/>
        <v>4.0766870244697828E-2</v>
      </c>
      <c r="BQ103" s="8" t="str">
        <f t="shared" si="47"/>
        <v>No</v>
      </c>
      <c r="BR103" s="8" t="str">
        <f t="shared" si="60"/>
        <v>No</v>
      </c>
      <c r="BS103" s="8">
        <f t="shared" si="48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51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52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IFERROR(AVERAGE(_xlfn.XLOOKUP(B104,Animals!B:B,Animals!N:N),_xlfn.XLOOKUP(B104,Animals!B:B,Animals!O:O)),0)</f>
        <v>0.4</v>
      </c>
      <c r="AT104" s="8">
        <f>MROUND(40*Animals!AO104*_xlfn.XLOOKUP(Animals!BA104,Leathers!$A$2:$A$100,Leathers!$B$2:$B$100,0)+(140*_xlfn.XLOOKUP(B104,Animals!B:B,Animals!AO:AO)*2),5)</f>
        <v>420</v>
      </c>
      <c r="AU104" s="8">
        <f>IFERROR(ROUND(SQRT(V104-1)*IF(_xlfn.XLOOKUP(E104,Groups!A:A,Groups!BF:BF)=0,2,1)*IF(_xlfn.XLOOKUP('Base stats'!E104,Groups!A:A,Groups!O:O)=0,1,0.1),1),0)</f>
        <v>7.2</v>
      </c>
      <c r="AV104" s="8">
        <f t="shared" si="53"/>
        <v>2.2000000000000002</v>
      </c>
      <c r="AW104" s="8">
        <f t="shared" si="54"/>
        <v>0</v>
      </c>
      <c r="AX104" s="8">
        <f t="shared" si="55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stats'!AY104,IF(OR(_xlfn.XLOOKUP(E104,Groups!A:A,Groups!BD:BD)=1,_xlfn.XLOOKUP(E104,Groups!A:A,Groups!U:U)=2),BA104,IF(_xlfn.XLOOKUP(B104,Animals!B:B,Animals!AO:AO)&gt;4,AVERAGE(BA104,BC104),BC104))))</f>
        <v>No</v>
      </c>
      <c r="BA104" s="8">
        <f t="shared" si="56"/>
        <v>2.5212615648035737</v>
      </c>
      <c r="BB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EXP(1.076*LN(AO104)-4.5397)*IF(_xlfn.XLOOKUP(E104,Groups!A:A,Groups!BC:BC)=1,1.25,IF(_xlfn.XLOOKUP(E104,Groups!A:A,Groups!BD:BD)=1,3.5,2.5))</f>
        <v>93.437423078027194</v>
      </c>
      <c r="BE104" s="8">
        <f>EXP(1.076*LN(AP104)-4.5397)*IF(_xlfn.XLOOKUP(E104,Groups!A:A,Groups!M:M)=1,0.8,IF(_xlfn.XLOOKUP(E104,Groups!A:A,Groups!BC:BC)=1,1.3,3))</f>
        <v>555.26009687930457</v>
      </c>
      <c r="BF104" s="8" t="str">
        <f>IF(W104="No","No",IF(_xlfn.XLOOKUP(E104,Groups!A:A,Groups!U:U)=1,'Base stats'!BG104,IF(OR(_xlfn.XLOOKUP(E104,Groups!A:A,Groups!BD:BD)=1,_xlfn.XLOOKUP(E104,Groups!A:A,Groups!U:U)=2),BD104,BE104))*1.2)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44"/>
        <v>8</v>
      </c>
      <c r="BI104" s="8">
        <f t="shared" si="45"/>
        <v>16</v>
      </c>
      <c r="BJ104" s="8" t="str">
        <f t="shared" si="57"/>
        <v>No</v>
      </c>
      <c r="BK104" s="8">
        <f t="shared" si="58"/>
        <v>14</v>
      </c>
      <c r="BL104" s="8">
        <f t="shared" si="46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N104" s="8" t="str">
        <f>IF(W104="No","No",IF(_xlfn.XLOOKUP(E104,Groups!A:A,Groups!BD:BD)=1,(AL104*5%),EXP(0.7354*LN(C104)^0.4078)*2/IF(_xlfn.XLOOKUP(E104,Groups!A:A,Groups!BL:BL)=1,1000,100)))</f>
        <v>No</v>
      </c>
      <c r="BO104" s="8">
        <f>IF(BG104="No","No",IF(_xlfn.XLOOKUP(E104,Groups!A:A,Groups!BF:BF)=1,(0.0315*C104+2.1825)*2,(0.7354*C104^0.4078)*2)/IF(_xlfn.XLOOKUP(E104,Groups!A:A,Groups!BM:BM)=1,1000,100))</f>
        <v>0.11349157855001941</v>
      </c>
      <c r="BP104" s="8">
        <f t="shared" si="59"/>
        <v>6.4828884818177987E-2</v>
      </c>
      <c r="BQ104" s="8">
        <f t="shared" si="47"/>
        <v>48925.2245825961</v>
      </c>
      <c r="BR104" s="8" t="str">
        <f t="shared" si="60"/>
        <v>No</v>
      </c>
      <c r="BS104" s="8">
        <f t="shared" si="48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Groups!A13</f>
        <v>ClawedBeetle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51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52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IFERROR(AVERAGE(_xlfn.XLOOKUP(B105,Animals!B:B,Animals!N:N),_xlfn.XLOOKUP(B105,Animals!B:B,Animals!O:O)),0)</f>
        <v>0.5</v>
      </c>
      <c r="AT105" s="8">
        <f>MROUND(40*Animals!AO105*_xlfn.XLOOKUP(Animals!BA105,Leathers!$A$2:$A$100,Leathers!$B$2:$B$100,0)+(140*_xlfn.XLOOKUP(B105,Animals!B:B,Animals!AO:AO)*2),5)</f>
        <v>630</v>
      </c>
      <c r="AU105" s="8">
        <f>IFERROR(ROUND(SQRT(V105-1)*IF(_xlfn.XLOOKUP(E105,Groups!A:A,Groups!BF:BF)=0,2,1)*IF(_xlfn.XLOOKUP('Base stats'!E105,Groups!A:A,Groups!O:O)=0,1,0.1),1),0)</f>
        <v>8.6999999999999993</v>
      </c>
      <c r="AV105" s="8">
        <f t="shared" si="53"/>
        <v>2.6</v>
      </c>
      <c r="AW105" s="8">
        <f t="shared" si="54"/>
        <v>0</v>
      </c>
      <c r="AX105" s="8">
        <f t="shared" si="55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stats'!AY105,IF(OR(_xlfn.XLOOKUP(E105,Groups!A:A,Groups!BD:BD)=1,_xlfn.XLOOKUP(E105,Groups!A:A,Groups!U:U)=2),BA105,IF(_xlfn.XLOOKUP(B105,Animals!B:B,Animals!AO:AO)&gt;4,AVERAGE(BA105,BC105),BC105))))</f>
        <v>No</v>
      </c>
      <c r="BA105" s="8">
        <f t="shared" si="56"/>
        <v>4.4851175477519458</v>
      </c>
      <c r="BB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EXP(1.076*LN(AO105)-4.5397)*IF(_xlfn.XLOOKUP(E105,Groups!A:A,Groups!BC:BC)=1,1.25,IF(_xlfn.XLOOKUP(E105,Groups!A:A,Groups!BD:BD)=1,3.5,2.5))</f>
        <v>175.43901189464424</v>
      </c>
      <c r="BE105" s="8">
        <f>EXP(1.076*LN(AP105)-4.5397)*IF(_xlfn.XLOOKUP(E105,Groups!A:A,Groups!M:M)=1,0.8,IF(_xlfn.XLOOKUP(E105,Groups!A:A,Groups!BC:BC)=1,1.3,3))</f>
        <v>967.41715569980647</v>
      </c>
      <c r="BF105" s="8" t="str">
        <f>IF(W105="No","No",IF(_xlfn.XLOOKUP(E105,Groups!A:A,Groups!U:U)=1,'Base stats'!BG105,IF(OR(_xlfn.XLOOKUP(E105,Groups!A:A,Groups!BD:BD)=1,_xlfn.XLOOKUP(E105,Groups!A:A,Groups!U:U)=2),BD105,BE105))*1.2)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44"/>
        <v>8</v>
      </c>
      <c r="BI105" s="8">
        <f t="shared" si="45"/>
        <v>16</v>
      </c>
      <c r="BJ105" s="8" t="str">
        <f t="shared" si="57"/>
        <v>No</v>
      </c>
      <c r="BK105" s="8">
        <f t="shared" si="58"/>
        <v>14</v>
      </c>
      <c r="BL105" s="8">
        <f t="shared" si="46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N105" s="8" t="str">
        <f>IF(W105="No","No",IF(_xlfn.XLOOKUP(E105,Groups!A:A,Groups!BD:BD)=1,(AL105*5%),EXP(0.7354*LN(C105)^0.4078)*2/IF(_xlfn.XLOOKUP(E105,Groups!A:A,Groups!BL:BL)=1,1000,100)))</f>
        <v>No</v>
      </c>
      <c r="BO105" s="8">
        <f>IF(BG105="No","No",IF(_xlfn.XLOOKUP(E105,Groups!A:A,Groups!BF:BF)=1,(0.0315*C105+2.1825)*2,(0.7354*C105^0.4078)*2)/IF(_xlfn.XLOOKUP(E105,Groups!A:A,Groups!BM:BM)=1,1000,100))</f>
        <v>0.15056487532717558</v>
      </c>
      <c r="BP105" s="8">
        <f t="shared" si="59"/>
        <v>7.7571890181981018E-2</v>
      </c>
      <c r="BQ105" s="8">
        <f t="shared" si="47"/>
        <v>64252.512652610458</v>
      </c>
      <c r="BR105" s="8" t="str">
        <f t="shared" si="60"/>
        <v>No</v>
      </c>
      <c r="BS105" s="8">
        <f t="shared" si="48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51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52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IFERROR(AVERAGE(_xlfn.XLOOKUP(B106,Animals!B:B,Animals!N:N),_xlfn.XLOOKUP(B106,Animals!B:B,Animals!O:O)),0)</f>
        <v>1.1000000000000001</v>
      </c>
      <c r="AT106" s="8">
        <f>MROUND(40*Animals!AO106*_xlfn.XLOOKUP(Animals!BA106,Leathers!$A$2:$A$100,Leathers!$B$2:$B$100,0)+(140*_xlfn.XLOOKUP(B106,Animals!B:B,Animals!AO:AO)*2),5)</f>
        <v>1540</v>
      </c>
      <c r="AU106" s="8">
        <f>IFERROR(ROUND(SQRT(V106-1)*IF(_xlfn.XLOOKUP(E106,Groups!A:A,Groups!BF:BF)=0,2,1)*IF(_xlfn.XLOOKUP('Base stats'!E106,Groups!A:A,Groups!O:O)=0,1,0.1),1),0)</f>
        <v>10.4</v>
      </c>
      <c r="AV106" s="8">
        <f t="shared" si="53"/>
        <v>0</v>
      </c>
      <c r="AW106" s="8">
        <f t="shared" si="54"/>
        <v>0</v>
      </c>
      <c r="AX106" s="8">
        <f t="shared" si="55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stats'!AY106,IF(OR(_xlfn.XLOOKUP(E106,Groups!A:A,Groups!BD:BD)=1,_xlfn.XLOOKUP(E106,Groups!A:A,Groups!U:U)=2),BA106,IF(_xlfn.XLOOKUP(B106,Animals!B:B,Animals!AO:AO)&gt;4,AVERAGE(BA106,BC106),BC106))))</f>
        <v>No</v>
      </c>
      <c r="BA106" s="8">
        <f t="shared" si="56"/>
        <v>57.785259294950791</v>
      </c>
      <c r="BB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EXP(1.076*LN(AO106)-4.5397)*IF(_xlfn.XLOOKUP(E106,Groups!A:A,Groups!BC:BC)=1,1.25,IF(_xlfn.XLOOKUP(E106,Groups!A:A,Groups!BD:BD)=1,3.5,2.5))</f>
        <v>2872.2608182712406</v>
      </c>
      <c r="BE106" s="8">
        <f>EXP(1.076*LN(AP106)-4.5397)*IF(_xlfn.XLOOKUP(E106,Groups!A:A,Groups!M:M)=1,0.8,IF(_xlfn.XLOOKUP(E106,Groups!A:A,Groups!BC:BC)=1,1.3,3))</f>
        <v>11364.466742743723</v>
      </c>
      <c r="BF106" s="8" t="str">
        <f>IF(W106="No","No",IF(_xlfn.XLOOKUP(E106,Groups!A:A,Groups!U:U)=1,'Base stats'!BG106,IF(OR(_xlfn.XLOOKUP(E106,Groups!A:A,Groups!BD:BD)=1,_xlfn.XLOOKUP(E106,Groups!A:A,Groups!U:U)=2),BD106,BE106))*1.2)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44"/>
        <v>9</v>
      </c>
      <c r="BI106" s="8">
        <f t="shared" si="45"/>
        <v>16</v>
      </c>
      <c r="BJ106" s="8" t="str">
        <f t="shared" si="57"/>
        <v>No</v>
      </c>
      <c r="BK106" s="8">
        <f t="shared" si="58"/>
        <v>14</v>
      </c>
      <c r="BL106" s="8">
        <f t="shared" si="46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N106" s="8" t="str">
        <f>IF(W106="No","No",IF(_xlfn.XLOOKUP(E106,Groups!A:A,Groups!BD:BD)=1,(AL106*5%),EXP(0.7354*LN(C106)^0.4078)*2/IF(_xlfn.XLOOKUP(E106,Groups!A:A,Groups!BL:BL)=1,1000,100)))</f>
        <v>No</v>
      </c>
      <c r="BO106" s="8">
        <f>IF(BG106="No","No",IF(_xlfn.XLOOKUP(E106,Groups!A:A,Groups!BF:BF)=1,(0.0315*C106+2.1825)*2,(0.7354*C106^0.4078)*2)/IF(_xlfn.XLOOKUP(E106,Groups!A:A,Groups!BM:BM)=1,1000,100))</f>
        <v>0.52778821429382305</v>
      </c>
      <c r="BP106" s="8">
        <f t="shared" si="59"/>
        <v>0.17200347018624917</v>
      </c>
      <c r="BQ106" s="8" t="str">
        <f t="shared" si="47"/>
        <v>No</v>
      </c>
      <c r="BR106" s="8" t="str">
        <f t="shared" si="60"/>
        <v>No</v>
      </c>
      <c r="BS106" s="8">
        <f t="shared" si="48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51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52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IFERROR(AVERAGE(_xlfn.XLOOKUP(B107,Animals!B:B,Animals!N:N),_xlfn.XLOOKUP(B107,Animals!B:B,Animals!O:O)),0)</f>
        <v>0.2</v>
      </c>
      <c r="AT107" s="8">
        <f>MROUND(40*Animals!AO107*_xlfn.XLOOKUP(Animals!BA107,Leathers!$A$2:$A$100,Leathers!$B$2:$B$100,0)+(140*_xlfn.XLOOKUP(B107,Animals!B:B,Animals!AO:AO)*2),5)</f>
        <v>140</v>
      </c>
      <c r="AU107" s="8">
        <f>IFERROR(ROUND(SQRT(V107-1)*IF(_xlfn.XLOOKUP(E107,Groups!A:A,Groups!BF:BF)=0,2,1)*IF(_xlfn.XLOOKUP('Base stats'!E107,Groups!A:A,Groups!O:O)=0,1,0.1),1),0)</f>
        <v>4.5</v>
      </c>
      <c r="AV107" s="8">
        <f t="shared" si="53"/>
        <v>0</v>
      </c>
      <c r="AW107" s="8">
        <f t="shared" si="54"/>
        <v>0</v>
      </c>
      <c r="AX107" s="8">
        <f t="shared" si="55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stats'!AY107,IF(OR(_xlfn.XLOOKUP(E107,Groups!A:A,Groups!BD:BD)=1,_xlfn.XLOOKUP(E107,Groups!A:A,Groups!U:U)=2),BA107,IF(_xlfn.XLOOKUP(B107,Animals!B:B,Animals!AO:AO)&gt;4,AVERAGE(BA107,BC107),BC107))))</f>
        <v>No</v>
      </c>
      <c r="BA107" s="8">
        <f t="shared" si="56"/>
        <v>0.37206421632780412</v>
      </c>
      <c r="BB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EXP(1.076*LN(AO107)-4.5397)*IF(_xlfn.XLOOKUP(E107,Groups!A:A,Groups!BC:BC)=1,1.25,IF(_xlfn.XLOOKUP(E107,Groups!A:A,Groups!BD:BD)=1,3.5,2.5))</f>
        <v>11.524541402552655</v>
      </c>
      <c r="BE107" s="8">
        <f>EXP(1.076*LN(AP107)-4.5397)*IF(_xlfn.XLOOKUP(E107,Groups!A:A,Groups!M:M)=1,0.8,IF(_xlfn.XLOOKUP(E107,Groups!A:A,Groups!BC:BC)=1,1.3,3))</f>
        <v>87.805569597772788</v>
      </c>
      <c r="BF107" s="8" t="str">
        <f>IF(W107="No","No",IF(_xlfn.XLOOKUP(E107,Groups!A:A,Groups!U:U)=1,'Base stats'!BG107,IF(OR(_xlfn.XLOOKUP(E107,Groups!A:A,Groups!BD:BD)=1,_xlfn.XLOOKUP(E107,Groups!A:A,Groups!U:U)=2),BD107,BE107))*1.2)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44"/>
        <v>7</v>
      </c>
      <c r="BI107" s="8">
        <f t="shared" si="45"/>
        <v>15</v>
      </c>
      <c r="BJ107" s="8" t="str">
        <f t="shared" si="57"/>
        <v>No</v>
      </c>
      <c r="BK107" s="8">
        <f t="shared" si="58"/>
        <v>15</v>
      </c>
      <c r="BL107" s="8">
        <f t="shared" si="46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N107" s="8" t="str">
        <f>IF(W107="No","No",IF(_xlfn.XLOOKUP(E107,Groups!A:A,Groups!BD:BD)=1,(AL107*5%),EXP(0.7354*LN(C107)^0.4078)*2/IF(_xlfn.XLOOKUP(E107,Groups!A:A,Groups!BL:BL)=1,1000,100)))</f>
        <v>No</v>
      </c>
      <c r="BO107" s="8">
        <f>IF(BG107="No","No",IF(_xlfn.XLOOKUP(E107,Groups!A:A,Groups!BF:BF)=1,(0.0315*C107+2.1825)*2,(0.7354*C107^0.4078)*2)/IF(_xlfn.XLOOKUP(E107,Groups!A:A,Groups!BM:BM)=1,1000,100))</f>
        <v>4.4377582152222601E-2</v>
      </c>
      <c r="BP107" s="8">
        <f t="shared" si="59"/>
        <v>3.5716702055374784E-2</v>
      </c>
      <c r="BQ107" s="8" t="str">
        <f t="shared" si="47"/>
        <v>No</v>
      </c>
      <c r="BR107" s="8" t="str">
        <f t="shared" si="60"/>
        <v>No</v>
      </c>
      <c r="BS107" s="8">
        <f t="shared" si="48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51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52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IFERROR(AVERAGE(_xlfn.XLOOKUP(B108,Animals!B:B,Animals!N:N),_xlfn.XLOOKUP(B108,Animals!B:B,Animals!O:O)),0)</f>
        <v>0.27500000000000002</v>
      </c>
      <c r="AT108" s="8">
        <f>MROUND(40*Animals!AO108*_xlfn.XLOOKUP(Animals!BA108,Leathers!$A$2:$A$100,Leathers!$B$2:$B$100,0)+(140*_xlfn.XLOOKUP(B108,Animals!B:B,Animals!AO:AO)*2),5)</f>
        <v>195</v>
      </c>
      <c r="AU108" s="8">
        <f>IFERROR(ROUND(SQRT(V108-1)*IF(_xlfn.XLOOKUP(E108,Groups!A:A,Groups!BF:BF)=0,2,1)*IF(_xlfn.XLOOKUP('Base stats'!E108,Groups!A:A,Groups!O:O)=0,1,0.1),1),0)</f>
        <v>5.7</v>
      </c>
      <c r="AV108" s="8">
        <f t="shared" si="53"/>
        <v>0</v>
      </c>
      <c r="AW108" s="8">
        <f t="shared" si="54"/>
        <v>0</v>
      </c>
      <c r="AX108" s="8">
        <f t="shared" si="55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stats'!AY108,IF(OR(_xlfn.XLOOKUP(E108,Groups!A:A,Groups!BD:BD)=1,_xlfn.XLOOKUP(E108,Groups!A:A,Groups!U:U)=2),BA108,IF(_xlfn.XLOOKUP(B108,Animals!B:B,Animals!AO:AO)&gt;4,AVERAGE(BA108,BC108),BC108))))</f>
        <v>No</v>
      </c>
      <c r="BA108" s="8">
        <f t="shared" si="56"/>
        <v>0.66187172677279049</v>
      </c>
      <c r="BB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EXP(1.076*LN(AO108)-4.5397)*IF(_xlfn.XLOOKUP(E108,Groups!A:A,Groups!BC:BC)=1,1.25,IF(_xlfn.XLOOKUP(E108,Groups!A:A,Groups!BD:BD)=1,3.5,2.5))</f>
        <v>21.638590723059181</v>
      </c>
      <c r="BE108" s="8">
        <f>EXP(1.076*LN(AP108)-4.5397)*IF(_xlfn.XLOOKUP(E108,Groups!A:A,Groups!M:M)=1,0.8,IF(_xlfn.XLOOKUP(E108,Groups!A:A,Groups!BC:BC)=1,1.3,3))</f>
        <v>152.98166547945354</v>
      </c>
      <c r="BF108" s="8" t="str">
        <f>IF(W108="No","No",IF(_xlfn.XLOOKUP(E108,Groups!A:A,Groups!U:U)=1,'Base stats'!BG108,IF(OR(_xlfn.XLOOKUP(E108,Groups!A:A,Groups!BD:BD)=1,_xlfn.XLOOKUP(E108,Groups!A:A,Groups!U:U)=2),BD108,BE108))*1.2)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44"/>
        <v>8</v>
      </c>
      <c r="BI108" s="8">
        <f t="shared" si="45"/>
        <v>16</v>
      </c>
      <c r="BJ108" s="8" t="str">
        <f t="shared" si="57"/>
        <v>No</v>
      </c>
      <c r="BK108" s="8">
        <f t="shared" si="58"/>
        <v>15</v>
      </c>
      <c r="BL108" s="8">
        <f t="shared" si="46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N108" s="8" t="str">
        <f>IF(W108="No","No",IF(_xlfn.XLOOKUP(E108,Groups!A:A,Groups!BD:BD)=1,(AL108*5%),EXP(0.7354*LN(C108)^0.4078)*2/IF(_xlfn.XLOOKUP(E108,Groups!A:A,Groups!BL:BL)=1,1000,100)))</f>
        <v>No</v>
      </c>
      <c r="BO108" s="8">
        <f>IF(BG108="No","No",IF(_xlfn.XLOOKUP(E108,Groups!A:A,Groups!BF:BF)=1,(0.0315*C108+2.1825)*2,(0.7354*C108^0.4078)*2)/IF(_xlfn.XLOOKUP(E108,Groups!A:A,Groups!BM:BM)=1,1000,100))</f>
        <v>5.8874016992600434E-2</v>
      </c>
      <c r="BP108" s="8">
        <f t="shared" si="59"/>
        <v>4.2737309106467759E-2</v>
      </c>
      <c r="BQ108" s="8" t="str">
        <f t="shared" si="47"/>
        <v>No</v>
      </c>
      <c r="BR108" s="8" t="str">
        <f t="shared" si="60"/>
        <v>No</v>
      </c>
      <c r="BS108" s="8">
        <f t="shared" si="48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51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52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IFERROR(AVERAGE(_xlfn.XLOOKUP(B109,Animals!B:B,Animals!N:N),_xlfn.XLOOKUP(B109,Animals!B:B,Animals!O:O)),0)</f>
        <v>0</v>
      </c>
      <c r="AT109" s="8">
        <f>MROUND(40*Animals!AO109*_xlfn.XLOOKUP(Animals!BA109,Leathers!$A$2:$A$100,Leathers!$B$2:$B$100,0)+(140*_xlfn.XLOOKUP(B109,Animals!B:B,Animals!AO:AO)*2),5)</f>
        <v>200</v>
      </c>
      <c r="AU109" s="8">
        <f>IFERROR(ROUND(SQRT(V109-1)*IF(_xlfn.XLOOKUP(E109,Groups!A:A,Groups!BF:BF)=0,2,1)*IF(_xlfn.XLOOKUP('Base stats'!E109,Groups!A:A,Groups!O:O)=0,1,0.1),1),0)</f>
        <v>2.2999999999999998</v>
      </c>
      <c r="AV109" s="8">
        <f t="shared" si="53"/>
        <v>0</v>
      </c>
      <c r="AW109" s="8">
        <f t="shared" si="54"/>
        <v>0</v>
      </c>
      <c r="AX109" s="8">
        <f t="shared" si="55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stats'!AY109,IF(OR(_xlfn.XLOOKUP(E109,Groups!A:A,Groups!BD:BD)=1,_xlfn.XLOOKUP(E109,Groups!A:A,Groups!U:U)=2),BA109,IF(_xlfn.XLOOKUP(B109,Animals!B:B,Animals!AO:AO)&gt;4,AVERAGE(BA109,BC109),BC109))))</f>
        <v>No</v>
      </c>
      <c r="BA109" s="8">
        <f t="shared" si="56"/>
        <v>0.33561971314389133</v>
      </c>
      <c r="BB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EXP(1.076*LN(AO109)-4.5397)*IF(_xlfn.XLOOKUP(E109,Groups!A:A,Groups!BC:BC)=1,1.25,IF(_xlfn.XLOOKUP(E109,Groups!A:A,Groups!BD:BD)=1,3.5,2.5))</f>
        <v>20.591427987572672</v>
      </c>
      <c r="BE109" s="8">
        <f>EXP(1.076*LN(AP109)-4.5397)*IF(_xlfn.XLOOKUP(E109,Groups!A:A,Groups!M:M)=1,0.8,IF(_xlfn.XLOOKUP(E109,Groups!A:A,Groups!BC:BC)=1,1.3,3))</f>
        <v>29.026250140724073</v>
      </c>
      <c r="BF109" s="8" t="str">
        <f>IF(W109="No","No",IF(_xlfn.XLOOKUP(E109,Groups!A:A,Groups!U:U)=1,'Base stats'!BG109,IF(OR(_xlfn.XLOOKUP(E109,Groups!A:A,Groups!BD:BD)=1,_xlfn.XLOOKUP(E109,Groups!A:A,Groups!U:U)=2),BD109,BE109))*1.2)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44"/>
        <v>11</v>
      </c>
      <c r="BI109" s="8">
        <f t="shared" si="45"/>
        <v>10</v>
      </c>
      <c r="BJ109" s="8" t="str">
        <f t="shared" si="57"/>
        <v>No</v>
      </c>
      <c r="BK109" s="8">
        <f t="shared" si="58"/>
        <v>9</v>
      </c>
      <c r="BL109" s="8">
        <f t="shared" si="46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N109" s="8" t="str">
        <f>IF(W109="No","No",IF(_xlfn.XLOOKUP(E109,Groups!A:A,Groups!BD:BD)=1,(AL109*5%),EXP(0.7354*LN(C109)^0.4078)*2/IF(_xlfn.XLOOKUP(E109,Groups!A:A,Groups!BL:BL)=1,1000,100)))</f>
        <v>No</v>
      </c>
      <c r="BO109" s="8">
        <f>IF(BG109="No","No",IF(_xlfn.XLOOKUP(E109,Groups!A:A,Groups!BF:BF)=1,(0.0315*C109+2.1825)*2,(0.7354*C109^0.4078)*2)/IF(_xlfn.XLOOKUP(E109,Groups!A:A,Groups!BM:BM)=1,1000,100))</f>
        <v>4.2188419557802559E-2</v>
      </c>
      <c r="BP109" s="8">
        <f t="shared" si="59"/>
        <v>6.9175636105958685E-2</v>
      </c>
      <c r="BQ109" s="8" t="str">
        <f t="shared" si="47"/>
        <v>No</v>
      </c>
      <c r="BR109" s="8" t="str">
        <f t="shared" si="60"/>
        <v>No</v>
      </c>
      <c r="BS109" s="8">
        <f t="shared" si="48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1312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51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52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IFERROR(AVERAGE(_xlfn.XLOOKUP(B110,Animals!B:B,Animals!N:N),_xlfn.XLOOKUP(B110,Animals!B:B,Animals!O:O)),0)</f>
        <v>0</v>
      </c>
      <c r="AT110" s="8">
        <f>MROUND(40*Animals!AO110*_xlfn.XLOOKUP(Animals!BA110,Leathers!$A$2:$A$100,Leathers!$B$2:$B$100,0)+(140*_xlfn.XLOOKUP(B110,Animals!B:B,Animals!AO:AO)*2),5)</f>
        <v>1275</v>
      </c>
      <c r="AU110" s="8">
        <f>IFERROR(ROUND(SQRT(V110-1)*IF(_xlfn.XLOOKUP(E110,Groups!A:A,Groups!BF:BF)=0,2,1)*IF(_xlfn.XLOOKUP('Base stats'!E110,Groups!A:A,Groups!O:O)=0,1,0.1),1),0)</f>
        <v>0</v>
      </c>
      <c r="AV110" s="8">
        <f t="shared" si="53"/>
        <v>0</v>
      </c>
      <c r="AW110" s="8">
        <f t="shared" si="54"/>
        <v>0</v>
      </c>
      <c r="AX110" s="8">
        <f t="shared" si="55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stats'!AY110,IF(OR(_xlfn.XLOOKUP(E110,Groups!A:A,Groups!BD:BD)=1,_xlfn.XLOOKUP(E110,Groups!A:A,Groups!U:U)=2),BA110,IF(_xlfn.XLOOKUP(B110,Animals!B:B,Animals!AO:AO)&gt;4,AVERAGE(BA110,BC110),BC110))))</f>
        <v>No</v>
      </c>
      <c r="BA110" s="8">
        <f t="shared" si="56"/>
        <v>7.2201194539052933</v>
      </c>
      <c r="BB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EXP(1.076*LN(AO110)-4.5397)*IF(_xlfn.XLOOKUP(E110,Groups!A:A,Groups!BC:BC)=1,1.25,IF(_xlfn.XLOOKUP(E110,Groups!A:A,Groups!BD:BD)=1,3.5,2.5))</f>
        <v>1057.6132433293185</v>
      </c>
      <c r="BE110" s="8">
        <f>EXP(1.076*LN(AP110)-4.5397)*IF(_xlfn.XLOOKUP(E110,Groups!A:A,Groups!M:M)=1,0.8,IF(_xlfn.XLOOKUP(E110,Groups!A:A,Groups!BC:BC)=1,1.3,3))</f>
        <v>1169.832767236893</v>
      </c>
      <c r="BF110" s="8" t="str">
        <f>IF(W110="No","No",IF(_xlfn.XLOOKUP(E110,Groups!A:A,Groups!U:U)=1,'Base stats'!BG110,IF(OR(_xlfn.XLOOKUP(E110,Groups!A:A,Groups!BD:BD)=1,_xlfn.XLOOKUP(E110,Groups!A:A,Groups!U:U)=2),BD110,BE110))*1.2)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44"/>
        <v>17</v>
      </c>
      <c r="BI110" s="8">
        <f t="shared" si="45"/>
        <v>12</v>
      </c>
      <c r="BJ110" s="8" t="str">
        <f t="shared" si="57"/>
        <v>No</v>
      </c>
      <c r="BK110" s="8" t="str">
        <f t="shared" si="58"/>
        <v>No</v>
      </c>
      <c r="BL110" s="8">
        <f t="shared" si="46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N110" s="8" t="str">
        <f>IF(W110="No","No",IF(_xlfn.XLOOKUP(E110,Groups!A:A,Groups!BD:BD)=1,(AL110*5%),EXP(0.7354*LN(C110)^0.4078)*2/IF(_xlfn.XLOOKUP(E110,Groups!A:A,Groups!BL:BL)=1,1000,100)))</f>
        <v>No</v>
      </c>
      <c r="BO110" s="8" t="str">
        <f>IF(BG110="No","No",IF(_xlfn.XLOOKUP(E110,Groups!A:A,Groups!BF:BF)=1,(0.0315*C110+2.1825)*2,(0.7354*C110^0.4078)*2)/IF(_xlfn.XLOOKUP(E110,Groups!A:A,Groups!BM:BM)=1,1000,100))</f>
        <v>No</v>
      </c>
      <c r="BP110" s="8">
        <f t="shared" si="59"/>
        <v>0.21243447819539793</v>
      </c>
      <c r="BQ110" s="8">
        <f t="shared" si="47"/>
        <v>6.9337091832526889</v>
      </c>
      <c r="BR110" s="8" t="str">
        <f t="shared" si="60"/>
        <v>No</v>
      </c>
      <c r="BS110" s="8" t="str">
        <f t="shared" si="48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1312</v>
      </c>
      <c r="E111" s="7" t="str">
        <f>Groups!A22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51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52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IFERROR(AVERAGE(_xlfn.XLOOKUP(B111,Animals!B:B,Animals!N:N),_xlfn.XLOOKUP(B111,Animals!B:B,Animals!O:O)),0)</f>
        <v>0</v>
      </c>
      <c r="AT111" s="8">
        <f>MROUND(40*Animals!AO111*_xlfn.XLOOKUP(Animals!BA111,Leathers!$A$2:$A$100,Leathers!$B$2:$B$100,0)+(140*_xlfn.XLOOKUP(B111,Animals!B:B,Animals!AO:AO)*2),5)</f>
        <v>820</v>
      </c>
      <c r="AU111" s="8">
        <f>IFERROR(ROUND(SQRT(V111-1)*IF(_xlfn.XLOOKUP(E111,Groups!A:A,Groups!BF:BF)=0,2,1)*IF(_xlfn.XLOOKUP('Base stats'!E111,Groups!A:A,Groups!O:O)=0,1,0.1),1),0)</f>
        <v>0.7</v>
      </c>
      <c r="AV111" s="8">
        <f t="shared" si="53"/>
        <v>0</v>
      </c>
      <c r="AW111" s="8">
        <f t="shared" si="54"/>
        <v>0</v>
      </c>
      <c r="AX111" s="8">
        <f t="shared" si="55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stats'!AY111,IF(OR(_xlfn.XLOOKUP(E111,Groups!A:A,Groups!BD:BD)=1,_xlfn.XLOOKUP(E111,Groups!A:A,Groups!U:U)=2),BA111,IF(_xlfn.XLOOKUP(B111,Animals!B:B,Animals!AO:AO)&gt;4,AVERAGE(BA111,BC111),BC111))))</f>
        <v>No</v>
      </c>
      <c r="BA111" s="8">
        <f t="shared" si="56"/>
        <v>2.9452440519384546</v>
      </c>
      <c r="BB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EXP(1.076*LN(AO111)-4.5397)*IF(_xlfn.XLOOKUP(E111,Groups!A:A,Groups!BC:BC)=1,1.25,IF(_xlfn.XLOOKUP(E111,Groups!A:A,Groups!BD:BD)=1,3.5,2.5))</f>
        <v>358.84182730808686</v>
      </c>
      <c r="BE111" s="8">
        <f>EXP(1.076*LN(AP111)-4.5397)*IF(_xlfn.XLOOKUP(E111,Groups!A:A,Groups!M:M)=1,0.8,IF(_xlfn.XLOOKUP(E111,Groups!A:A,Groups!BC:BC)=1,1.3,3))</f>
        <v>424.22654536784819</v>
      </c>
      <c r="BF111" s="8" t="str">
        <f>IF(W111="No","No",IF(_xlfn.XLOOKUP(E111,Groups!A:A,Groups!U:U)=1,'Base stats'!BG111,IF(OR(_xlfn.XLOOKUP(E111,Groups!A:A,Groups!BD:BD)=1,_xlfn.XLOOKUP(E111,Groups!A:A,Groups!U:U)=2),BD111,BE111))*1.2)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44"/>
        <v>15</v>
      </c>
      <c r="BI111" s="8">
        <f t="shared" si="45"/>
        <v>11</v>
      </c>
      <c r="BJ111" s="8" t="str">
        <f t="shared" si="57"/>
        <v>No</v>
      </c>
      <c r="BK111" s="8">
        <f t="shared" si="58"/>
        <v>10</v>
      </c>
      <c r="BL111" s="8">
        <f t="shared" si="46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N111" s="8" t="str">
        <f>IF(W111="No","No",IF(_xlfn.XLOOKUP(E111,Groups!A:A,Groups!BD:BD)=1,(AL111*5%),EXP(0.7354*LN(C111)^0.4078)*2/IF(_xlfn.XLOOKUP(E111,Groups!A:A,Groups!BL:BL)=1,1000,100)))</f>
        <v>No</v>
      </c>
      <c r="BO111" s="8">
        <f>IF(BG111="No","No",IF(_xlfn.XLOOKUP(E111,Groups!A:A,Groups!BF:BF)=1,(0.0315*C111+2.1825)*2,(0.7354*C111^0.4078)*2)/IF(_xlfn.XLOOKUP(E111,Groups!A:A,Groups!BM:BM)=1,1000,100))</f>
        <v>0.23737499999999997</v>
      </c>
      <c r="BP111" s="8">
        <f t="shared" si="59"/>
        <v>0.15613876802429377</v>
      </c>
      <c r="BQ111" s="8">
        <f t="shared" si="47"/>
        <v>7.4371633734880449</v>
      </c>
      <c r="BR111" s="8" t="str">
        <f t="shared" si="60"/>
        <v>No</v>
      </c>
      <c r="BS111" s="8">
        <f t="shared" si="48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1312</v>
      </c>
      <c r="E112" s="7" t="str">
        <f>Groups!A49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51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52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IFERROR(AVERAGE(_xlfn.XLOOKUP(B112,Animals!B:B,Animals!N:N),_xlfn.XLOOKUP(B112,Animals!B:B,Animals!O:O)),0)</f>
        <v>0</v>
      </c>
      <c r="AT112" s="8">
        <f>MROUND(40*Animals!AO112*_xlfn.XLOOKUP(Animals!BA112,Leathers!$A$2:$A$100,Leathers!$B$2:$B$100,0)+(140*_xlfn.XLOOKUP(B112,Animals!B:B,Animals!AO:AO)*2),5)</f>
        <v>730</v>
      </c>
      <c r="AU112" s="8">
        <f>IFERROR(ROUND(SQRT(V112-1)*IF(_xlfn.XLOOKUP(E112,Groups!A:A,Groups!BF:BF)=0,2,1)*IF(_xlfn.XLOOKUP('Base stats'!E112,Groups!A:A,Groups!O:O)=0,1,0.1),1),0)</f>
        <v>0</v>
      </c>
      <c r="AV112" s="8">
        <f t="shared" si="53"/>
        <v>0</v>
      </c>
      <c r="AW112" s="8">
        <f t="shared" si="54"/>
        <v>6.7</v>
      </c>
      <c r="AX112" s="8">
        <f t="shared" si="55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stats'!AY112,IF(OR(_xlfn.XLOOKUP(E112,Groups!A:A,Groups!BD:BD)=1,_xlfn.XLOOKUP(E112,Groups!A:A,Groups!U:U)=2),BA112,IF(_xlfn.XLOOKUP(B112,Animals!B:B,Animals!AO:AO)&gt;4,AVERAGE(BA112,BC112),BC112))))</f>
        <v>3.6796792531617739</v>
      </c>
      <c r="BA112" s="8">
        <f t="shared" si="56"/>
        <v>2.3271891619698901</v>
      </c>
      <c r="BB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EXP(1.076*LN(AO112)-4.5397)*IF(_xlfn.XLOOKUP(E112,Groups!A:A,Groups!BC:BC)=1,1.25,IF(_xlfn.XLOOKUP(E112,Groups!A:A,Groups!BD:BD)=1,3.5,2.5))</f>
        <v>270.14672095717975</v>
      </c>
      <c r="BE112" s="8">
        <f>EXP(1.076*LN(AP112)-4.5397)*IF(_xlfn.XLOOKUP(E112,Groups!A:A,Groups!M:M)=1,0.8,IF(_xlfn.XLOOKUP(E112,Groups!A:A,Groups!BC:BC)=1,1.3,3))</f>
        <v>325.00128281545972</v>
      </c>
      <c r="BF112" s="8">
        <f>IF(W112="No","No",IF(_xlfn.XLOOKUP(E112,Groups!A:A,Groups!U:U)=1,'Base stats'!BG112,IF(OR(_xlfn.XLOOKUP(E112,Groups!A:A,Groups!BD:BD)=1,_xlfn.XLOOKUP(E112,Groups!A:A,Groups!U:U)=2),BD112,BE112))*1.2)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44"/>
        <v>15</v>
      </c>
      <c r="BI112" s="8">
        <f t="shared" si="45"/>
        <v>11</v>
      </c>
      <c r="BJ112" s="8">
        <f t="shared" si="57"/>
        <v>14</v>
      </c>
      <c r="BK112" s="8" t="str">
        <f t="shared" si="58"/>
        <v>No</v>
      </c>
      <c r="BL112" s="8">
        <f t="shared" si="46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N112" s="8">
        <f>IF(W112="No","No",IF(_xlfn.XLOOKUP(E112,Groups!A:A,Groups!BD:BD)=1,(AL112*5%),EXP(0.7354*LN(C112)^0.4078)*2/IF(_xlfn.XLOOKUP(E112,Groups!A:A,Groups!BL:BL)=1,1000,100)))</f>
        <v>8.6516845033286174E-2</v>
      </c>
      <c r="BO112" s="8" t="str">
        <f>IF(BG112="No","No",IF(_xlfn.XLOOKUP(E112,Groups!A:A,Groups!BF:BF)=1,(0.0315*C112+2.1825)*2,(0.7354*C112^0.4078)*2)/IF(_xlfn.XLOOKUP(E112,Groups!A:A,Groups!BM:BM)=1,1000,100))</f>
        <v>No</v>
      </c>
      <c r="BP112" s="8">
        <f t="shared" si="59"/>
        <v>0.14400848466911442</v>
      </c>
      <c r="BQ112" s="8">
        <f t="shared" si="47"/>
        <v>7.5403124737211149</v>
      </c>
      <c r="BR112" s="8">
        <f t="shared" si="60"/>
        <v>4507.8104642917096</v>
      </c>
      <c r="BS112" s="8" t="str">
        <f t="shared" si="48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1313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51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52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IFERROR(AVERAGE(_xlfn.XLOOKUP(B113,Animals!B:B,Animals!N:N),_xlfn.XLOOKUP(B113,Animals!B:B,Animals!O:O)),0)</f>
        <v>0.30000000000000004</v>
      </c>
      <c r="AT113" s="8">
        <f>MROUND(40*Animals!AO113*_xlfn.XLOOKUP(Animals!BA113,Leathers!$A$2:$A$100,Leathers!$B$2:$B$100,0)+(140*_xlfn.XLOOKUP(B113,Animals!B:B,Animals!AO:AO)*2),5)</f>
        <v>1255</v>
      </c>
      <c r="AU113" s="8">
        <f>IFERROR(ROUND(SQRT(V113-1)*IF(_xlfn.XLOOKUP(E113,Groups!A:A,Groups!BF:BF)=0,2,1)*IF(_xlfn.XLOOKUP('Base stats'!E113,Groups!A:A,Groups!O:O)=0,1,0.1),1),0)</f>
        <v>2.2000000000000002</v>
      </c>
      <c r="AV113" s="8">
        <f t="shared" si="53"/>
        <v>0</v>
      </c>
      <c r="AW113" s="8">
        <f t="shared" si="54"/>
        <v>0</v>
      </c>
      <c r="AX113" s="8">
        <f t="shared" si="55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stats'!AY113,IF(OR(_xlfn.XLOOKUP(E113,Groups!A:A,Groups!BD:BD)=1,_xlfn.XLOOKUP(E113,Groups!A:A,Groups!U:U)=2),BA113,IF(_xlfn.XLOOKUP(B113,Animals!B:B,Animals!AO:AO)&gt;4,AVERAGE(BA113,BC113),BC113))))</f>
        <v>No</v>
      </c>
      <c r="BA113" s="8">
        <f t="shared" si="56"/>
        <v>6.1880869301551282</v>
      </c>
      <c r="BB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EXP(1.076*LN(AO113)-4.5397)*IF(_xlfn.XLOOKUP(E113,Groups!A:A,Groups!BC:BC)=1,1.25,IF(_xlfn.XLOOKUP(E113,Groups!A:A,Groups!BD:BD)=1,3.5,2.5))</f>
        <v>498.93255110401276</v>
      </c>
      <c r="BE113" s="8">
        <f>EXP(1.076*LN(AP113)-4.5397)*IF(_xlfn.XLOOKUP(E113,Groups!A:A,Groups!M:M)=1,0.8,IF(_xlfn.XLOOKUP(E113,Groups!A:A,Groups!BC:BC)=1,1.3,3))</f>
        <v>577.99615723899592</v>
      </c>
      <c r="BF113" s="8" t="str">
        <f>IF(W113="No","No",IF(_xlfn.XLOOKUP(E113,Groups!A:A,Groups!U:U)=1,'Base stats'!BG113,IF(OR(_xlfn.XLOOKUP(E113,Groups!A:A,Groups!BD:BD)=1,_xlfn.XLOOKUP(E113,Groups!A:A,Groups!U:U)=2),BD113,BE113))*1.2)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44"/>
        <v>12</v>
      </c>
      <c r="BI113" s="8">
        <f t="shared" si="45"/>
        <v>11</v>
      </c>
      <c r="BJ113" s="8" t="str">
        <f t="shared" si="57"/>
        <v>No</v>
      </c>
      <c r="BK113" s="8">
        <f t="shared" si="58"/>
        <v>12</v>
      </c>
      <c r="BL113" s="8">
        <f t="shared" si="46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N113" s="8" t="str">
        <f>IF(W113="No","No",IF(_xlfn.XLOOKUP(E113,Groups!A:A,Groups!BD:BD)=1,(AL113*5%),EXP(0.7354*LN(C113)^0.4078)*2/IF(_xlfn.XLOOKUP(E113,Groups!A:A,Groups!BL:BL)=1,1000,100)))</f>
        <v>No</v>
      </c>
      <c r="BO113" s="8">
        <f>IF(BG113="No","No",IF(_xlfn.XLOOKUP(E113,Groups!A:A,Groups!BF:BF)=1,(0.0315*C113+2.1825)*2,(0.7354*C113^0.4078)*2)/IF(_xlfn.XLOOKUP(E113,Groups!A:A,Groups!BM:BM)=1,1000,100))</f>
        <v>0.32205170072615041</v>
      </c>
      <c r="BP113" s="8">
        <f t="shared" si="59"/>
        <v>0.17150764685497033</v>
      </c>
      <c r="BQ113" s="8" t="str">
        <f t="shared" si="47"/>
        <v>No</v>
      </c>
      <c r="BR113" s="8" t="str">
        <f t="shared" si="60"/>
        <v>No</v>
      </c>
      <c r="BS113" s="8">
        <f t="shared" si="48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51"/>
        <v>14748.67267145231</v>
      </c>
      <c r="AM114" s="8">
        <f>IFERROR(C114*_xlfn.XLOOKUP(E114,Groups!A:A,Groups!K:K),0.106*C114^0.94)</f>
        <v>6.6741250000000001</v>
      </c>
      <c r="AN114" s="8">
        <f>AM114*10000/(_xlfn.XLOOKUP(E114,Groups!A:A,Groups!J:J)*AL114)</f>
        <v>4.1515942452010872</v>
      </c>
      <c r="AO114" s="8">
        <f t="shared" si="52"/>
        <v>1568.1268440067847</v>
      </c>
      <c r="AP114" s="8">
        <f>IF(_xlfn.XLOOKUP(E114,Groups!A:A,Groups!M:M)=1,EXP(0.7444*LN('Base stats'!C114)+6.5696),EXP(0.7927*LN('Base stats'!C114)+4.28))</f>
        <v>1693.7387576363094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R114" s="8">
        <f>IF(_xlfn.XLOOKUP(E114,Groups!A:A,Groups!U:U)=3,AP114,IF(_xlfn.XLOOKUP(E114,Groups!A:A,Groups!U:U)=2,AO114,AQ114))</f>
        <v>1750.8148382761276</v>
      </c>
      <c r="AS114" s="46">
        <f>IFERROR(AVERAGE(_xlfn.XLOOKUP(B114,Animals!B:B,Animals!N:N),_xlfn.XLOOKUP(B114,Animals!B:B,Animals!O:O)),0)</f>
        <v>0</v>
      </c>
      <c r="AT114" s="8">
        <f>MROUND(40*Animals!AO114*_xlfn.XLOOKUP(Animals!BA114,Leathers!$A$2:$A$100,Leathers!$B$2:$B$100,0)+(140*_xlfn.XLOOKUP(B114,Animals!B:B,Animals!AO:AO)*2),5)</f>
        <v>405</v>
      </c>
      <c r="AU114" s="8">
        <f>IFERROR(ROUND(SQRT(V114-1)*IF(_xlfn.XLOOKUP(E114,Groups!A:A,Groups!BF:BF)=0,2,1)*IF(_xlfn.XLOOKUP('Base stats'!E114,Groups!A:A,Groups!O:O)=0,1,0.1),1),0)</f>
        <v>3.4</v>
      </c>
      <c r="AV114" s="8">
        <f t="shared" si="53"/>
        <v>1.2</v>
      </c>
      <c r="AW114" s="8">
        <f t="shared" si="54"/>
        <v>0</v>
      </c>
      <c r="AX114" s="8">
        <f t="shared" si="55"/>
        <v>3.3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2.3985487101109748</v>
      </c>
      <c r="AZ114" s="8" t="str">
        <f>IF(W114="No","No",IF(_xlfn.XLOOKUP(E114,Groups!A:A,Groups!U:U)=1,'Base stats'!AY114,IF(OR(_xlfn.XLOOKUP(E114,Groups!A:A,Groups!BD:BD)=1,_xlfn.XLOOKUP(E114,Groups!A:A,Groups!U:U)=2),BA114,IF(_xlfn.XLOOKUP(B114,Animals!B:B,Animals!AO:AO)&gt;4,AVERAGE(BA114,BC114),BC114))))</f>
        <v>No</v>
      </c>
      <c r="BA114" s="8">
        <f t="shared" si="56"/>
        <v>1.0704048294576518</v>
      </c>
      <c r="BB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C114" s="8">
        <f>(0.048*C114^1.01)/IF(_xlfn.XLOOKUP(E114,Groups!A:A,Groups!M:M)=1,0.25,0.8)*C114^-0.25</f>
        <v>1.2350943207066056</v>
      </c>
      <c r="BD114" s="8">
        <f>EXP(1.076*LN(AO114)-4.5397)*IF(_xlfn.XLOOKUP(E114,Groups!A:A,Groups!BC:BC)=1,1.25,IF(_xlfn.XLOOKUP(E114,Groups!A:A,Groups!BD:BD)=1,3.5,2.5))</f>
        <v>73.215580303642668</v>
      </c>
      <c r="BE114" s="8">
        <f>EXP(1.076*LN(AP114)-4.5397)*IF(_xlfn.XLOOKUP(E114,Groups!A:A,Groups!M:M)=1,0.8,IF(_xlfn.XLOOKUP(E114,Groups!A:A,Groups!BC:BC)=1,1.3,3))</f>
        <v>95.453827881386488</v>
      </c>
      <c r="BF114" s="8" t="str">
        <f>IF(W114="No","No",IF(_xlfn.XLOOKUP(E114,Groups!A:A,Groups!U:U)=1,'Base stats'!BG114,IF(OR(_xlfn.XLOOKUP(E114,Groups!A:A,Groups!BD:BD)=1,_xlfn.XLOOKUP(E114,Groups!A:A,Groups!U:U)=2),BD114,BE114))*1.2)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123.64913526272449</v>
      </c>
      <c r="BH114" s="8">
        <f t="shared" si="44"/>
        <v>11</v>
      </c>
      <c r="BI114" s="8">
        <f t="shared" si="45"/>
        <v>10</v>
      </c>
      <c r="BJ114" s="8" t="str">
        <f t="shared" si="57"/>
        <v>No</v>
      </c>
      <c r="BK114" s="8">
        <f t="shared" si="58"/>
        <v>10</v>
      </c>
      <c r="BL114" s="8">
        <f t="shared" si="46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N114" s="8" t="str">
        <f>IF(W114="No","No",IF(_xlfn.XLOOKUP(E114,Groups!A:A,Groups!BD:BD)=1,(AL114*5%),EXP(0.7354*LN(C114)^0.4078)*2/IF(_xlfn.XLOOKUP(E114,Groups!A:A,Groups!BL:BL)=1,1000,100)))</f>
        <v>No</v>
      </c>
      <c r="BO114" s="8">
        <f>IF(BG114="No","No",IF(_xlfn.XLOOKUP(E114,Groups!A:A,Groups!BF:BF)=1,(0.0315*C114+2.1825)*2,(0.7354*C114^0.4078)*2)/IF(_xlfn.XLOOKUP(E114,Groups!A:A,Groups!BM:BM)=1,1000,100))</f>
        <v>7.4537752492558132E-2</v>
      </c>
      <c r="BP114" s="8">
        <f t="shared" si="59"/>
        <v>9.9284297556294032E-2</v>
      </c>
      <c r="BQ114" s="8">
        <f t="shared" si="47"/>
        <v>1280.6104918566818</v>
      </c>
      <c r="BR114" s="8" t="str">
        <f t="shared" si="60"/>
        <v>No</v>
      </c>
      <c r="BS114" s="8">
        <f t="shared" si="48"/>
        <v>1658.8793078389324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51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52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IFERROR(AVERAGE(_xlfn.XLOOKUP(B115,Animals!B:B,Animals!N:N),_xlfn.XLOOKUP(B115,Animals!B:B,Animals!O:O)),0)</f>
        <v>0</v>
      </c>
      <c r="AT115" s="8">
        <f>MROUND(40*Animals!AO115*_xlfn.XLOOKUP(Animals!BA115,Leathers!$A$2:$A$100,Leathers!$B$2:$B$100,0)+(140*_xlfn.XLOOKUP(B115,Animals!B:B,Animals!AO:AO)*2),5)</f>
        <v>230</v>
      </c>
      <c r="AU115" s="8">
        <f>IFERROR(ROUND(SQRT(V115-1)*IF(_xlfn.XLOOKUP(E115,Groups!A:A,Groups!BF:BF)=0,2,1)*IF(_xlfn.XLOOKUP('Base stats'!E115,Groups!A:A,Groups!O:O)=0,1,0.1),1),0)</f>
        <v>2</v>
      </c>
      <c r="AV115" s="8">
        <f t="shared" si="53"/>
        <v>1.4</v>
      </c>
      <c r="AW115" s="8">
        <f t="shared" si="54"/>
        <v>0</v>
      </c>
      <c r="AX115" s="8">
        <f t="shared" si="55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stats'!AY115,IF(OR(_xlfn.XLOOKUP(E115,Groups!A:A,Groups!BD:BD)=1,_xlfn.XLOOKUP(E115,Groups!A:A,Groups!U:U)=2),BA115,IF(_xlfn.XLOOKUP(B115,Animals!B:B,Animals!AO:AO)&gt;4,AVERAGE(BA115,BC115),BC115))))</f>
        <v>No</v>
      </c>
      <c r="BA115" s="8">
        <f t="shared" si="56"/>
        <v>0.45062715926009461</v>
      </c>
      <c r="BB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EXP(1.076*LN(AO115)-4.5397)*IF(_xlfn.XLOOKUP(E115,Groups!A:A,Groups!BC:BC)=1,1.25,IF(_xlfn.XLOOKUP(E115,Groups!A:A,Groups!BD:BD)=1,3.5,2.5))</f>
        <v>37.334301254349668</v>
      </c>
      <c r="BE115" s="8">
        <f>EXP(1.076*LN(AP115)-4.5397)*IF(_xlfn.XLOOKUP(E115,Groups!A:A,Groups!M:M)=1,0.8,IF(_xlfn.XLOOKUP(E115,Groups!A:A,Groups!BC:BC)=1,1.3,3))</f>
        <v>50.734569822503651</v>
      </c>
      <c r="BF115" s="8" t="str">
        <f>IF(W115="No","No",IF(_xlfn.XLOOKUP(E115,Groups!A:A,Groups!U:U)=1,'Base stats'!BG115,IF(OR(_xlfn.XLOOKUP(E115,Groups!A:A,Groups!BD:BD)=1,_xlfn.XLOOKUP(E115,Groups!A:A,Groups!U:U)=2),BD115,BE115))*1.2)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44"/>
        <v>12</v>
      </c>
      <c r="BI115" s="8">
        <f t="shared" si="45"/>
        <v>10</v>
      </c>
      <c r="BJ115" s="8" t="str">
        <f t="shared" si="57"/>
        <v>No</v>
      </c>
      <c r="BK115" s="8">
        <f t="shared" si="58"/>
        <v>8</v>
      </c>
      <c r="BL115" s="8">
        <f t="shared" si="46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N115" s="8" t="str">
        <f>IF(W115="No","No",IF(_xlfn.XLOOKUP(E115,Groups!A:A,Groups!BD:BD)=1,(AL115*5%),EXP(0.7354*LN(C115)^0.4078)*2/IF(_xlfn.XLOOKUP(E115,Groups!A:A,Groups!BL:BL)=1,1000,100)))</f>
        <v>No</v>
      </c>
      <c r="BO115" s="8">
        <f>IF(BG115="No","No",IF(_xlfn.XLOOKUP(E115,Groups!A:A,Groups!BF:BF)=1,(0.0315*C115+2.1825)*2,(0.7354*C115^0.4078)*2)/IF(_xlfn.XLOOKUP(E115,Groups!A:A,Groups!BM:BM)=1,1000,100))</f>
        <v>5.509861811333968E-2</v>
      </c>
      <c r="BP115" s="8">
        <f t="shared" si="59"/>
        <v>8.195282469142634E-2</v>
      </c>
      <c r="BQ115" s="8">
        <f t="shared" si="47"/>
        <v>920.79568525912873</v>
      </c>
      <c r="BR115" s="8" t="str">
        <f t="shared" si="60"/>
        <v>No</v>
      </c>
      <c r="BS115" s="8">
        <f t="shared" si="48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51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52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IFERROR(AVERAGE(_xlfn.XLOOKUP(B116,Animals!B:B,Animals!N:N),_xlfn.XLOOKUP(B116,Animals!B:B,Animals!O:O)),0)</f>
        <v>0</v>
      </c>
      <c r="AT116" s="8">
        <f>MROUND(40*Animals!AO116*_xlfn.XLOOKUP(Animals!BA116,Leathers!$A$2:$A$100,Leathers!$B$2:$B$100,0)+(140*_xlfn.XLOOKUP(B116,Animals!B:B,Animals!AO:AO)*2),5)</f>
        <v>330</v>
      </c>
      <c r="AU116" s="8">
        <f>IFERROR(ROUND(SQRT(V116-1)*IF(_xlfn.XLOOKUP(E116,Groups!A:A,Groups!BF:BF)=0,2,1)*IF(_xlfn.XLOOKUP('Base stats'!E116,Groups!A:A,Groups!O:O)=0,1,0.1),1),0)</f>
        <v>0</v>
      </c>
      <c r="AV116" s="8">
        <f t="shared" si="53"/>
        <v>2</v>
      </c>
      <c r="AW116" s="8">
        <f t="shared" si="54"/>
        <v>0</v>
      </c>
      <c r="AX116" s="8">
        <f t="shared" si="55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stats'!AY116,IF(OR(_xlfn.XLOOKUP(E116,Groups!A:A,Groups!BD:BD)=1,_xlfn.XLOOKUP(E116,Groups!A:A,Groups!U:U)=2),BA116,IF(_xlfn.XLOOKUP(B116,Animals!B:B,Animals!AO:AO)&gt;4,AVERAGE(BA116,BC116),BC116))))</f>
        <v>No</v>
      </c>
      <c r="BA116" s="8">
        <f t="shared" si="56"/>
        <v>0.80448793422302267</v>
      </c>
      <c r="BB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EXP(1.076*LN(AO116)-4.5397)*IF(_xlfn.XLOOKUP(E116,Groups!A:A,Groups!BC:BC)=1,1.25,IF(_xlfn.XLOOKUP(E116,Groups!A:A,Groups!BD:BD)=1,3.5,2.5))</f>
        <v>75.078981297499624</v>
      </c>
      <c r="BE116" s="8">
        <f>EXP(1.076*LN(AP116)-4.5397)*IF(_xlfn.XLOOKUP(E116,Groups!A:A,Groups!M:M)=1,0.8,IF(_xlfn.XLOOKUP(E116,Groups!A:A,Groups!BC:BC)=1,1.3,3))</f>
        <v>97.731888109270812</v>
      </c>
      <c r="BF116" s="8" t="str">
        <f>IF(W116="No","No",IF(_xlfn.XLOOKUP(E116,Groups!A:A,Groups!U:U)=1,'Base stats'!BG116,IF(OR(_xlfn.XLOOKUP(E116,Groups!A:A,Groups!BD:BD)=1,_xlfn.XLOOKUP(E116,Groups!A:A,Groups!U:U)=2),BD116,BE116))*1.2)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44"/>
        <v>13</v>
      </c>
      <c r="BI116" s="8">
        <f t="shared" si="45"/>
        <v>8</v>
      </c>
      <c r="BJ116" s="8" t="str">
        <f t="shared" si="57"/>
        <v>No</v>
      </c>
      <c r="BK116" s="8" t="str">
        <f t="shared" si="58"/>
        <v>No</v>
      </c>
      <c r="BL116" s="8">
        <f t="shared" si="46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N116" s="8" t="str">
        <f>IF(W116="No","No",IF(_xlfn.XLOOKUP(E116,Groups!A:A,Groups!BD:BD)=1,(AL116*5%),EXP(0.7354*LN(C116)^0.4078)*2/IF(_xlfn.XLOOKUP(E116,Groups!A:A,Groups!BL:BL)=1,1000,100)))</f>
        <v>No</v>
      </c>
      <c r="BO116" s="8" t="str">
        <f>IF(BG116="No","No",IF(_xlfn.XLOOKUP(E116,Groups!A:A,Groups!BF:BF)=1,(0.0315*C116+2.1825)*2,(0.7354*C116^0.4078)*2)/IF(_xlfn.XLOOKUP(E116,Groups!A:A,Groups!BM:BM)=1,1000,100))</f>
        <v>No</v>
      </c>
      <c r="BP116" s="8">
        <f t="shared" si="59"/>
        <v>9.9997614552410241E-2</v>
      </c>
      <c r="BQ116" s="8">
        <f t="shared" si="47"/>
        <v>1296.4708698385011</v>
      </c>
      <c r="BR116" s="8" t="str">
        <f t="shared" si="60"/>
        <v>No</v>
      </c>
      <c r="BS116" s="8" t="str">
        <f t="shared" si="48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1</v>
      </c>
      <c r="AK117" s="44" t="s">
        <v>40</v>
      </c>
      <c r="AL117" s="8">
        <f t="shared" si="51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52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IFERROR(AVERAGE(_xlfn.XLOOKUP(B117,Animals!B:B,Animals!N:N),_xlfn.XLOOKUP(B117,Animals!B:B,Animals!O:O)),0)</f>
        <v>0</v>
      </c>
      <c r="AT117" s="8">
        <f>MROUND(40*Animals!AO117*_xlfn.XLOOKUP(Animals!BA117,Leathers!$A$2:$A$100,Leathers!$B$2:$B$100,0)+(140*_xlfn.XLOOKUP(B117,Animals!B:B,Animals!AO:AO)*2),5)</f>
        <v>140</v>
      </c>
      <c r="AU117" s="8">
        <f>IFERROR(ROUND(SQRT(V117-1)*IF(_xlfn.XLOOKUP(E117,Groups!A:A,Groups!BF:BF)=0,2,1)*IF(_xlfn.XLOOKUP('Base stats'!E117,Groups!A:A,Groups!O:O)=0,1,0.1),1),0)</f>
        <v>0</v>
      </c>
      <c r="AV117" s="8">
        <f t="shared" si="53"/>
        <v>1.2</v>
      </c>
      <c r="AW117" s="8">
        <f t="shared" si="54"/>
        <v>0</v>
      </c>
      <c r="AX117" s="8">
        <f t="shared" si="55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stats'!AY117,IF(OR(_xlfn.XLOOKUP(E117,Groups!A:A,Groups!BD:BD)=1,_xlfn.XLOOKUP(E117,Groups!A:A,Groups!U:U)=2),BA117,IF(_xlfn.XLOOKUP(B117,Animals!B:B,Animals!AO:AO)&gt;4,AVERAGE(BA117,BC117),BC117))))</f>
        <v>No</v>
      </c>
      <c r="BA117" s="8">
        <f t="shared" si="56"/>
        <v>0.21063096149006141</v>
      </c>
      <c r="BB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EXP(1.076*LN(AO117)-4.5397)*IF(_xlfn.XLOOKUP(E117,Groups!A:A,Groups!BC:BC)=1,1.25,IF(_xlfn.XLOOKUP(E117,Groups!A:A,Groups!BD:BD)=1,3.5,2.5))</f>
        <v>14.926536113178264</v>
      </c>
      <c r="BE117" s="8">
        <f>EXP(1.076*LN(AP117)-4.5397)*IF(_xlfn.XLOOKUP(E117,Groups!A:A,Groups!M:M)=1,0.8,IF(_xlfn.XLOOKUP(E117,Groups!A:A,Groups!BC:BC)=1,1.3,3))</f>
        <v>21.461751851563431</v>
      </c>
      <c r="BF117" s="8" t="str">
        <f>IF(W117="No","No",IF(_xlfn.XLOOKUP(E117,Groups!A:A,Groups!U:U)=1,'Base stats'!BG117,IF(OR(_xlfn.XLOOKUP(E117,Groups!A:A,Groups!BD:BD)=1,_xlfn.XLOOKUP(E117,Groups!A:A,Groups!U:U)=2),BD117,BE117))*1.2)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44"/>
        <v>11</v>
      </c>
      <c r="BI117" s="8">
        <f t="shared" si="45"/>
        <v>10</v>
      </c>
      <c r="BJ117" s="8" t="str">
        <f t="shared" si="57"/>
        <v>No</v>
      </c>
      <c r="BK117" s="8">
        <f t="shared" si="58"/>
        <v>8</v>
      </c>
      <c r="BL117" s="8">
        <f t="shared" si="46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N117" s="8" t="str">
        <f>IF(W117="No","No",IF(_xlfn.XLOOKUP(E117,Groups!A:A,Groups!BD:BD)=1,(AL117*5%),EXP(0.7354*LN(C117)^0.4078)*2/IF(_xlfn.XLOOKUP(E117,Groups!A:A,Groups!BL:BL)=1,1000,100)))</f>
        <v>No</v>
      </c>
      <c r="BO117" s="8">
        <f>IF(BG117="No","No",IF(_xlfn.XLOOKUP(E117,Groups!A:A,Groups!BF:BF)=1,(0.0315*C117+2.1825)*2,(0.7354*C117^0.4078)*2)/IF(_xlfn.XLOOKUP(E117,Groups!A:A,Groups!BM:BM)=1,1000,100))</f>
        <v>3.6517494087127893E-2</v>
      </c>
      <c r="BP117" s="8">
        <f t="shared" si="59"/>
        <v>6.3117841189458207E-2</v>
      </c>
      <c r="BQ117" s="8">
        <f t="shared" si="47"/>
        <v>587.71151712539108</v>
      </c>
      <c r="BR117" s="8" t="str">
        <f t="shared" si="60"/>
        <v>No</v>
      </c>
      <c r="BS117" s="8">
        <f t="shared" si="48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4">
        <f>3.6*(23.3/11)</f>
        <v>7.6254545454545459</v>
      </c>
      <c r="AL118" s="8">
        <f t="shared" si="51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52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IFERROR(AVERAGE(_xlfn.XLOOKUP(B118,Animals!B:B,Animals!N:N),_xlfn.XLOOKUP(B118,Animals!B:B,Animals!O:O)),0)</f>
        <v>0</v>
      </c>
      <c r="AT118" s="8">
        <f>MROUND(40*Animals!AO118*_xlfn.XLOOKUP(Animals!BA118,Leathers!$A$2:$A$100,Leathers!$B$2:$B$100,0)+(140*_xlfn.XLOOKUP(B118,Animals!B:B,Animals!AO:AO)*2),5)</f>
        <v>55</v>
      </c>
      <c r="AU118" s="8">
        <f>IFERROR(ROUND(SQRT(V118-1)*IF(_xlfn.XLOOKUP(E118,Groups!A:A,Groups!BF:BF)=0,2,1)*IF(_xlfn.XLOOKUP('Base stats'!E118,Groups!A:A,Groups!O:O)=0,1,0.1),1),0)</f>
        <v>0.2</v>
      </c>
      <c r="AV118" s="8">
        <f t="shared" si="53"/>
        <v>0.9</v>
      </c>
      <c r="AW118" s="8">
        <f t="shared" si="54"/>
        <v>0</v>
      </c>
      <c r="AX118" s="8">
        <f t="shared" si="55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stats'!AY118,IF(OR(_xlfn.XLOOKUP(E118,Groups!A:A,Groups!BD:BD)=1,_xlfn.XLOOKUP(E118,Groups!A:A,Groups!U:U)=2),BA118,IF(_xlfn.XLOOKUP(B118,Animals!B:B,Animals!AO:AO)&gt;4,AVERAGE(BA118,BC118),BC118))))</f>
        <v>No</v>
      </c>
      <c r="BA118" s="8">
        <f t="shared" si="56"/>
        <v>4.7186556775152606E-2</v>
      </c>
      <c r="BB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EXP(1.076*LN(AO118)-4.5397)*IF(_xlfn.XLOOKUP(E118,Groups!A:A,Groups!BC:BC)=1,1.25,IF(_xlfn.XLOOKUP(E118,Groups!A:A,Groups!BD:BD)=1,3.5,2.5))</f>
        <v>2.4087339580560458</v>
      </c>
      <c r="BE118" s="8">
        <f>EXP(1.076*LN(AP118)-4.5397)*IF(_xlfn.XLOOKUP(E118,Groups!A:A,Groups!M:M)=1,0.8,IF(_xlfn.XLOOKUP(E118,Groups!A:A,Groups!BC:BC)=1,1.3,3))</f>
        <v>3.8749064077407116</v>
      </c>
      <c r="BF118" s="8" t="str">
        <f>IF(W118="No","No",IF(_xlfn.XLOOKUP(E118,Groups!A:A,Groups!U:U)=1,'Base stats'!BG118,IF(OR(_xlfn.XLOOKUP(E118,Groups!A:A,Groups!BD:BD)=1,_xlfn.XLOOKUP(E118,Groups!A:A,Groups!U:U)=2),BD118,BE118))*1.2)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44"/>
        <v>10</v>
      </c>
      <c r="BI118" s="8">
        <f t="shared" si="45"/>
        <v>9</v>
      </c>
      <c r="BJ118" s="8" t="str">
        <f t="shared" si="57"/>
        <v>No</v>
      </c>
      <c r="BK118" s="8">
        <f t="shared" si="58"/>
        <v>5</v>
      </c>
      <c r="BL118" s="8">
        <f t="shared" si="46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N118" s="8" t="str">
        <f>IF(W118="No","No",IF(_xlfn.XLOOKUP(E118,Groups!A:A,Groups!BD:BD)=1,(AL118*5%),EXP(0.7354*LN(C118)^0.4078)*2/IF(_xlfn.XLOOKUP(E118,Groups!A:A,Groups!BL:BL)=1,1000,100)))</f>
        <v>No</v>
      </c>
      <c r="BO118" s="8">
        <f>IF(BG118="No","No",IF(_xlfn.XLOOKUP(E118,Groups!A:A,Groups!BF:BF)=1,(0.0315*C118+2.1825)*2,(0.7354*C118^0.4078)*2)/IF(_xlfn.XLOOKUP(E118,Groups!A:A,Groups!BM:BM)=1,1000,100))</f>
        <v>1.6109183348029264E-2</v>
      </c>
      <c r="BP118" s="8">
        <f t="shared" si="59"/>
        <v>3.7540870922292358E-2</v>
      </c>
      <c r="BQ118" s="8">
        <f t="shared" si="47"/>
        <v>240.54021386594701</v>
      </c>
      <c r="BR118" s="8" t="str">
        <f t="shared" si="60"/>
        <v>No</v>
      </c>
      <c r="BS118" s="8">
        <f t="shared" si="48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51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52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IFERROR(AVERAGE(_xlfn.XLOOKUP(B119,Animals!B:B,Animals!N:N),_xlfn.XLOOKUP(B119,Animals!B:B,Animals!O:O)),0)</f>
        <v>0</v>
      </c>
      <c r="AT119" s="8">
        <f>MROUND(40*Animals!AO119*_xlfn.XLOOKUP(Animals!BA119,Leathers!$A$2:$A$100,Leathers!$B$2:$B$100,0)+(140*_xlfn.XLOOKUP(B119,Animals!B:B,Animals!AO:AO)*2),5)</f>
        <v>200</v>
      </c>
      <c r="AU119" s="8">
        <f>IFERROR(ROUND(SQRT(V119-1)*IF(_xlfn.XLOOKUP(E119,Groups!A:A,Groups!BF:BF)=0,2,1)*IF(_xlfn.XLOOKUP('Base stats'!E119,Groups!A:A,Groups!O:O)=0,1,0.1),1),0)</f>
        <v>2.2999999999999998</v>
      </c>
      <c r="AV119" s="8">
        <f t="shared" si="53"/>
        <v>0</v>
      </c>
      <c r="AW119" s="8">
        <f t="shared" si="54"/>
        <v>0</v>
      </c>
      <c r="AX119" s="8">
        <f t="shared" si="55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stats'!AY119,IF(OR(_xlfn.XLOOKUP(E119,Groups!A:A,Groups!BD:BD)=1,_xlfn.XLOOKUP(E119,Groups!A:A,Groups!U:U)=2),BA119,IF(_xlfn.XLOOKUP(B119,Animals!B:B,Animals!AO:AO)&gt;4,AVERAGE(BA119,BC119),BC119))))</f>
        <v>No</v>
      </c>
      <c r="BA119" s="8">
        <f t="shared" si="56"/>
        <v>0.33561971314389133</v>
      </c>
      <c r="BB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EXP(1.076*LN(AO119)-4.5397)*IF(_xlfn.XLOOKUP(E119,Groups!A:A,Groups!BC:BC)=1,1.25,IF(_xlfn.XLOOKUP(E119,Groups!A:A,Groups!BD:BD)=1,3.5,2.5))</f>
        <v>20.591427987572672</v>
      </c>
      <c r="BE119" s="8">
        <f>EXP(1.076*LN(AP119)-4.5397)*IF(_xlfn.XLOOKUP(E119,Groups!A:A,Groups!M:M)=1,0.8,IF(_xlfn.XLOOKUP(E119,Groups!A:A,Groups!BC:BC)=1,1.3,3))</f>
        <v>29.026250140724073</v>
      </c>
      <c r="BF119" s="8" t="str">
        <f>IF(W119="No","No",IF(_xlfn.XLOOKUP(E119,Groups!A:A,Groups!U:U)=1,'Base stats'!BG119,IF(OR(_xlfn.XLOOKUP(E119,Groups!A:A,Groups!BD:BD)=1,_xlfn.XLOOKUP(E119,Groups!A:A,Groups!U:U)=2),BD119,BE119))*1.2)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44"/>
        <v>11</v>
      </c>
      <c r="BI119" s="8">
        <f t="shared" si="45"/>
        <v>10</v>
      </c>
      <c r="BJ119" s="8" t="str">
        <f t="shared" si="57"/>
        <v>No</v>
      </c>
      <c r="BK119" s="8">
        <f t="shared" si="58"/>
        <v>9</v>
      </c>
      <c r="BL119" s="8">
        <f t="shared" si="46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N119" s="8" t="str">
        <f>IF(W119="No","No",IF(_xlfn.XLOOKUP(E119,Groups!A:A,Groups!BD:BD)=1,(AL119*5%),EXP(0.7354*LN(C119)^0.4078)*2/IF(_xlfn.XLOOKUP(E119,Groups!A:A,Groups!BL:BL)=1,1000,100)))</f>
        <v>No</v>
      </c>
      <c r="BO119" s="8">
        <f>IF(BG119="No","No",IF(_xlfn.XLOOKUP(E119,Groups!A:A,Groups!BF:BF)=1,(0.0315*C119+2.1825)*2,(0.7354*C119^0.4078)*2)/IF(_xlfn.XLOOKUP(E119,Groups!A:A,Groups!BM:BM)=1,1000,100))</f>
        <v>4.2188419557802559E-2</v>
      </c>
      <c r="BP119" s="8">
        <f t="shared" si="59"/>
        <v>6.9175636105958685E-2</v>
      </c>
      <c r="BQ119" s="8" t="str">
        <f t="shared" si="47"/>
        <v>No</v>
      </c>
      <c r="BR119" s="8" t="str">
        <f t="shared" si="60"/>
        <v>No</v>
      </c>
      <c r="BS119" s="8">
        <f t="shared" si="48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51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52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IFERROR(AVERAGE(_xlfn.XLOOKUP(B120,Animals!B:B,Animals!N:N),_xlfn.XLOOKUP(B120,Animals!B:B,Animals!O:O)),0)</f>
        <v>0</v>
      </c>
      <c r="AT120" s="8">
        <f>MROUND(40*Animals!AO120*_xlfn.XLOOKUP(Animals!BA120,Leathers!$A$2:$A$100,Leathers!$B$2:$B$100,0)+(140*_xlfn.XLOOKUP(B120,Animals!B:B,Animals!AO:AO)*2),5)</f>
        <v>705</v>
      </c>
      <c r="AU120" s="8">
        <f>IFERROR(ROUND(SQRT(V120-1)*IF(_xlfn.XLOOKUP(E120,Groups!A:A,Groups!BF:BF)=0,2,1)*IF(_xlfn.XLOOKUP('Base stats'!E120,Groups!A:A,Groups!O:O)=0,1,0.1),1),0)</f>
        <v>2.9</v>
      </c>
      <c r="AV120" s="8">
        <f t="shared" si="53"/>
        <v>1.9</v>
      </c>
      <c r="AW120" s="8">
        <f t="shared" si="54"/>
        <v>0</v>
      </c>
      <c r="AX120" s="8">
        <f t="shared" si="55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stats'!AY120,IF(OR(_xlfn.XLOOKUP(E120,Groups!A:A,Groups!BD:BD)=1,_xlfn.XLOOKUP(E120,Groups!A:A,Groups!U:U)=2),BA120,IF(_xlfn.XLOOKUP(B120,Animals!B:B,Animals!AO:AO)&gt;4,AVERAGE(BA120,BC120),BC120))))</f>
        <v>No</v>
      </c>
      <c r="BA120" s="8">
        <f t="shared" si="56"/>
        <v>2.5804840886405951</v>
      </c>
      <c r="BB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EXP(1.076*LN(AO120)-4.5397)*IF(_xlfn.XLOOKUP(E120,Groups!A:A,Groups!BC:BC)=1,1.25,IF(_xlfn.XLOOKUP(E120,Groups!A:A,Groups!BD:BD)=1,3.5,2.5))</f>
        <v>191.68111557006529</v>
      </c>
      <c r="BE120" s="8">
        <f>EXP(1.076*LN(AP120)-4.5397)*IF(_xlfn.XLOOKUP(E120,Groups!A:A,Groups!M:M)=1,0.8,IF(_xlfn.XLOOKUP(E120,Groups!A:A,Groups!BC:BC)=1,1.3,3))</f>
        <v>235.52577657381272</v>
      </c>
      <c r="BF120" s="8" t="str">
        <f>IF(W120="No","No",IF(_xlfn.XLOOKUP(E120,Groups!A:A,Groups!U:U)=1,'Base stats'!BG120,IF(OR(_xlfn.XLOOKUP(E120,Groups!A:A,Groups!BD:BD)=1,_xlfn.XLOOKUP(E120,Groups!A:A,Groups!U:U)=2),BD120,BE120))*1.2)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44"/>
        <v>12</v>
      </c>
      <c r="BI120" s="8">
        <f t="shared" si="45"/>
        <v>11</v>
      </c>
      <c r="BJ120" s="8" t="str">
        <f t="shared" si="57"/>
        <v>No</v>
      </c>
      <c r="BK120" s="8">
        <f t="shared" si="58"/>
        <v>10</v>
      </c>
      <c r="BL120" s="8">
        <f t="shared" si="46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N120" s="8" t="str">
        <f>IF(W120="No","No",IF(_xlfn.XLOOKUP(E120,Groups!A:A,Groups!BD:BD)=1,(AL120*5%),EXP(0.7354*LN(C120)^0.4078)*2/IF(_xlfn.XLOOKUP(E120,Groups!A:A,Groups!BL:BL)=1,1000,100)))</f>
        <v>No</v>
      </c>
      <c r="BO120" s="8">
        <f>IF(BG120="No","No",IF(_xlfn.XLOOKUP(E120,Groups!A:A,Groups!BF:BF)=1,(0.0315*C120+2.1825)*2,(0.7354*C120^0.4078)*2)/IF(_xlfn.XLOOKUP(E120,Groups!A:A,Groups!BM:BM)=1,1000,100))</f>
        <v>0.11479205921855015</v>
      </c>
      <c r="BP120" s="8">
        <f t="shared" si="59"/>
        <v>0.13059903949899959</v>
      </c>
      <c r="BQ120" s="8">
        <f t="shared" si="47"/>
        <v>2051.760184259786</v>
      </c>
      <c r="BR120" s="8" t="str">
        <f t="shared" si="60"/>
        <v>No</v>
      </c>
      <c r="BS120" s="8">
        <f t="shared" si="48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51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52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IFERROR(AVERAGE(_xlfn.XLOOKUP(B121,Animals!B:B,Animals!N:N),_xlfn.XLOOKUP(B121,Animals!B:B,Animals!O:O)),0)</f>
        <v>0</v>
      </c>
      <c r="AT121" s="8">
        <f>MROUND(40*Animals!AO121*_xlfn.XLOOKUP(Animals!BA121,Leathers!$A$2:$A$100,Leathers!$B$2:$B$100,0)+(140*_xlfn.XLOOKUP(B121,Animals!B:B,Animals!AO:AO)*2),5)</f>
        <v>340</v>
      </c>
      <c r="AU121" s="8">
        <f>IFERROR(ROUND(SQRT(V121-1)*IF(_xlfn.XLOOKUP(E121,Groups!A:A,Groups!BF:BF)=0,2,1)*IF(_xlfn.XLOOKUP('Base stats'!E121,Groups!A:A,Groups!O:O)=0,1,0.1),1),0)</f>
        <v>2.8</v>
      </c>
      <c r="AV121" s="8">
        <f t="shared" si="53"/>
        <v>0</v>
      </c>
      <c r="AW121" s="8">
        <f t="shared" si="54"/>
        <v>0</v>
      </c>
      <c r="AX121" s="8">
        <f t="shared" si="55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stats'!AY121,IF(OR(_xlfn.XLOOKUP(E121,Groups!A:A,Groups!BD:BD)=1,_xlfn.XLOOKUP(E121,Groups!A:A,Groups!U:U)=2),BA121,IF(_xlfn.XLOOKUP(B121,Animals!B:B,Animals!AO:AO)&gt;4,AVERAGE(BA121,BC121),BC121))))</f>
        <v>No</v>
      </c>
      <c r="BA121" s="8">
        <f t="shared" si="56"/>
        <v>1.2261327448364443</v>
      </c>
      <c r="BB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EXP(1.076*LN(AO121)-4.5397)*IF(_xlfn.XLOOKUP(E121,Groups!A:A,Groups!BC:BC)=1,1.25,IF(_xlfn.XLOOKUP(E121,Groups!A:A,Groups!BD:BD)=1,3.5,2.5))</f>
        <v>84.942014489293456</v>
      </c>
      <c r="BE121" s="8">
        <f>EXP(1.076*LN(AP121)-4.5397)*IF(_xlfn.XLOOKUP(E121,Groups!A:A,Groups!M:M)=1,0.8,IF(_xlfn.XLOOKUP(E121,Groups!A:A,Groups!BC:BC)=1,1.3,3))</f>
        <v>109.73384167197534</v>
      </c>
      <c r="BF121" s="8" t="str">
        <f>IF(W121="No","No",IF(_xlfn.XLOOKUP(E121,Groups!A:A,Groups!U:U)=1,'Base stats'!BG121,IF(OR(_xlfn.XLOOKUP(E121,Groups!A:A,Groups!BD:BD)=1,_xlfn.XLOOKUP(E121,Groups!A:A,Groups!U:U)=2),BD121,BE121))*1.2)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44"/>
        <v>11</v>
      </c>
      <c r="BI121" s="8">
        <f t="shared" si="45"/>
        <v>11</v>
      </c>
      <c r="BJ121" s="8" t="str">
        <f t="shared" si="57"/>
        <v>No</v>
      </c>
      <c r="BK121" s="8">
        <f t="shared" si="58"/>
        <v>11</v>
      </c>
      <c r="BL121" s="8">
        <f t="shared" si="46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N121" s="8" t="str">
        <f>IF(W121="No","No",IF(_xlfn.XLOOKUP(E121,Groups!A:A,Groups!BD:BD)=1,(AL121*5%),EXP(0.7354*LN(C121)^0.4078)*2/IF(_xlfn.XLOOKUP(E121,Groups!A:A,Groups!BL:BL)=1,1000,100)))</f>
        <v>No</v>
      </c>
      <c r="BO121" s="8">
        <f>IF(BG121="No","No",IF(_xlfn.XLOOKUP(E121,Groups!A:A,Groups!BF:BF)=1,(0.0315*C121+2.1825)*2,(0.7354*C121^0.4078)*2)/IF(_xlfn.XLOOKUP(E121,Groups!A:A,Groups!BM:BM)=1,1000,100))</f>
        <v>7.967543002753158E-2</v>
      </c>
      <c r="BP121" s="8">
        <f t="shared" si="59"/>
        <v>0.10357588775317814</v>
      </c>
      <c r="BQ121" s="8" t="str">
        <f t="shared" si="47"/>
        <v>No</v>
      </c>
      <c r="BR121" s="8" t="str">
        <f t="shared" si="60"/>
        <v>No</v>
      </c>
      <c r="BS121" s="8">
        <f t="shared" si="48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51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52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IFERROR(AVERAGE(_xlfn.XLOOKUP(B122,Animals!B:B,Animals!N:N),_xlfn.XLOOKUP(B122,Animals!B:B,Animals!O:O)),0)</f>
        <v>0.97500000000000009</v>
      </c>
      <c r="AT122" s="8">
        <f>MROUND(40*Animals!AO122*_xlfn.XLOOKUP(Animals!BA122,Leathers!$A$2:$A$100,Leathers!$B$2:$B$100,0)+(140*_xlfn.XLOOKUP(B122,Animals!B:B,Animals!AO:AO)*2),5)</f>
        <v>365</v>
      </c>
      <c r="AU122" s="8">
        <f>IFERROR(ROUND(SQRT(V122-1)*IF(_xlfn.XLOOKUP(E122,Groups!A:A,Groups!BF:BF)=0,2,1)*IF(_xlfn.XLOOKUP('Base stats'!E122,Groups!A:A,Groups!O:O)=0,1,0.1),1),0)</f>
        <v>0.2</v>
      </c>
      <c r="AV122" s="8">
        <f t="shared" si="53"/>
        <v>0</v>
      </c>
      <c r="AW122" s="8">
        <f t="shared" si="54"/>
        <v>0</v>
      </c>
      <c r="AX122" s="8">
        <f t="shared" si="55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stats'!AY122,IF(OR(_xlfn.XLOOKUP(E122,Groups!A:A,Groups!BD:BD)=1,_xlfn.XLOOKUP(E122,Groups!A:A,Groups!U:U)=2),BA122,IF(_xlfn.XLOOKUP(B122,Animals!B:B,Animals!AO:AO)&gt;4,AVERAGE(BA122,BC122),BC122))))</f>
        <v>No</v>
      </c>
      <c r="BA122" s="8">
        <f t="shared" si="56"/>
        <v>0.66822278875269436</v>
      </c>
      <c r="BB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EXP(1.076*LN(AO122)-4.5397)*IF(_xlfn.XLOOKUP(E122,Groups!A:A,Groups!BC:BC)=1,1.25,IF(_xlfn.XLOOKUP(E122,Groups!A:A,Groups!BD:BD)=1,3.5,2.5))</f>
        <v>30.014596253060365</v>
      </c>
      <c r="BE122" s="8">
        <f>EXP(1.076*LN(AP122)-4.5397)*IF(_xlfn.XLOOKUP(E122,Groups!A:A,Groups!M:M)=1,0.8,IF(_xlfn.XLOOKUP(E122,Groups!A:A,Groups!BC:BC)=1,1.3,3))</f>
        <v>34.330763573542072</v>
      </c>
      <c r="BF122" s="8" t="str">
        <f>IF(W122="No","No",IF(_xlfn.XLOOKUP(E122,Groups!A:A,Groups!U:U)=1,'Base stats'!BG122,IF(OR(_xlfn.XLOOKUP(E122,Groups!A:A,Groups!BD:BD)=1,_xlfn.XLOOKUP(E122,Groups!A:A,Groups!U:U)=2),BD122,BE122))*1.2)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44"/>
        <v>9</v>
      </c>
      <c r="BI122" s="8">
        <f t="shared" si="45"/>
        <v>9</v>
      </c>
      <c r="BJ122" s="8" t="str">
        <f t="shared" si="57"/>
        <v>No</v>
      </c>
      <c r="BK122" s="8">
        <f t="shared" si="58"/>
        <v>9</v>
      </c>
      <c r="BL122" s="8">
        <f t="shared" si="46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N122" s="8" t="str">
        <f>IF(W122="No","No",IF(_xlfn.XLOOKUP(E122,Groups!A:A,Groups!BD:BD)=1,(AL122*5%),EXP(0.7354*LN(C122)^0.4078)*2/IF(_xlfn.XLOOKUP(E122,Groups!A:A,Groups!BL:BL)=1,1000,100)))</f>
        <v>No</v>
      </c>
      <c r="BO122" s="8">
        <f>IF(BG122="No","No",IF(_xlfn.XLOOKUP(E122,Groups!A:A,Groups!BF:BF)=1,(0.0315*C122+2.1825)*2,(0.7354*C122^0.4078)*2)/IF(_xlfn.XLOOKUP(E122,Groups!A:A,Groups!BM:BM)=1,1000,100))</f>
        <v>7.0739999999999997E-2</v>
      </c>
      <c r="BP122" s="8">
        <f t="shared" si="59"/>
        <v>4.6912116429747769E-2</v>
      </c>
      <c r="BQ122" s="8" t="str">
        <f t="shared" si="47"/>
        <v>No</v>
      </c>
      <c r="BR122" s="8" t="str">
        <f t="shared" si="60"/>
        <v>No</v>
      </c>
      <c r="BS122" s="8">
        <f t="shared" si="48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51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52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IFERROR(AVERAGE(_xlfn.XLOOKUP(B123,Animals!B:B,Animals!N:N),_xlfn.XLOOKUP(B123,Animals!B:B,Animals!O:O)),0)</f>
        <v>0</v>
      </c>
      <c r="AT123" s="8">
        <f>MROUND(40*Animals!AO123*_xlfn.XLOOKUP(Animals!BA123,Leathers!$A$2:$A$100,Leathers!$B$2:$B$100,0)+(140*_xlfn.XLOOKUP(B123,Animals!B:B,Animals!AO:AO)*2),5)</f>
        <v>760</v>
      </c>
      <c r="AU123" s="8">
        <f>IFERROR(ROUND(SQRT(V123-1)*IF(_xlfn.XLOOKUP(E123,Groups!A:A,Groups!BF:BF)=0,2,1)*IF(_xlfn.XLOOKUP('Base stats'!E123,Groups!A:A,Groups!O:O)=0,1,0.1),1),0)</f>
        <v>4.3</v>
      </c>
      <c r="AV123" s="8">
        <f t="shared" si="53"/>
        <v>2.4</v>
      </c>
      <c r="AW123" s="8">
        <f t="shared" si="54"/>
        <v>0</v>
      </c>
      <c r="AX123" s="8">
        <f t="shared" si="55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stats'!AY123,IF(OR(_xlfn.XLOOKUP(E123,Groups!A:A,Groups!BD:BD)=1,_xlfn.XLOOKUP(E123,Groups!A:A,Groups!U:U)=2),BA123,IF(_xlfn.XLOOKUP(B123,Animals!B:B,Animals!AO:AO)&gt;4,AVERAGE(BA123,BC123),BC123))))</f>
        <v>No</v>
      </c>
      <c r="BA123" s="8">
        <f t="shared" si="56"/>
        <v>2.8112912103500221</v>
      </c>
      <c r="BB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EXP(1.076*LN(AO123)-4.5397)*IF(_xlfn.XLOOKUP(E123,Groups!A:A,Groups!BC:BC)=1,1.25,IF(_xlfn.XLOOKUP(E123,Groups!A:A,Groups!BD:BD)=1,3.5,2.5))</f>
        <v>210.50940716029061</v>
      </c>
      <c r="BE123" s="8">
        <f>EXP(1.076*LN(AP123)-4.5397)*IF(_xlfn.XLOOKUP(E123,Groups!A:A,Groups!M:M)=1,0.8,IF(_xlfn.XLOOKUP(E123,Groups!A:A,Groups!BC:BC)=1,1.3,3))</f>
        <v>257.17313604990335</v>
      </c>
      <c r="BF123" s="8" t="str">
        <f>IF(W123="No","No",IF(_xlfn.XLOOKUP(E123,Groups!A:A,Groups!U:U)=1,'Base stats'!BG123,IF(OR(_xlfn.XLOOKUP(E123,Groups!A:A,Groups!BD:BD)=1,_xlfn.XLOOKUP(E123,Groups!A:A,Groups!U:U)=2),BD123,BE123))*1.2)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44"/>
        <v>12</v>
      </c>
      <c r="BI123" s="8">
        <f t="shared" si="45"/>
        <v>11</v>
      </c>
      <c r="BJ123" s="8" t="str">
        <f t="shared" si="57"/>
        <v>No</v>
      </c>
      <c r="BK123" s="8">
        <f t="shared" si="58"/>
        <v>11</v>
      </c>
      <c r="BL123" s="8">
        <f t="shared" si="46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N123" s="8" t="str">
        <f>IF(W123="No","No",IF(_xlfn.XLOOKUP(E123,Groups!A:A,Groups!BD:BD)=1,(AL123*5%),EXP(0.7354*LN(C123)^0.4078)*2/IF(_xlfn.XLOOKUP(E123,Groups!A:A,Groups!BL:BL)=1,1000,100)))</f>
        <v>No</v>
      </c>
      <c r="BO123" s="8">
        <f>IF(BG123="No","No",IF(_xlfn.XLOOKUP(E123,Groups!A:A,Groups!BF:BF)=1,(0.0315*C123+2.1825)*2,(0.7354*C123^0.4078)*2)/IF(_xlfn.XLOOKUP(E123,Groups!A:A,Groups!BM:BM)=1,1000,100))</f>
        <v>0.11972075169985437</v>
      </c>
      <c r="BP123" s="8">
        <f t="shared" si="59"/>
        <v>0.13413158399216837</v>
      </c>
      <c r="BQ123" s="8">
        <f t="shared" si="47"/>
        <v>2148.1082635920015</v>
      </c>
      <c r="BR123" s="8" t="str">
        <f t="shared" si="60"/>
        <v>No</v>
      </c>
      <c r="BS123" s="8">
        <f t="shared" si="48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D124" s="7" t="s">
        <v>1314</v>
      </c>
      <c r="E124" s="7" t="str">
        <f>Groups!A25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51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52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IFERROR(AVERAGE(_xlfn.XLOOKUP(B124,Animals!B:B,Animals!N:N),_xlfn.XLOOKUP(B124,Animals!B:B,Animals!O:O)),0)</f>
        <v>0</v>
      </c>
      <c r="AT124" s="8">
        <f>MROUND(40*Animals!AO124*_xlfn.XLOOKUP(Animals!BA124,Leathers!$A$2:$A$100,Leathers!$B$2:$B$100,0)+(140*_xlfn.XLOOKUP(B124,Animals!B:B,Animals!AO:AO)*2),5)</f>
        <v>70</v>
      </c>
      <c r="AU124" s="8">
        <f>IFERROR(ROUND(SQRT(V124-1)*IF(_xlfn.XLOOKUP(E124,Groups!A:A,Groups!BF:BF)=0,2,1)*IF(_xlfn.XLOOKUP('Base stats'!E124,Groups!A:A,Groups!O:O)=0,1,0.1),1),0)</f>
        <v>0</v>
      </c>
      <c r="AV124" s="8">
        <f t="shared" si="53"/>
        <v>0</v>
      </c>
      <c r="AW124" s="8">
        <f t="shared" si="54"/>
        <v>0</v>
      </c>
      <c r="AX124" s="8">
        <f t="shared" si="55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stats'!AY124,IF(OR(_xlfn.XLOOKUP(E124,Groups!A:A,Groups!BD:BD)=1,_xlfn.XLOOKUP(E124,Groups!A:A,Groups!U:U)=2),BA124,IF(_xlfn.XLOOKUP(B124,Animals!B:B,Animals!AO:AO)&gt;4,AVERAGE(BA124,BC124),BC124))))</f>
        <v>No</v>
      </c>
      <c r="BA124" s="8">
        <f t="shared" si="56"/>
        <v>4.6998262553212274E-2</v>
      </c>
      <c r="BB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EXP(1.076*LN(AO124)-4.5397)*IF(_xlfn.XLOOKUP(E124,Groups!A:A,Groups!BC:BC)=1,1.25,IF(_xlfn.XLOOKUP(E124,Groups!A:A,Groups!BD:BD)=1,3.5,2.5))</f>
        <v>2.398223056923853</v>
      </c>
      <c r="BE124" s="8">
        <f>EXP(1.076*LN(AP124)-4.5397)*IF(_xlfn.XLOOKUP(E124,Groups!A:A,Groups!M:M)=1,0.8,IF(_xlfn.XLOOKUP(E124,Groups!A:A,Groups!BC:BC)=1,1.3,3))</f>
        <v>3.8590364008518856</v>
      </c>
      <c r="BF124" s="8" t="str">
        <f>IF(W124="No","No",IF(_xlfn.XLOOKUP(E124,Groups!A:A,Groups!U:U)=1,'Base stats'!BG124,IF(OR(_xlfn.XLOOKUP(E124,Groups!A:A,Groups!BD:BD)=1,_xlfn.XLOOKUP(E124,Groups!A:A,Groups!U:U)=2),BD124,BE124))*1.2)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44"/>
        <v>10</v>
      </c>
      <c r="BI124" s="8">
        <f t="shared" si="45"/>
        <v>9</v>
      </c>
      <c r="BJ124" s="8" t="str">
        <f t="shared" si="57"/>
        <v>No</v>
      </c>
      <c r="BK124" s="8">
        <f t="shared" si="58"/>
        <v>7</v>
      </c>
      <c r="BL124" s="8">
        <f t="shared" si="46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N124" s="8" t="str">
        <f>IF(W124="No","No",IF(_xlfn.XLOOKUP(E124,Groups!A:A,Groups!BD:BD)=1,(AL124*5%),EXP(0.7354*LN(C124)^0.4078)*2/IF(_xlfn.XLOOKUP(E124,Groups!A:A,Groups!BL:BL)=1,1000,100)))</f>
        <v>No</v>
      </c>
      <c r="BO124" s="8">
        <f>IF(BG124="No","No",IF(_xlfn.XLOOKUP(E124,Groups!A:A,Groups!BF:BF)=1,(0.0315*C124+2.1825)*2,(0.7354*C124^0.4078)*2)/IF(_xlfn.XLOOKUP(E124,Groups!A:A,Groups!BM:BM)=1,1000,100))</f>
        <v>1.6077605656767299E-2</v>
      </c>
      <c r="BP124" s="8">
        <f t="shared" si="59"/>
        <v>3.7494135425872543E-2</v>
      </c>
      <c r="BQ124" s="8">
        <f t="shared" si="47"/>
        <v>240.0255661966408</v>
      </c>
      <c r="BR124" s="8" t="str">
        <f t="shared" si="60"/>
        <v>No</v>
      </c>
      <c r="BS124" s="8">
        <f t="shared" si="48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Groups!A21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51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52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IFERROR(AVERAGE(_xlfn.XLOOKUP(B125,Animals!B:B,Animals!N:N),_xlfn.XLOOKUP(B125,Animals!B:B,Animals!O:O)),0)</f>
        <v>0</v>
      </c>
      <c r="AT125" s="8">
        <f>MROUND(40*Animals!AO125*_xlfn.XLOOKUP(Animals!BA125,Leathers!$A$2:$A$100,Leathers!$B$2:$B$100,0)+(140*_xlfn.XLOOKUP(B125,Animals!B:B,Animals!AO:AO)*2),5)</f>
        <v>1115</v>
      </c>
      <c r="AU125" s="8">
        <f>IFERROR(ROUND(SQRT(V125-1)*IF(_xlfn.XLOOKUP(E125,Groups!A:A,Groups!BF:BF)=0,2,1)*IF(_xlfn.XLOOKUP('Base stats'!E125,Groups!A:A,Groups!O:O)=0,1,0.1),1),0)</f>
        <v>1.9</v>
      </c>
      <c r="AV125" s="8">
        <f t="shared" si="53"/>
        <v>0</v>
      </c>
      <c r="AW125" s="8">
        <f t="shared" si="54"/>
        <v>0</v>
      </c>
      <c r="AX125" s="8">
        <f t="shared" si="55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stats'!AY125,IF(OR(_xlfn.XLOOKUP(E125,Groups!A:A,Groups!BD:BD)=1,_xlfn.XLOOKUP(E125,Groups!A:A,Groups!U:U)=2),BA125,IF(_xlfn.XLOOKUP(B125,Animals!B:B,Animals!AO:AO)&gt;4,AVERAGE(BA125,BC125),BC125))))</f>
        <v>No</v>
      </c>
      <c r="BA125" s="8">
        <f t="shared" si="56"/>
        <v>5.4172425555182926</v>
      </c>
      <c r="BB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EXP(1.076*LN(AO125)-4.5397)*IF(_xlfn.XLOOKUP(E125,Groups!A:A,Groups!BC:BC)=1,1.25,IF(_xlfn.XLOOKUP(E125,Groups!A:A,Groups!BD:BD)=1,3.5,2.5))</f>
        <v>748.04820582530556</v>
      </c>
      <c r="BE125" s="8">
        <f>EXP(1.076*LN(AP125)-4.5397)*IF(_xlfn.XLOOKUP(E125,Groups!A:A,Groups!M:M)=1,0.8,IF(_xlfn.XLOOKUP(E125,Groups!A:A,Groups!BC:BC)=1,1.3,3))</f>
        <v>845.24963580378835</v>
      </c>
      <c r="BF125" s="8" t="str">
        <f>IF(W125="No","No",IF(_xlfn.XLOOKUP(E125,Groups!A:A,Groups!U:U)=1,'Base stats'!BG125,IF(OR(_xlfn.XLOOKUP(E125,Groups!A:A,Groups!BD:BD)=1,_xlfn.XLOOKUP(E125,Groups!A:A,Groups!U:U)=2),BD125,BE125))*1.2)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44"/>
        <v>16</v>
      </c>
      <c r="BI125" s="8">
        <f t="shared" si="45"/>
        <v>12</v>
      </c>
      <c r="BJ125" s="8" t="str">
        <f t="shared" si="57"/>
        <v>No</v>
      </c>
      <c r="BK125" s="8">
        <f t="shared" si="58"/>
        <v>10</v>
      </c>
      <c r="BL125" s="8">
        <f t="shared" si="46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N125" s="8" t="str">
        <f>IF(W125="No","No",IF(_xlfn.XLOOKUP(E125,Groups!A:A,Groups!BD:BD)=1,(AL125*5%),EXP(0.7354*LN(C125)^0.4078)*2/IF(_xlfn.XLOOKUP(E125,Groups!A:A,Groups!BL:BL)=1,1000,100)))</f>
        <v>No</v>
      </c>
      <c r="BO125" s="8">
        <f>IF(BG125="No","No",IF(_xlfn.XLOOKUP(E125,Groups!A:A,Groups!BF:BF)=1,(0.0315*C125+2.1825)*2,(0.7354*C125^0.4078)*2)/IF(_xlfn.XLOOKUP(E125,Groups!A:A,Groups!BM:BM)=1,1000,100))</f>
        <v>0.47835</v>
      </c>
      <c r="BP125" s="8">
        <f t="shared" si="59"/>
        <v>0.19247959382094265</v>
      </c>
      <c r="BQ125" s="8">
        <f t="shared" si="47"/>
        <v>7.1115628063962646</v>
      </c>
      <c r="BR125" s="8" t="str">
        <f t="shared" si="60"/>
        <v>No</v>
      </c>
      <c r="BS125" s="8">
        <f t="shared" si="48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Groups!A55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51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52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IFERROR(AVERAGE(_xlfn.XLOOKUP(B126,Animals!B:B,Animals!N:N),_xlfn.XLOOKUP(B126,Animals!B:B,Animals!O:O)),0)</f>
        <v>0</v>
      </c>
      <c r="AT126" s="8">
        <f>MROUND(40*Animals!AO126*_xlfn.XLOOKUP(Animals!BA126,Leathers!$A$2:$A$100,Leathers!$B$2:$B$100,0)+(140*_xlfn.XLOOKUP(B126,Animals!B:B,Animals!AO:AO)*2),5)</f>
        <v>160</v>
      </c>
      <c r="AU126" s="8">
        <f>IFERROR(ROUND(SQRT(V126-1)*IF(_xlfn.XLOOKUP(E126,Groups!A:A,Groups!BF:BF)=0,2,1)*IF(_xlfn.XLOOKUP('Base stats'!E126,Groups!A:A,Groups!O:O)=0,1,0.1),1),0)</f>
        <v>2.4</v>
      </c>
      <c r="AV126" s="8">
        <f t="shared" si="53"/>
        <v>0</v>
      </c>
      <c r="AW126" s="8">
        <f t="shared" si="54"/>
        <v>0</v>
      </c>
      <c r="AX126" s="8">
        <f t="shared" si="55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stats'!AY126,IF(OR(_xlfn.XLOOKUP(E126,Groups!A:A,Groups!BD:BD)=1,_xlfn.XLOOKUP(E126,Groups!A:A,Groups!U:U)=2),BA126,IF(_xlfn.XLOOKUP(B126,Animals!B:B,Animals!AO:AO)&gt;4,AVERAGE(BA126,BC126),BC126))))</f>
        <v>No</v>
      </c>
      <c r="BA126" s="8">
        <f t="shared" si="56"/>
        <v>0.16589439064394862</v>
      </c>
      <c r="BB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EXP(1.076*LN(AO126)-4.5397)*IF(_xlfn.XLOOKUP(E126,Groups!A:A,Groups!BC:BC)=1,1.25,IF(_xlfn.XLOOKUP(E126,Groups!A:A,Groups!BD:BD)=1,3.5,2.5))</f>
        <v>9.5276338828511484</v>
      </c>
      <c r="BE126" s="8">
        <f>EXP(1.076*LN(AP126)-4.5397)*IF(_xlfn.XLOOKUP(E126,Groups!A:A,Groups!M:M)=1,0.8,IF(_xlfn.XLOOKUP(E126,Groups!A:A,Groups!BC:BC)=1,1.3,3))</f>
        <v>14.082956995340533</v>
      </c>
      <c r="BF126" s="8" t="str">
        <f>IF(W126="No","No",IF(_xlfn.XLOOKUP(E126,Groups!A:A,Groups!U:U)=1,'Base stats'!BG126,IF(OR(_xlfn.XLOOKUP(E126,Groups!A:A,Groups!BD:BD)=1,_xlfn.XLOOKUP(E126,Groups!A:A,Groups!U:U)=2),BD126,BE126))*1.2)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44"/>
        <v>10</v>
      </c>
      <c r="BI126" s="8">
        <f t="shared" si="45"/>
        <v>10</v>
      </c>
      <c r="BJ126" s="8" t="str">
        <f t="shared" si="57"/>
        <v>No</v>
      </c>
      <c r="BK126" s="8">
        <f t="shared" si="58"/>
        <v>7</v>
      </c>
      <c r="BL126" s="8">
        <f t="shared" si="46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N126" s="8" t="str">
        <f>IF(W126="No","No",IF(_xlfn.XLOOKUP(E126,Groups!A:A,Groups!BD:BD)=1,(AL126*5%),EXP(0.7354*LN(C126)^0.4078)*2/IF(_xlfn.XLOOKUP(E126,Groups!A:A,Groups!BL:BL)=1,1000,100)))</f>
        <v>No</v>
      </c>
      <c r="BO126" s="8">
        <f>IF(BG126="No","No",IF(_xlfn.XLOOKUP(E126,Groups!A:A,Groups!BF:BF)=1,(0.0315*C126+2.1825)*2,(0.7354*C126^0.4078)*2)/IF(_xlfn.XLOOKUP(E126,Groups!A:A,Groups!BM:BM)=1,1000,100))</f>
        <v>2.9855262999266791E-2</v>
      </c>
      <c r="BP126" s="8">
        <f t="shared" si="59"/>
        <v>5.5541072825639505E-2</v>
      </c>
      <c r="BQ126" s="8" t="str">
        <f t="shared" si="47"/>
        <v>No</v>
      </c>
      <c r="BR126" s="8" t="str">
        <f t="shared" si="60"/>
        <v>No</v>
      </c>
      <c r="BS126" s="8">
        <f t="shared" si="48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51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52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IFERROR(AVERAGE(_xlfn.XLOOKUP(B127,Animals!B:B,Animals!N:N),_xlfn.XLOOKUP(B127,Animals!B:B,Animals!O:O)),0)</f>
        <v>0.55000000000000004</v>
      </c>
      <c r="AT127" s="8">
        <f>MROUND(40*Animals!AO127*_xlfn.XLOOKUP(Animals!BA127,Leathers!$A$2:$A$100,Leathers!$B$2:$B$100,0)+(140*_xlfn.XLOOKUP(B127,Animals!B:B,Animals!AO:AO)*2),5)</f>
        <v>770</v>
      </c>
      <c r="AU127" s="8">
        <f>IFERROR(ROUND(SQRT(V127-1)*IF(_xlfn.XLOOKUP(E127,Groups!A:A,Groups!BF:BF)=0,2,1)*IF(_xlfn.XLOOKUP('Base stats'!E127,Groups!A:A,Groups!O:O)=0,1,0.1),1),0)</f>
        <v>9.4</v>
      </c>
      <c r="AV127" s="8">
        <f t="shared" si="53"/>
        <v>3</v>
      </c>
      <c r="AW127" s="8">
        <f t="shared" si="54"/>
        <v>0</v>
      </c>
      <c r="AX127" s="8">
        <f t="shared" si="55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stats'!AY127,IF(OR(_xlfn.XLOOKUP(E127,Groups!A:A,Groups!BD:BD)=1,_xlfn.XLOOKUP(E127,Groups!A:A,Groups!U:U)=2),BA127,IF(_xlfn.XLOOKUP(B127,Animals!B:B,Animals!AO:AO)&gt;4,AVERAGE(BA127,BC127),BC127))))</f>
        <v>No</v>
      </c>
      <c r="BA127" s="8">
        <f t="shared" si="56"/>
        <v>5.6963664488603518</v>
      </c>
      <c r="BB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EXP(1.076*LN(AO127)-4.5397)*IF(_xlfn.XLOOKUP(E127,Groups!A:A,Groups!BC:BC)=1,1.25,IF(_xlfn.XLOOKUP(E127,Groups!A:A,Groups!BD:BD)=1,3.5,2.5))</f>
        <v>227.86763271095117</v>
      </c>
      <c r="BE127" s="8">
        <f>EXP(1.076*LN(AP127)-4.5397)*IF(_xlfn.XLOOKUP(E127,Groups!A:A,Groups!M:M)=1,0.8,IF(_xlfn.XLOOKUP(E127,Groups!A:A,Groups!BC:BC)=1,1.3,3))</f>
        <v>1218.1100161375859</v>
      </c>
      <c r="BF127" s="8" t="str">
        <f>IF(W127="No","No",IF(_xlfn.XLOOKUP(E127,Groups!A:A,Groups!U:U)=1,'Base stats'!BG127,IF(OR(_xlfn.XLOOKUP(E127,Groups!A:A,Groups!BD:BD)=1,_xlfn.XLOOKUP(E127,Groups!A:A,Groups!U:U)=2),BD127,BE127))*1.2)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44"/>
        <v>8</v>
      </c>
      <c r="BI127" s="8">
        <f t="shared" si="45"/>
        <v>16</v>
      </c>
      <c r="BJ127" s="8" t="str">
        <f t="shared" si="57"/>
        <v>No</v>
      </c>
      <c r="BK127" s="8">
        <f t="shared" si="58"/>
        <v>14</v>
      </c>
      <c r="BL127" s="8">
        <f t="shared" si="46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1.6930652098775201E-2</v>
      </c>
      <c r="BN127" s="8" t="str">
        <f>IF(W127="No","No",IF(_xlfn.XLOOKUP(E127,Groups!A:A,Groups!BD:BD)=1,(AL127*5%),EXP(0.7354*LN(C127)^0.4078)*2/IF(_xlfn.XLOOKUP(E127,Groups!A:A,Groups!BL:BL)=1,1000,100)))</f>
        <v>No</v>
      </c>
      <c r="BO127" s="8">
        <f>IF(BG127="No","No",IF(_xlfn.XLOOKUP(E127,Groups!A:A,Groups!BF:BF)=1,(0.0315*C127+2.1825)*2,(0.7354*C127^0.4078)*2)/IF(_xlfn.XLOOKUP(E127,Groups!A:A,Groups!BM:BM)=1,1000,100))</f>
        <v>0.16930652098775201</v>
      </c>
      <c r="BP127" s="8">
        <f t="shared" si="59"/>
        <v>8.3570050198519985E-2</v>
      </c>
      <c r="BQ127" s="8">
        <f t="shared" si="47"/>
        <v>71947.023010750228</v>
      </c>
      <c r="BR127" s="8" t="str">
        <f t="shared" si="60"/>
        <v>No</v>
      </c>
      <c r="BS127" s="8">
        <f t="shared" si="48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1</v>
      </c>
      <c r="AK128" s="44" t="s">
        <v>40</v>
      </c>
      <c r="AL128" s="8">
        <f t="shared" si="51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52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IFERROR(AVERAGE(_xlfn.XLOOKUP(B128,Animals!B:B,Animals!N:N),_xlfn.XLOOKUP(B128,Animals!B:B,Animals!O:O)),0)</f>
        <v>0</v>
      </c>
      <c r="AT128" s="8">
        <f>MROUND(40*Animals!AO128*_xlfn.XLOOKUP(Animals!BA128,Leathers!$A$2:$A$100,Leathers!$B$2:$B$100,0)+(140*_xlfn.XLOOKUP(B128,Animals!B:B,Animals!AO:AO)*2),5)</f>
        <v>105</v>
      </c>
      <c r="AU128" s="8">
        <f>IFERROR(ROUND(SQRT(V128-1)*IF(_xlfn.XLOOKUP(E128,Groups!A:A,Groups!BF:BF)=0,2,1)*IF(_xlfn.XLOOKUP('Base stats'!E128,Groups!A:A,Groups!O:O)=0,1,0.1),1),0)</f>
        <v>0.6</v>
      </c>
      <c r="AV128" s="8">
        <f t="shared" si="53"/>
        <v>0</v>
      </c>
      <c r="AW128" s="8">
        <f t="shared" si="54"/>
        <v>0</v>
      </c>
      <c r="AX128" s="8">
        <f t="shared" si="55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stats'!AY128,IF(OR(_xlfn.XLOOKUP(E128,Groups!A:A,Groups!BD:BD)=1,_xlfn.XLOOKUP(E128,Groups!A:A,Groups!U:U)=2),BA128,IF(_xlfn.XLOOKUP(B128,Animals!B:B,Animals!AO:AO)&gt;4,AVERAGE(BA128,BC128),BC128))))</f>
        <v>No</v>
      </c>
      <c r="BA128" s="8">
        <f t="shared" si="56"/>
        <v>0.11825502257128764</v>
      </c>
      <c r="BB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EXP(1.076*LN(AO128)-4.5397)*IF(_xlfn.XLOOKUP(E128,Groups!A:A,Groups!BC:BC)=1,1.25,IF(_xlfn.XLOOKUP(E128,Groups!A:A,Groups!BD:BD)=1,3.5,2.5))</f>
        <v>7.443095513187691</v>
      </c>
      <c r="BE128" s="8">
        <f>EXP(1.076*LN(AP128)-4.5397)*IF(_xlfn.XLOOKUP(E128,Groups!A:A,Groups!M:M)=1,0.8,IF(_xlfn.XLOOKUP(E128,Groups!A:A,Groups!BC:BC)=1,1.3,3))</f>
        <v>11.170267877115775</v>
      </c>
      <c r="BF128" s="8" t="str">
        <f>IF(W128="No","No",IF(_xlfn.XLOOKUP(E128,Groups!A:A,Groups!U:U)=1,'Base stats'!BG128,IF(OR(_xlfn.XLOOKUP(E128,Groups!A:A,Groups!BD:BD)=1,_xlfn.XLOOKUP(E128,Groups!A:A,Groups!U:U)=2),BD128,BE128))*1.2)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44"/>
        <v>11</v>
      </c>
      <c r="BI128" s="8">
        <f t="shared" si="45"/>
        <v>10</v>
      </c>
      <c r="BJ128" s="8" t="str">
        <f t="shared" si="57"/>
        <v>No</v>
      </c>
      <c r="BK128" s="8">
        <f t="shared" si="58"/>
        <v>8</v>
      </c>
      <c r="BL128" s="8">
        <f t="shared" si="46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N128" s="8" t="str">
        <f>IF(W128="No","No",IF(_xlfn.XLOOKUP(E128,Groups!A:A,Groups!BD:BD)=1,(AL128*5%),EXP(0.7354*LN(C128)^0.4078)*2/IF(_xlfn.XLOOKUP(E128,Groups!A:A,Groups!BL:BL)=1,1000,100)))</f>
        <v>No</v>
      </c>
      <c r="BO128" s="8">
        <f>IF(BG128="No","No",IF(_xlfn.XLOOKUP(E128,Groups!A:A,Groups!BF:BF)=1,(0.0315*C128+2.1825)*2,(0.7354*C128^0.4078)*2)/IF(_xlfn.XLOOKUP(E128,Groups!A:A,Groups!BM:BM)=1,1000,100))</f>
        <v>2.6724448866068496E-2</v>
      </c>
      <c r="BP128" s="8">
        <f t="shared" si="59"/>
        <v>5.1768983349763653E-2</v>
      </c>
      <c r="BQ128" s="8">
        <f t="shared" si="47"/>
        <v>417.97935415231115</v>
      </c>
      <c r="BR128" s="8" t="str">
        <f t="shared" si="60"/>
        <v>No</v>
      </c>
      <c r="BS128" s="8">
        <f t="shared" si="48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51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52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IFERROR(AVERAGE(_xlfn.XLOOKUP(B129,Animals!B:B,Animals!N:N),_xlfn.XLOOKUP(B129,Animals!B:B,Animals!O:O)),0)</f>
        <v>0</v>
      </c>
      <c r="AT129" s="8">
        <f>MROUND(40*Animals!AO129*_xlfn.XLOOKUP(Animals!BA129,Leathers!$A$2:$A$100,Leathers!$B$2:$B$100,0)+(140*_xlfn.XLOOKUP(B129,Animals!B:B,Animals!AO:AO)*2),5)</f>
        <v>70</v>
      </c>
      <c r="AU129" s="8">
        <f>IFERROR(ROUND(SQRT(V129-1)*IF(_xlfn.XLOOKUP(E129,Groups!A:A,Groups!BF:BF)=0,2,1)*IF(_xlfn.XLOOKUP('Base stats'!E129,Groups!A:A,Groups!O:O)=0,1,0.1),1),0)</f>
        <v>0.2</v>
      </c>
      <c r="AV129" s="8">
        <f t="shared" si="53"/>
        <v>0</v>
      </c>
      <c r="AW129" s="8">
        <f t="shared" si="54"/>
        <v>0</v>
      </c>
      <c r="AX129" s="8">
        <f t="shared" si="55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stats'!AY129,IF(OR(_xlfn.XLOOKUP(E129,Groups!A:A,Groups!BD:BD)=1,_xlfn.XLOOKUP(E129,Groups!A:A,Groups!U:U)=2),BA129,IF(_xlfn.XLOOKUP(B129,Animals!B:B,Animals!AO:AO)&gt;4,AVERAGE(BA129,BC129),BC129))))</f>
        <v>No</v>
      </c>
      <c r="BA129" s="8">
        <f t="shared" si="56"/>
        <v>9.4225651873108052E-2</v>
      </c>
      <c r="BB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EXP(1.076*LN(AO129)-4.5397)*IF(_xlfn.XLOOKUP(E129,Groups!A:A,Groups!BC:BC)=1,1.25,IF(_xlfn.XLOOKUP(E129,Groups!A:A,Groups!BD:BD)=1,3.5,2.5))</f>
        <v>5.6602680292456213</v>
      </c>
      <c r="BE129" s="8">
        <f>EXP(1.076*LN(AP129)-4.5397)*IF(_xlfn.XLOOKUP(E129,Groups!A:A,Groups!M:M)=1,0.8,IF(_xlfn.XLOOKUP(E129,Groups!A:A,Groups!BC:BC)=1,1.3,3))</f>
        <v>8.6390808043247489</v>
      </c>
      <c r="BF129" s="8" t="str">
        <f>IF(W129="No","No",IF(_xlfn.XLOOKUP(E129,Groups!A:A,Groups!U:U)=1,'Base stats'!BG129,IF(OR(_xlfn.XLOOKUP(E129,Groups!A:A,Groups!BD:BD)=1,_xlfn.XLOOKUP(E129,Groups!A:A,Groups!U:U)=2),BD129,BE129))*1.2)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44"/>
        <v>10</v>
      </c>
      <c r="BI129" s="8">
        <f t="shared" si="45"/>
        <v>7</v>
      </c>
      <c r="BJ129" s="8" t="str">
        <f t="shared" si="57"/>
        <v>No</v>
      </c>
      <c r="BK129" s="8">
        <f t="shared" si="58"/>
        <v>5</v>
      </c>
      <c r="BL129" s="8">
        <f t="shared" si="46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N129" s="8" t="str">
        <f>IF(W129="No","No",IF(_xlfn.XLOOKUP(E129,Groups!A:A,Groups!BD:BD)=1,(AL129*5%),EXP(0.7354*LN(C129)^0.4078)*2/IF(_xlfn.XLOOKUP(E129,Groups!A:A,Groups!BL:BL)=1,1000,100)))</f>
        <v>No</v>
      </c>
      <c r="BO129" s="8">
        <f>IF(BG129="No","No",IF(_xlfn.XLOOKUP(E129,Groups!A:A,Groups!BF:BF)=1,(0.0315*C129+2.1825)*2,(0.7354*C129^0.4078)*2)/IF(_xlfn.XLOOKUP(E129,Groups!A:A,Groups!BM:BM)=1,1000,100))</f>
        <v>2.3634900719797604E-2</v>
      </c>
      <c r="BP129" s="8">
        <f t="shared" si="59"/>
        <v>4.7884673184397833E-2</v>
      </c>
      <c r="BQ129" s="8" t="str">
        <f t="shared" si="47"/>
        <v>No</v>
      </c>
      <c r="BR129" s="8" t="str">
        <f t="shared" si="60"/>
        <v>No</v>
      </c>
      <c r="BS129" s="8">
        <f t="shared" si="48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6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6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IFERROR(AVERAGE(_xlfn.XLOOKUP(B130,Animals!B:B,Animals!N:N),_xlfn.XLOOKUP(B130,Animals!B:B,Animals!O:O)),0)</f>
        <v>0</v>
      </c>
      <c r="AT130" s="8">
        <f>MROUND(40*Animals!AO130*_xlfn.XLOOKUP(Animals!BA130,Leathers!$A$2:$A$100,Leathers!$B$2:$B$100,0)+(140*_xlfn.XLOOKUP(B130,Animals!B:B,Animals!AO:AO)*2),5)</f>
        <v>230</v>
      </c>
      <c r="AU130" s="8">
        <f>IFERROR(ROUND(SQRT(V130-1)*IF(_xlfn.XLOOKUP(E130,Groups!A:A,Groups!BF:BF)=0,2,1)*IF(_xlfn.XLOOKUP('Base stats'!E130,Groups!A:A,Groups!O:O)=0,1,0.1),1),0)</f>
        <v>2.2000000000000002</v>
      </c>
      <c r="AV130" s="8">
        <f t="shared" ref="AV130:AV166" si="69">IFERROR(ROUND(SQRT(U130-1),1),0)</f>
        <v>0</v>
      </c>
      <c r="AW130" s="8">
        <f t="shared" ref="AW130:AW166" si="70">IFERROR(ROUND(SQRT(W130),1),0)</f>
        <v>0</v>
      </c>
      <c r="AX130" s="8">
        <f t="shared" ref="AX130:AX166" si="7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stats'!AY130,IF(OR(_xlfn.XLOOKUP(E130,Groups!A:A,Groups!BD:BD)=1,_xlfn.XLOOKUP(E130,Groups!A:A,Groups!U:U)=2),BA130,IF(_xlfn.XLOOKUP(B130,Animals!B:B,Animals!AO:AO)&gt;4,AVERAGE(BA130,BC130),BC130))))</f>
        <v>No</v>
      </c>
      <c r="BA130" s="8">
        <f t="shared" ref="BA130:BA166" si="72">(0.0392*C130^IF(OR(Y130="Herbivore",Y130="Dendrovore",Y130="OmnivoreRough"),0.889,0.966))*C130^-0.135</f>
        <v>0.44394874596231243</v>
      </c>
      <c r="BB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EXP(1.076*LN(AO130)-4.5397)*IF(_xlfn.XLOOKUP(E130,Groups!A:A,Groups!BC:BC)=1,1.25,IF(_xlfn.XLOOKUP(E130,Groups!A:A,Groups!BD:BD)=1,3.5,2.5))</f>
        <v>36.668348939666025</v>
      </c>
      <c r="BE130" s="8">
        <f>EXP(1.076*LN(AP130)-4.5397)*IF(_xlfn.XLOOKUP(E130,Groups!A:A,Groups!M:M)=1,0.8,IF(_xlfn.XLOOKUP(E130,Groups!A:A,Groups!BC:BC)=1,1.3,3))</f>
        <v>49.884831215386384</v>
      </c>
      <c r="BF130" s="8" t="str">
        <f>IF(W130="No","No",IF(_xlfn.XLOOKUP(E130,Groups!A:A,Groups!U:U)=1,'Base stats'!BG130,IF(OR(_xlfn.XLOOKUP(E130,Groups!A:A,Groups!BD:BD)=1,_xlfn.XLOOKUP(E130,Groups!A:A,Groups!U:U)=2),BD130,BE130))*1.2)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44"/>
        <v>12</v>
      </c>
      <c r="BI130" s="8">
        <f t="shared" si="45"/>
        <v>10</v>
      </c>
      <c r="BJ130" s="8" t="str">
        <f t="shared" ref="BJ130:BJ166" si="73">IF(W130="No","No",ROUNDDOWN(SQRT((2*BF130)/AZ130),0))</f>
        <v>No</v>
      </c>
      <c r="BK130" s="8">
        <f t="shared" ref="BK130:BK166" si="74">IF(V130="No","No",ROUNDDOWN(SQRT((2*BG130)/AY130),0))</f>
        <v>9</v>
      </c>
      <c r="BL130" s="8">
        <f t="shared" si="46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N130" s="8" t="str">
        <f>IF(W130="No","No",IF(_xlfn.XLOOKUP(E130,Groups!A:A,Groups!BD:BD)=1,(AL130*5%),EXP(0.7354*LN(C130)^0.4078)*2/IF(_xlfn.XLOOKUP(E130,Groups!A:A,Groups!BL:BL)=1,1000,100)))</f>
        <v>No</v>
      </c>
      <c r="BO130" s="8">
        <f>IF(BG130="No","No",IF(_xlfn.XLOOKUP(E130,Groups!A:A,Groups!BF:BF)=1,(0.0315*C130+2.1825)*2,(0.7354*C130^0.4078)*2)/IF(_xlfn.XLOOKUP(E130,Groups!A:A,Groups!BM:BM)=1,1000,100))</f>
        <v>5.4655460365074494E-2</v>
      </c>
      <c r="BP130" s="8">
        <f t="shared" ref="BP130:BP166" si="75">BD130/(AL130*5%)</f>
        <v>8.1533740489395656E-2</v>
      </c>
      <c r="BQ130" s="8" t="str">
        <f t="shared" si="47"/>
        <v>No</v>
      </c>
      <c r="BR130" s="8" t="str">
        <f t="shared" ref="BR130:BR166" si="76">IF(W130="No","No",BF130/BN130)</f>
        <v>No</v>
      </c>
      <c r="BS130" s="8">
        <f t="shared" si="48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6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6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IFERROR(AVERAGE(_xlfn.XLOOKUP(B131,Animals!B:B,Animals!N:N),_xlfn.XLOOKUP(B131,Animals!B:B,Animals!O:O)),0)</f>
        <v>0</v>
      </c>
      <c r="AT131" s="8">
        <f>MROUND(40*Animals!AO131*_xlfn.XLOOKUP(Animals!BA131,Leathers!$A$2:$A$100,Leathers!$B$2:$B$100,0)+(140*_xlfn.XLOOKUP(B131,Animals!B:B,Animals!AO:AO)*2),5)</f>
        <v>55</v>
      </c>
      <c r="AU131" s="8">
        <f>IFERROR(ROUND(SQRT(V131-1)*IF(_xlfn.XLOOKUP(E131,Groups!A:A,Groups!BF:BF)=0,2,1)*IF(_xlfn.XLOOKUP('Base stats'!E131,Groups!A:A,Groups!O:O)=0,1,0.1),1),0)</f>
        <v>0</v>
      </c>
      <c r="AV131" s="8">
        <f t="shared" si="69"/>
        <v>0</v>
      </c>
      <c r="AW131" s="8">
        <f t="shared" si="70"/>
        <v>0</v>
      </c>
      <c r="AX131" s="8">
        <f t="shared" si="7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stats'!AY131,IF(OR(_xlfn.XLOOKUP(E131,Groups!A:A,Groups!BD:BD)=1,_xlfn.XLOOKUP(E131,Groups!A:A,Groups!U:U)=2),BA131,IF(_xlfn.XLOOKUP(B131,Animals!B:B,Animals!AO:AO)&gt;4,AVERAGE(BA131,BC131),BC131))))</f>
        <v>No</v>
      </c>
      <c r="BA131" s="8">
        <f t="shared" si="72"/>
        <v>4.6038707722392644E-2</v>
      </c>
      <c r="BB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EXP(1.076*LN(AO131)-4.5397)*IF(_xlfn.XLOOKUP(E131,Groups!A:A,Groups!BC:BC)=1,1.25,IF(_xlfn.XLOOKUP(E131,Groups!A:A,Groups!BD:BD)=1,3.5,2.5))</f>
        <v>2.3447206979592634</v>
      </c>
      <c r="BE131" s="8">
        <f>EXP(1.076*LN(AP131)-4.5397)*IF(_xlfn.XLOOKUP(E131,Groups!A:A,Groups!M:M)=1,0.8,IF(_xlfn.XLOOKUP(E131,Groups!A:A,Groups!BC:BC)=1,1.3,3))</f>
        <v>3.778188435490045</v>
      </c>
      <c r="BF131" s="8" t="str">
        <f>IF(W131="No","No",IF(_xlfn.XLOOKUP(E131,Groups!A:A,Groups!U:U)=1,'Base stats'!BG131,IF(OR(_xlfn.XLOOKUP(E131,Groups!A:A,Groups!BD:BD)=1,_xlfn.XLOOKUP(E131,Groups!A:A,Groups!U:U)=2),BD131,BE131))*1.2)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77">ROUNDDOWN(SQRT((2*BD131)/BA131),0)</f>
        <v>10</v>
      </c>
      <c r="BI131" s="8">
        <f t="shared" ref="BI131:BI166" si="78">ROUNDDOWN(SQRT((2*BE131)/BB131),0)</f>
        <v>9</v>
      </c>
      <c r="BJ131" s="8" t="str">
        <f t="shared" si="73"/>
        <v>No</v>
      </c>
      <c r="BK131" s="8">
        <f t="shared" si="74"/>
        <v>7</v>
      </c>
      <c r="BL131" s="8">
        <f t="shared" ref="BL131:BL166" si="79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N131" s="8" t="str">
        <f>IF(W131="No","No",IF(_xlfn.XLOOKUP(E131,Groups!A:A,Groups!BD:BD)=1,(AL131*5%),EXP(0.7354*LN(C131)^0.4078)*2/IF(_xlfn.XLOOKUP(E131,Groups!A:A,Groups!BL:BL)=1,1000,100)))</f>
        <v>No</v>
      </c>
      <c r="BO131" s="8">
        <f>IF(BG131="No","No",IF(_xlfn.XLOOKUP(E131,Groups!A:A,Groups!BF:BF)=1,(0.0315*C131+2.1825)*2,(0.7354*C131^0.4078)*2)/IF(_xlfn.XLOOKUP(E131,Groups!A:A,Groups!BM:BM)=1,1000,100))</f>
        <v>1.5915674323270582E-2</v>
      </c>
      <c r="BP131" s="8">
        <f t="shared" si="75"/>
        <v>3.725394564853151E-2</v>
      </c>
      <c r="BQ131" s="8" t="str">
        <f t="shared" ref="BQ131:BQ166" si="80">IF(BM131="No","No",BE131/BM131)</f>
        <v>No</v>
      </c>
      <c r="BR131" s="8" t="str">
        <f t="shared" si="76"/>
        <v>No</v>
      </c>
      <c r="BS131" s="8">
        <f t="shared" ref="BS131:BS166" si="81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Groups!A18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6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6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IFERROR(AVERAGE(_xlfn.XLOOKUP(B132,Animals!B:B,Animals!N:N),_xlfn.XLOOKUP(B132,Animals!B:B,Animals!O:O)),0)</f>
        <v>0</v>
      </c>
      <c r="AT132" s="8">
        <f>MROUND(40*Animals!AO132*_xlfn.XLOOKUP(Animals!BA132,Leathers!$A$2:$A$100,Leathers!$B$2:$B$100,0)+(140*_xlfn.XLOOKUP(B132,Animals!B:B,Animals!AO:AO)*2),5)</f>
        <v>515</v>
      </c>
      <c r="AU132" s="8">
        <f>IFERROR(ROUND(SQRT(V132-1)*IF(_xlfn.XLOOKUP(E132,Groups!A:A,Groups!BF:BF)=0,2,1)*IF(_xlfn.XLOOKUP('Base stats'!E132,Groups!A:A,Groups!O:O)=0,1,0.1),1),0)</f>
        <v>3.8</v>
      </c>
      <c r="AV132" s="8">
        <f t="shared" si="69"/>
        <v>2.1</v>
      </c>
      <c r="AW132" s="8">
        <f t="shared" si="70"/>
        <v>0</v>
      </c>
      <c r="AX132" s="8">
        <f t="shared" si="7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stats'!AY132,IF(OR(_xlfn.XLOOKUP(E132,Groups!A:A,Groups!BD:BD)=1,_xlfn.XLOOKUP(E132,Groups!A:A,Groups!U:U)=2),BA132,IF(_xlfn.XLOOKUP(B132,Animals!B:B,Animals!AO:AO)&gt;4,AVERAGE(BA132,BC132),BC132))))</f>
        <v>No</v>
      </c>
      <c r="BA132" s="8">
        <f t="shared" si="72"/>
        <v>1.6582866302091877</v>
      </c>
      <c r="BB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EXP(1.076*LN(AO132)-4.5397)*IF(_xlfn.XLOOKUP(E132,Groups!A:A,Groups!BC:BC)=1,1.25,IF(_xlfn.XLOOKUP(E132,Groups!A:A,Groups!BD:BD)=1,3.5,2.5))</f>
        <v>118.17780921423952</v>
      </c>
      <c r="BE132" s="8">
        <f>EXP(1.076*LN(AP132)-4.5397)*IF(_xlfn.XLOOKUP(E132,Groups!A:A,Groups!M:M)=1,0.8,IF(_xlfn.XLOOKUP(E132,Groups!A:A,Groups!BC:BC)=1,1.3,3))</f>
        <v>149.59786270514047</v>
      </c>
      <c r="BF132" s="8" t="str">
        <f>IF(W132="No","No",IF(_xlfn.XLOOKUP(E132,Groups!A:A,Groups!U:U)=1,'Base stats'!BG132,IF(OR(_xlfn.XLOOKUP(E132,Groups!A:A,Groups!BD:BD)=1,_xlfn.XLOOKUP(E132,Groups!A:A,Groups!U:U)=2),BD132,BE132))*1.2)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77"/>
        <v>11</v>
      </c>
      <c r="BI132" s="8">
        <f t="shared" si="78"/>
        <v>11</v>
      </c>
      <c r="BJ132" s="8" t="str">
        <f t="shared" si="73"/>
        <v>No</v>
      </c>
      <c r="BK132" s="8">
        <f t="shared" si="74"/>
        <v>11</v>
      </c>
      <c r="BL132" s="8">
        <f t="shared" si="79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N132" s="8" t="str">
        <f>IF(W132="No","No",IF(_xlfn.XLOOKUP(E132,Groups!A:A,Groups!BD:BD)=1,(AL132*5%),EXP(0.7354*LN(C132)^0.4078)*2/IF(_xlfn.XLOOKUP(E132,Groups!A:A,Groups!BL:BL)=1,1000,100)))</f>
        <v>No</v>
      </c>
      <c r="BO132" s="8">
        <f>IF(BG132="No","No",IF(_xlfn.XLOOKUP(E132,Groups!A:A,Groups!BF:BF)=1,(0.0315*C132+2.1825)*2,(0.7354*C132^0.4078)*2)/IF(_xlfn.XLOOKUP(E132,Groups!A:A,Groups!BM:BM)=1,1000,100))</f>
        <v>9.2399687029971422E-2</v>
      </c>
      <c r="BP132" s="8">
        <f t="shared" si="75"/>
        <v>0.11379144780734962</v>
      </c>
      <c r="BQ132" s="8">
        <f t="shared" si="80"/>
        <v>1619.0299720021328</v>
      </c>
      <c r="BR132" s="8" t="str">
        <f t="shared" si="76"/>
        <v>No</v>
      </c>
      <c r="BS132" s="8">
        <f t="shared" si="81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6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6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IFERROR(AVERAGE(_xlfn.XLOOKUP(B133,Animals!B:B,Animals!N:N),_xlfn.XLOOKUP(B133,Animals!B:B,Animals!O:O)),0)</f>
        <v>0</v>
      </c>
      <c r="AT133" s="8">
        <f>MROUND(40*Animals!AO133*_xlfn.XLOOKUP(Animals!BA133,Leathers!$A$2:$A$100,Leathers!$B$2:$B$100,0)+(140*_xlfn.XLOOKUP(B133,Animals!B:B,Animals!AO:AO)*2),5)</f>
        <v>90</v>
      </c>
      <c r="AU133" s="8">
        <f>IFERROR(ROUND(SQRT(V133-1)*IF(_xlfn.XLOOKUP(E133,Groups!A:A,Groups!BF:BF)=0,2,1)*IF(_xlfn.XLOOKUP('Base stats'!E133,Groups!A:A,Groups!O:O)=0,1,0.1),1),0)</f>
        <v>0.4</v>
      </c>
      <c r="AV133" s="8">
        <f t="shared" si="69"/>
        <v>0</v>
      </c>
      <c r="AW133" s="8">
        <f t="shared" si="70"/>
        <v>0</v>
      </c>
      <c r="AX133" s="8">
        <f t="shared" si="7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stats'!AY133,IF(OR(_xlfn.XLOOKUP(E133,Groups!A:A,Groups!BD:BD)=1,_xlfn.XLOOKUP(E133,Groups!A:A,Groups!U:U)=2),BA133,IF(_xlfn.XLOOKUP(B133,Animals!B:B,Animals!AO:AO)&gt;4,AVERAGE(BA133,BC133),BC133))))</f>
        <v>No</v>
      </c>
      <c r="BA133" s="8">
        <f t="shared" si="72"/>
        <v>7.9516784362456086E-2</v>
      </c>
      <c r="BB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EXP(1.076*LN(AO133)-4.5397)*IF(_xlfn.XLOOKUP(E133,Groups!A:A,Groups!BC:BC)=1,1.25,IF(_xlfn.XLOOKUP(E133,Groups!A:A,Groups!BD:BD)=1,3.5,2.5))</f>
        <v>4.6130063052043973</v>
      </c>
      <c r="BE133" s="8">
        <f>EXP(1.076*LN(AP133)-4.5397)*IF(_xlfn.XLOOKUP(E133,Groups!A:A,Groups!M:M)=1,0.8,IF(_xlfn.XLOOKUP(E133,Groups!A:A,Groups!BC:BC)=1,1.3,3))</f>
        <v>7.1299158362536685</v>
      </c>
      <c r="BF133" s="8" t="str">
        <f>IF(W133="No","No",IF(_xlfn.XLOOKUP(E133,Groups!A:A,Groups!U:U)=1,'Base stats'!BG133,IF(OR(_xlfn.XLOOKUP(E133,Groups!A:A,Groups!BD:BD)=1,_xlfn.XLOOKUP(E133,Groups!A:A,Groups!U:U)=2),BD133,BE133))*1.2)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77"/>
        <v>10</v>
      </c>
      <c r="BI133" s="8">
        <f t="shared" si="78"/>
        <v>9</v>
      </c>
      <c r="BJ133" s="8" t="str">
        <f t="shared" si="73"/>
        <v>No</v>
      </c>
      <c r="BK133" s="8">
        <f t="shared" si="74"/>
        <v>6</v>
      </c>
      <c r="BL133" s="8">
        <f t="shared" si="79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N133" s="8" t="str">
        <f>IF(W133="No","No",IF(_xlfn.XLOOKUP(E133,Groups!A:A,Groups!BD:BD)=1,(AL133*5%),EXP(0.7354*LN(C133)^0.4078)*2/IF(_xlfn.XLOOKUP(E133,Groups!A:A,Groups!BL:BL)=1,1000,100)))</f>
        <v>No</v>
      </c>
      <c r="BO133" s="8">
        <f>IF(BG133="No","No",IF(_xlfn.XLOOKUP(E133,Groups!A:A,Groups!BF:BF)=1,(0.0315*C133+2.1825)*2,(0.7354*C133^0.4078)*2)/IF(_xlfn.XLOOKUP(E133,Groups!A:A,Groups!BM:BM)=1,1000,100))</f>
        <v>2.1561930012640517E-2</v>
      </c>
      <c r="BP133" s="8">
        <f t="shared" si="75"/>
        <v>4.5173836658614262E-2</v>
      </c>
      <c r="BQ133" s="8">
        <f t="shared" si="80"/>
        <v>35.531898811628487</v>
      </c>
      <c r="BR133" s="8" t="str">
        <f t="shared" si="76"/>
        <v>No</v>
      </c>
      <c r="BS133" s="8">
        <f t="shared" si="81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6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6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IFERROR(AVERAGE(_xlfn.XLOOKUP(B134,Animals!B:B,Animals!N:N),_xlfn.XLOOKUP(B134,Animals!B:B,Animals!O:O)),0)</f>
        <v>0</v>
      </c>
      <c r="AT134" s="8">
        <f>MROUND(40*Animals!AO134*_xlfn.XLOOKUP(Animals!BA134,Leathers!$A$2:$A$100,Leathers!$B$2:$B$100,0)+(140*_xlfn.XLOOKUP(B134,Animals!B:B,Animals!AO:AO)*2),5)</f>
        <v>195</v>
      </c>
      <c r="AU134" s="8">
        <f>IFERROR(ROUND(SQRT(V134-1)*IF(_xlfn.XLOOKUP(E134,Groups!A:A,Groups!BF:BF)=0,2,1)*IF(_xlfn.XLOOKUP('Base stats'!E134,Groups!A:A,Groups!O:O)=0,1,0.1),1),0)</f>
        <v>3.8</v>
      </c>
      <c r="AV134" s="8">
        <f t="shared" si="69"/>
        <v>0</v>
      </c>
      <c r="AW134" s="8">
        <f t="shared" si="70"/>
        <v>0</v>
      </c>
      <c r="AX134" s="8">
        <f t="shared" si="7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stats'!AY134,IF(OR(_xlfn.XLOOKUP(E134,Groups!A:A,Groups!BD:BD)=1,_xlfn.XLOOKUP(E134,Groups!A:A,Groups!U:U)=2),BA134,IF(_xlfn.XLOOKUP(B134,Animals!B:B,Animals!AO:AO)&gt;4,AVERAGE(BA134,BC134),BC134))))</f>
        <v>No</v>
      </c>
      <c r="BA134" s="8">
        <f t="shared" si="72"/>
        <v>0.35016801621257826</v>
      </c>
      <c r="BB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EXP(1.076*LN(AO134)-4.5397)*IF(_xlfn.XLOOKUP(E134,Groups!A:A,Groups!BC:BC)=1,1.25,IF(_xlfn.XLOOKUP(E134,Groups!A:A,Groups!BD:BD)=1,3.5,2.5))</f>
        <v>27.54632853435314</v>
      </c>
      <c r="BE134" s="8">
        <f>EXP(1.076*LN(AP134)-4.5397)*IF(_xlfn.XLOOKUP(E134,Groups!A:A,Groups!M:M)=1,0.8,IF(_xlfn.XLOOKUP(E134,Groups!A:A,Groups!BC:BC)=1,1.3,3))</f>
        <v>38.140674314624789</v>
      </c>
      <c r="BF134" s="8" t="str">
        <f>IF(W134="No","No",IF(_xlfn.XLOOKUP(E134,Groups!A:A,Groups!U:U)=1,'Base stats'!BG134,IF(OR(_xlfn.XLOOKUP(E134,Groups!A:A,Groups!BD:BD)=1,_xlfn.XLOOKUP(E134,Groups!A:A,Groups!U:U)=2),BD134,BE134))*1.2)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77"/>
        <v>12</v>
      </c>
      <c r="BI134" s="8">
        <f t="shared" si="78"/>
        <v>10</v>
      </c>
      <c r="BJ134" s="8" t="str">
        <f t="shared" si="73"/>
        <v>No</v>
      </c>
      <c r="BK134" s="8">
        <f t="shared" si="74"/>
        <v>8</v>
      </c>
      <c r="BL134" s="8">
        <f t="shared" si="79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N134" s="8" t="str">
        <f>IF(W134="No","No",IF(_xlfn.XLOOKUP(E134,Groups!A:A,Groups!BD:BD)=1,(AL134*5%),EXP(0.7354*LN(C134)^0.4078)*2/IF(_xlfn.XLOOKUP(E134,Groups!A:A,Groups!BL:BL)=1,1000,100)))</f>
        <v>No</v>
      </c>
      <c r="BO134" s="8">
        <f>IF(BG134="No","No",IF(_xlfn.XLOOKUP(E134,Groups!A:A,Groups!BF:BF)=1,(0.0315*C134+2.1825)*2,(0.7354*C134^0.4078)*2)/IF(_xlfn.XLOOKUP(E134,Groups!A:A,Groups!BM:BM)=1,1000,100))</f>
        <v>4.807238272753759E-2</v>
      </c>
      <c r="BP134" s="8">
        <f t="shared" si="75"/>
        <v>7.5153882562972341E-2</v>
      </c>
      <c r="BQ134" s="8">
        <f t="shared" si="80"/>
        <v>38.792252557430928</v>
      </c>
      <c r="BR134" s="8" t="str">
        <f t="shared" si="76"/>
        <v>No</v>
      </c>
      <c r="BS134" s="8">
        <f t="shared" si="81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Groups!A22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6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6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IFERROR(AVERAGE(_xlfn.XLOOKUP(B135,Animals!B:B,Animals!N:N),_xlfn.XLOOKUP(B135,Animals!B:B,Animals!O:O)),0)</f>
        <v>0</v>
      </c>
      <c r="AT135" s="8">
        <f>MROUND(40*Animals!AO135*_xlfn.XLOOKUP(Animals!BA135,Leathers!$A$2:$A$100,Leathers!$B$2:$B$100,0)+(140*_xlfn.XLOOKUP(B135,Animals!B:B,Animals!AO:AO)*2),5)</f>
        <v>820</v>
      </c>
      <c r="AU135" s="8">
        <f>IFERROR(ROUND(SQRT(V135-1)*IF(_xlfn.XLOOKUP(E135,Groups!A:A,Groups!BF:BF)=0,2,1)*IF(_xlfn.XLOOKUP('Base stats'!E135,Groups!A:A,Groups!O:O)=0,1,0.1),1),0)</f>
        <v>0.7</v>
      </c>
      <c r="AV135" s="8">
        <f t="shared" si="69"/>
        <v>0</v>
      </c>
      <c r="AW135" s="8">
        <f t="shared" si="70"/>
        <v>0</v>
      </c>
      <c r="AX135" s="8">
        <f t="shared" si="7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stats'!AY135,IF(OR(_xlfn.XLOOKUP(E135,Groups!A:A,Groups!BD:BD)=1,_xlfn.XLOOKUP(E135,Groups!A:A,Groups!U:U)=2),BA135,IF(_xlfn.XLOOKUP(B135,Animals!B:B,Animals!AO:AO)&gt;4,AVERAGE(BA135,BC135),BC135))))</f>
        <v>No</v>
      </c>
      <c r="BA135" s="8">
        <f t="shared" si="72"/>
        <v>2.8909095959911428</v>
      </c>
      <c r="BB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EXP(1.076*LN(AO135)-4.5397)*IF(_xlfn.XLOOKUP(E135,Groups!A:A,Groups!BC:BC)=1,1.25,IF(_xlfn.XLOOKUP(E135,Groups!A:A,Groups!BD:BD)=1,3.5,2.5))</f>
        <v>350.87706705299746</v>
      </c>
      <c r="BE135" s="8">
        <f>EXP(1.076*LN(AP135)-4.5397)*IF(_xlfn.XLOOKUP(E135,Groups!A:A,Groups!M:M)=1,0.8,IF(_xlfn.XLOOKUP(E135,Groups!A:A,Groups!BC:BC)=1,1.3,3))</f>
        <v>415.38409131078117</v>
      </c>
      <c r="BF135" s="8" t="str">
        <f>IF(W135="No","No",IF(_xlfn.XLOOKUP(E135,Groups!A:A,Groups!U:U)=1,'Base stats'!BG135,IF(OR(_xlfn.XLOOKUP(E135,Groups!A:A,Groups!BD:BD)=1,_xlfn.XLOOKUP(E135,Groups!A:A,Groups!U:U)=2),BD135,BE135))*1.2)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77"/>
        <v>15</v>
      </c>
      <c r="BI135" s="8">
        <f t="shared" si="78"/>
        <v>11</v>
      </c>
      <c r="BJ135" s="8" t="str">
        <f t="shared" si="73"/>
        <v>No</v>
      </c>
      <c r="BK135" s="8">
        <f t="shared" si="74"/>
        <v>10</v>
      </c>
      <c r="BL135" s="8">
        <f t="shared" si="79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N135" s="8" t="str">
        <f>IF(W135="No","No",IF(_xlfn.XLOOKUP(E135,Groups!A:A,Groups!BD:BD)=1,(AL135*5%),EXP(0.7354*LN(C135)^0.4078)*2/IF(_xlfn.XLOOKUP(E135,Groups!A:A,Groups!BL:BL)=1,1000,100)))</f>
        <v>No</v>
      </c>
      <c r="BO135" s="8">
        <f>IF(BG135="No","No",IF(_xlfn.XLOOKUP(E135,Groups!A:A,Groups!BF:BF)=1,(0.0315*C135+2.1825)*2,(0.7354*C135^0.4078)*2)/IF(_xlfn.XLOOKUP(E135,Groups!A:A,Groups!BM:BM)=1,1000,100))</f>
        <v>0.23264943299999999</v>
      </c>
      <c r="BP135" s="8">
        <f t="shared" si="75"/>
        <v>0.15514365986495698</v>
      </c>
      <c r="BQ135" s="8">
        <f t="shared" si="80"/>
        <v>7.4458213146749763</v>
      </c>
      <c r="BR135" s="8" t="str">
        <f t="shared" si="76"/>
        <v>No</v>
      </c>
      <c r="BS135" s="8">
        <f t="shared" si="81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6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6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IFERROR(AVERAGE(_xlfn.XLOOKUP(B136,Animals!B:B,Animals!N:N),_xlfn.XLOOKUP(B136,Animals!B:B,Animals!O:O)),0)</f>
        <v>0</v>
      </c>
      <c r="AT136" s="8">
        <f>MROUND(40*Animals!AO136*_xlfn.XLOOKUP(Animals!BA136,Leathers!$A$2:$A$100,Leathers!$B$2:$B$100,0)+(140*_xlfn.XLOOKUP(B136,Animals!B:B,Animals!AO:AO)*2),5)</f>
        <v>545</v>
      </c>
      <c r="AU136" s="8">
        <f>IFERROR(ROUND(SQRT(V136-1)*IF(_xlfn.XLOOKUP(E136,Groups!A:A,Groups!BF:BF)=0,2,1)*IF(_xlfn.XLOOKUP('Base stats'!E136,Groups!A:A,Groups!O:O)=0,1,0.1),1),0)</f>
        <v>2.4</v>
      </c>
      <c r="AV136" s="8">
        <f t="shared" si="69"/>
        <v>0</v>
      </c>
      <c r="AW136" s="8">
        <f t="shared" si="70"/>
        <v>0</v>
      </c>
      <c r="AX136" s="8">
        <f t="shared" si="7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stats'!AY136,IF(OR(_xlfn.XLOOKUP(E136,Groups!A:A,Groups!BD:BD)=1,_xlfn.XLOOKUP(E136,Groups!A:A,Groups!U:U)=2),BA136,IF(_xlfn.XLOOKUP(B136,Animals!B:B,Animals!AO:AO)&gt;4,AVERAGE(BA136,BC136),BC136))))</f>
        <v>No</v>
      </c>
      <c r="BA136" s="8">
        <f t="shared" si="72"/>
        <v>1.762580262959909</v>
      </c>
      <c r="BB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EXP(1.076*LN(AO136)-4.5397)*IF(_xlfn.XLOOKUP(E136,Groups!A:A,Groups!BC:BC)=1,1.25,IF(_xlfn.XLOOKUP(E136,Groups!A:A,Groups!BD:BD)=1,3.5,2.5))</f>
        <v>126.33053106883851</v>
      </c>
      <c r="BE136" s="8">
        <f>EXP(1.076*LN(AP136)-4.5397)*IF(_xlfn.XLOOKUP(E136,Groups!A:A,Groups!M:M)=1,0.8,IF(_xlfn.XLOOKUP(E136,Groups!A:A,Groups!BC:BC)=1,1.3,3))</f>
        <v>159.26275591713232</v>
      </c>
      <c r="BF136" s="8" t="str">
        <f>IF(W136="No","No",IF(_xlfn.XLOOKUP(E136,Groups!A:A,Groups!U:U)=1,'Base stats'!BG136,IF(OR(_xlfn.XLOOKUP(E136,Groups!A:A,Groups!BD:BD)=1,_xlfn.XLOOKUP(E136,Groups!A:A,Groups!U:U)=2),BD136,BE136))*1.2)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77"/>
        <v>11</v>
      </c>
      <c r="BI136" s="8">
        <f t="shared" si="78"/>
        <v>11</v>
      </c>
      <c r="BJ136" s="8" t="str">
        <f t="shared" si="73"/>
        <v>No</v>
      </c>
      <c r="BK136" s="8">
        <f t="shared" si="74"/>
        <v>9</v>
      </c>
      <c r="BL136" s="8">
        <f t="shared" si="79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N136" s="8" t="str">
        <f>IF(W136="No","No",IF(_xlfn.XLOOKUP(E136,Groups!A:A,Groups!BD:BD)=1,(AL136*5%),EXP(0.7354*LN(C136)^0.4078)*2/IF(_xlfn.XLOOKUP(E136,Groups!A:A,Groups!BL:BL)=1,1000,100)))</f>
        <v>No</v>
      </c>
      <c r="BO136" s="8">
        <f>IF(BG136="No","No",IF(_xlfn.XLOOKUP(E136,Groups!A:A,Groups!BF:BF)=1,(0.0315*C136+2.1825)*2,(0.7354*C136^0.4078)*2)/IF(_xlfn.XLOOKUP(E136,Groups!A:A,Groups!BM:BM)=1,1000,100))</f>
        <v>9.5207180387259671E-2</v>
      </c>
      <c r="BP136" s="8">
        <f t="shared" si="75"/>
        <v>0.11597445451804531</v>
      </c>
      <c r="BQ136" s="8" t="str">
        <f t="shared" si="80"/>
        <v>No</v>
      </c>
      <c r="BR136" s="8" t="str">
        <f t="shared" si="76"/>
        <v>No</v>
      </c>
      <c r="BS136" s="8">
        <f t="shared" si="81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6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6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IFERROR(AVERAGE(_xlfn.XLOOKUP(B137,Animals!B:B,Animals!N:N),_xlfn.XLOOKUP(B137,Animals!B:B,Animals!O:O)),0)</f>
        <v>0</v>
      </c>
      <c r="AT137" s="8">
        <f>MROUND(40*Animals!AO137*_xlfn.XLOOKUP(Animals!BA137,Leathers!$A$2:$A$100,Leathers!$B$2:$B$100,0)+(140*_xlfn.XLOOKUP(B137,Animals!B:B,Animals!AO:AO)*2),5)</f>
        <v>1800</v>
      </c>
      <c r="AU137" s="8">
        <f>IFERROR(ROUND(SQRT(V137-1)*IF(_xlfn.XLOOKUP(E137,Groups!A:A,Groups!BF:BF)=0,2,1)*IF(_xlfn.XLOOKUP('Base stats'!E137,Groups!A:A,Groups!O:O)=0,1,0.1),1),0)</f>
        <v>0</v>
      </c>
      <c r="AV137" s="8">
        <f t="shared" si="69"/>
        <v>0</v>
      </c>
      <c r="AW137" s="8">
        <f t="shared" si="70"/>
        <v>11.7</v>
      </c>
      <c r="AX137" s="8">
        <f t="shared" si="7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stats'!AY137,IF(OR(_xlfn.XLOOKUP(E137,Groups!A:A,Groups!BD:BD)=1,_xlfn.XLOOKUP(E137,Groups!A:A,Groups!U:U)=2),BA137,IF(_xlfn.XLOOKUP(B137,Animals!B:B,Animals!AO:AO)&gt;4,AVERAGE(BA137,BC137),BC137))))</f>
        <v>23.2423814954828</v>
      </c>
      <c r="BA137" s="8">
        <f t="shared" si="72"/>
        <v>17.830759878243917</v>
      </c>
      <c r="BB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EXP(1.076*LN(AO137)-4.5397)*IF(_xlfn.XLOOKUP(E137,Groups!A:A,Groups!BC:BC)=1,1.25,IF(_xlfn.XLOOKUP(E137,Groups!A:A,Groups!BD:BD)=1,3.5,2.5))</f>
        <v>1572.4648822747822</v>
      </c>
      <c r="BE137" s="8">
        <f>EXP(1.076*LN(AP137)-4.5397)*IF(_xlfn.XLOOKUP(E137,Groups!A:A,Groups!M:M)=1,0.8,IF(_xlfn.XLOOKUP(E137,Groups!A:A,Groups!BC:BC)=1,1.3,3))</f>
        <v>1409.5952654999082</v>
      </c>
      <c r="BF137" s="8">
        <f>IF(W137="No","No",IF(_xlfn.XLOOKUP(E137,Groups!A:A,Groups!U:U)=1,'Base stats'!BG137,IF(OR(_xlfn.XLOOKUP(E137,Groups!A:A,Groups!BD:BD)=1,_xlfn.XLOOKUP(E137,Groups!A:A,Groups!U:U)=2),BD137,BE137))*1.2)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77"/>
        <v>13</v>
      </c>
      <c r="BI137" s="8">
        <f t="shared" si="78"/>
        <v>10</v>
      </c>
      <c r="BJ137" s="8">
        <f t="shared" si="73"/>
        <v>12</v>
      </c>
      <c r="BK137" s="8" t="str">
        <f t="shared" si="74"/>
        <v>No</v>
      </c>
      <c r="BL137" s="8">
        <f t="shared" si="79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N137" s="8">
        <f>IF(W137="No","No",IF(_xlfn.XLOOKUP(E137,Groups!A:A,Groups!BD:BD)=1,(AL137*5%),EXP(0.7354*LN(C137)^0.4078)*2/IF(_xlfn.XLOOKUP(E137,Groups!A:A,Groups!BL:BL)=1,1000,100)))</f>
        <v>0.11250940885033911</v>
      </c>
      <c r="BO137" s="8" t="str">
        <f>IF(BG137="No","No",IF(_xlfn.XLOOKUP(E137,Groups!A:A,Groups!BF:BF)=1,(0.0315*C137+2.1825)*2,(0.7354*C137^0.4078)*2)/IF(_xlfn.XLOOKUP(E137,Groups!A:A,Groups!BM:BM)=1,1000,100))</f>
        <v>No</v>
      </c>
      <c r="BP137" s="8">
        <f t="shared" si="75"/>
        <v>0.14488013682918716</v>
      </c>
      <c r="BQ137" s="8">
        <f t="shared" si="80"/>
        <v>2.7323154609498306</v>
      </c>
      <c r="BR137" s="8">
        <f t="shared" si="76"/>
        <v>15034.425439475513</v>
      </c>
      <c r="BS137" s="8" t="str">
        <f t="shared" si="81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Groups!A33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1</v>
      </c>
      <c r="AK138" s="44" t="s">
        <v>40</v>
      </c>
      <c r="AL138" s="8">
        <f t="shared" si="6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6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IFERROR(AVERAGE(_xlfn.XLOOKUP(B138,Animals!B:B,Animals!N:N),_xlfn.XLOOKUP(B138,Animals!B:B,Animals!O:O)),0)</f>
        <v>0</v>
      </c>
      <c r="AT138" s="8">
        <f>MROUND(40*Animals!AO138*_xlfn.XLOOKUP(Animals!BA138,Leathers!$A$2:$A$100,Leathers!$B$2:$B$100,0)+(140*_xlfn.XLOOKUP(B138,Animals!B:B,Animals!AO:AO)*2),5)</f>
        <v>1135</v>
      </c>
      <c r="AU138" s="8">
        <f>IFERROR(ROUND(SQRT(V138-1)*IF(_xlfn.XLOOKUP(E138,Groups!A:A,Groups!BF:BF)=0,2,1)*IF(_xlfn.XLOOKUP('Base stats'!E138,Groups!A:A,Groups!O:O)=0,1,0.1),1),0)</f>
        <v>5.6</v>
      </c>
      <c r="AV138" s="8">
        <f t="shared" si="69"/>
        <v>3</v>
      </c>
      <c r="AW138" s="8">
        <f t="shared" si="70"/>
        <v>0</v>
      </c>
      <c r="AX138" s="8">
        <f t="shared" si="7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stats'!AY138,IF(OR(_xlfn.XLOOKUP(E138,Groups!A:A,Groups!BD:BD)=1,_xlfn.XLOOKUP(E138,Groups!A:A,Groups!U:U)=2),BA138,IF(_xlfn.XLOOKUP(B138,Animals!B:B,Animals!AO:AO)&gt;4,AVERAGE(BA138,BC138),BC138))))</f>
        <v>No</v>
      </c>
      <c r="BA138" s="8">
        <f t="shared" si="72"/>
        <v>6.8569367053883514</v>
      </c>
      <c r="BB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EXP(1.076*LN(AO138)-4.5397)*IF(_xlfn.XLOOKUP(E138,Groups!A:A,Groups!BC:BC)=1,1.25,IF(_xlfn.XLOOKUP(E138,Groups!A:A,Groups!BD:BD)=1,3.5,2.5))</f>
        <v>558.20519715935461</v>
      </c>
      <c r="BE138" s="8">
        <f>EXP(1.076*LN(AP138)-4.5397)*IF(_xlfn.XLOOKUP(E138,Groups!A:A,Groups!M:M)=1,0.8,IF(_xlfn.XLOOKUP(E138,Groups!A:A,Groups!BC:BC)=1,1.3,3))</f>
        <v>642.20812673473438</v>
      </c>
      <c r="BF138" s="8" t="str">
        <f>IF(W138="No","No",IF(_xlfn.XLOOKUP(E138,Groups!A:A,Groups!U:U)=1,'Base stats'!BG138,IF(OR(_xlfn.XLOOKUP(E138,Groups!A:A,Groups!BD:BD)=1,_xlfn.XLOOKUP(E138,Groups!A:A,Groups!U:U)=2),BD138,BE138))*1.2)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77"/>
        <v>12</v>
      </c>
      <c r="BI138" s="8">
        <f t="shared" si="78"/>
        <v>11</v>
      </c>
      <c r="BJ138" s="8" t="str">
        <f t="shared" si="73"/>
        <v>No</v>
      </c>
      <c r="BK138" s="8">
        <f t="shared" si="74"/>
        <v>13</v>
      </c>
      <c r="BL138" s="8">
        <f t="shared" si="79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N138" s="8" t="str">
        <f>IF(W138="No","No",IF(_xlfn.XLOOKUP(E138,Groups!A:A,Groups!BD:BD)=1,(AL138*5%),EXP(0.7354*LN(C138)^0.4078)*2/IF(_xlfn.XLOOKUP(E138,Groups!A:A,Groups!BL:BL)=1,1000,100)))</f>
        <v>No</v>
      </c>
      <c r="BO138" s="8">
        <f>IF(BG138="No","No",IF(_xlfn.XLOOKUP(E138,Groups!A:A,Groups!BF:BF)=1,(0.0315*C138+2.1825)*2,(0.7354*C138^0.4078)*2)/IF(_xlfn.XLOOKUP(E138,Groups!A:A,Groups!BM:BM)=1,1000,100))</f>
        <v>0.18543580286977573</v>
      </c>
      <c r="BP138" s="8">
        <f t="shared" si="75"/>
        <v>0.17708035735112868</v>
      </c>
      <c r="BQ138" s="8">
        <f t="shared" si="80"/>
        <v>3463.2369628519464</v>
      </c>
      <c r="BR138" s="8" t="str">
        <f t="shared" si="76"/>
        <v>No</v>
      </c>
      <c r="BS138" s="8">
        <f t="shared" si="81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1315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6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6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IFERROR(AVERAGE(_xlfn.XLOOKUP(B139,Animals!B:B,Animals!N:N),_xlfn.XLOOKUP(B139,Animals!B:B,Animals!O:O)),0)</f>
        <v>0</v>
      </c>
      <c r="AT139" s="8">
        <f>MROUND(40*Animals!AO139*_xlfn.XLOOKUP(Animals!BA139,Leathers!$A$2:$A$100,Leathers!$B$2:$B$100,0)+(140*_xlfn.XLOOKUP(B139,Animals!B:B,Animals!AO:AO)*2),5)</f>
        <v>145</v>
      </c>
      <c r="AU139" s="8">
        <f>IFERROR(ROUND(SQRT(V139-1)*IF(_xlfn.XLOOKUP(E139,Groups!A:A,Groups!BF:BF)=0,2,1)*IF(_xlfn.XLOOKUP('Base stats'!E139,Groups!A:A,Groups!O:O)=0,1,0.1),1),0)</f>
        <v>1.7</v>
      </c>
      <c r="AV139" s="8">
        <f t="shared" si="69"/>
        <v>0</v>
      </c>
      <c r="AW139" s="8">
        <f t="shared" si="70"/>
        <v>0</v>
      </c>
      <c r="AX139" s="8">
        <f t="shared" si="7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stats'!AY139,IF(OR(_xlfn.XLOOKUP(E139,Groups!A:A,Groups!BD:BD)=1,_xlfn.XLOOKUP(E139,Groups!A:A,Groups!U:U)=2),BA139,IF(_xlfn.XLOOKUP(B139,Animals!B:B,Animals!AO:AO)&gt;4,AVERAGE(BA139,BC139),BC139))))</f>
        <v>No</v>
      </c>
      <c r="BA139" s="8">
        <f t="shared" si="72"/>
        <v>0.27004292891939063</v>
      </c>
      <c r="BB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EXP(1.076*LN(AO139)-4.5397)*IF(_xlfn.XLOOKUP(E139,Groups!A:A,Groups!BC:BC)=1,1.25,IF(_xlfn.XLOOKUP(E139,Groups!A:A,Groups!BD:BD)=1,3.5,2.5))</f>
        <v>16.233847722893834</v>
      </c>
      <c r="BE139" s="8">
        <f>EXP(1.076*LN(AP139)-4.5397)*IF(_xlfn.XLOOKUP(E139,Groups!A:A,Groups!M:M)=1,0.8,IF(_xlfn.XLOOKUP(E139,Groups!A:A,Groups!BC:BC)=1,1.3,3))</f>
        <v>23.221109268159807</v>
      </c>
      <c r="BF139" s="8" t="str">
        <f>IF(W139="No","No",IF(_xlfn.XLOOKUP(E139,Groups!A:A,Groups!U:U)=1,'Base stats'!BG139,IF(OR(_xlfn.XLOOKUP(E139,Groups!A:A,Groups!BD:BD)=1,_xlfn.XLOOKUP(E139,Groups!A:A,Groups!U:U)=2),BD139,BE139))*1.2)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77"/>
        <v>10</v>
      </c>
      <c r="BI139" s="8">
        <f t="shared" si="78"/>
        <v>10</v>
      </c>
      <c r="BJ139" s="8" t="str">
        <f t="shared" si="73"/>
        <v>No</v>
      </c>
      <c r="BK139" s="8">
        <f t="shared" si="74"/>
        <v>8</v>
      </c>
      <c r="BL139" s="8">
        <f t="shared" si="79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N139" s="8" t="str">
        <f>IF(W139="No","No",IF(_xlfn.XLOOKUP(E139,Groups!A:A,Groups!BD:BD)=1,(AL139*5%),EXP(0.7354*LN(C139)^0.4078)*2/IF(_xlfn.XLOOKUP(E139,Groups!A:A,Groups!BL:BL)=1,1000,100)))</f>
        <v>No</v>
      </c>
      <c r="BO139" s="8">
        <f>IF(BG139="No","No",IF(_xlfn.XLOOKUP(E139,Groups!A:A,Groups!BF:BF)=1,(0.0315*C139+2.1825)*2,(0.7354*C139^0.4078)*2)/IF(_xlfn.XLOOKUP(E139,Groups!A:A,Groups!BM:BM)=1,1000,100))</f>
        <v>3.7919340136559655E-2</v>
      </c>
      <c r="BP139" s="8">
        <f t="shared" si="75"/>
        <v>6.4645511052738497E-2</v>
      </c>
      <c r="BQ139" s="8" t="str">
        <f t="shared" si="80"/>
        <v>No</v>
      </c>
      <c r="BR139" s="8" t="str">
        <f t="shared" si="76"/>
        <v>No</v>
      </c>
      <c r="BS139" s="8">
        <f t="shared" si="81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D140" s="7" t="s">
        <v>1319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6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6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IFERROR(AVERAGE(_xlfn.XLOOKUP(B140,Animals!B:B,Animals!N:N),_xlfn.XLOOKUP(B140,Animals!B:B,Animals!O:O)),0)</f>
        <v>0</v>
      </c>
      <c r="AT140" s="8">
        <f>MROUND(40*Animals!AO140*_xlfn.XLOOKUP(Animals!BA140,Leathers!$A$2:$A$100,Leathers!$B$2:$B$100,0)+(140*_xlfn.XLOOKUP(B140,Animals!B:B,Animals!AO:AO)*2),5)</f>
        <v>70</v>
      </c>
      <c r="AU140" s="8">
        <f>IFERROR(ROUND(SQRT(V140-1)*IF(_xlfn.XLOOKUP(E140,Groups!A:A,Groups!BF:BF)=0,2,1)*IF(_xlfn.XLOOKUP('Base stats'!E140,Groups!A:A,Groups!O:O)=0,1,0.1),1),0)</f>
        <v>0</v>
      </c>
      <c r="AV140" s="8">
        <f t="shared" si="69"/>
        <v>0</v>
      </c>
      <c r="AW140" s="8">
        <f t="shared" si="70"/>
        <v>0</v>
      </c>
      <c r="AX140" s="8">
        <f t="shared" si="7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stats'!AY140,IF(OR(_xlfn.XLOOKUP(E140,Groups!A:A,Groups!BD:BD)=1,_xlfn.XLOOKUP(E140,Groups!A:A,Groups!U:U)=2),BA140,IF(_xlfn.XLOOKUP(B140,Animals!B:B,Animals!AO:AO)&gt;4,AVERAGE(BA140,BC140),BC140))))</f>
        <v>No</v>
      </c>
      <c r="BA140" s="8">
        <f t="shared" si="72"/>
        <v>6.9733585093371159E-2</v>
      </c>
      <c r="BB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EXP(1.076*LN(AO140)-4.5397)*IF(_xlfn.XLOOKUP(E140,Groups!A:A,Groups!BC:BC)=1,1.25,IF(_xlfn.XLOOKUP(E140,Groups!A:A,Groups!BD:BD)=1,3.5,2.5))</f>
        <v>3.6924354853866963</v>
      </c>
      <c r="BE140" s="8">
        <f>EXP(1.076*LN(AP140)-4.5397)*IF(_xlfn.XLOOKUP(E140,Groups!A:A,Groups!M:M)=1,0.8,IF(_xlfn.XLOOKUP(E140,Groups!A:A,Groups!BC:BC)=1,1.3,3))</f>
        <v>5.7858127834961763</v>
      </c>
      <c r="BF140" s="8" t="str">
        <f>IF(W140="No","No",IF(_xlfn.XLOOKUP(E140,Groups!A:A,Groups!U:U)=1,'Base stats'!BG140,IF(OR(_xlfn.XLOOKUP(E140,Groups!A:A,Groups!BD:BD)=1,_xlfn.XLOOKUP(E140,Groups!A:A,Groups!U:U)=2),BD140,BE140))*1.2)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77"/>
        <v>10</v>
      </c>
      <c r="BI140" s="8">
        <f t="shared" si="78"/>
        <v>9</v>
      </c>
      <c r="BJ140" s="8" t="str">
        <f t="shared" si="73"/>
        <v>No</v>
      </c>
      <c r="BK140" s="8">
        <f t="shared" si="74"/>
        <v>7</v>
      </c>
      <c r="BL140" s="8">
        <f t="shared" si="79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N140" s="8" t="str">
        <f>IF(W140="No","No",IF(_xlfn.XLOOKUP(E140,Groups!A:A,Groups!BD:BD)=1,(AL140*5%),EXP(0.7354*LN(C140)^0.4078)*2/IF(_xlfn.XLOOKUP(E140,Groups!A:A,Groups!BL:BL)=1,1000,100)))</f>
        <v>No</v>
      </c>
      <c r="BO140" s="8">
        <f>IF(BG140="No","No",IF(_xlfn.XLOOKUP(E140,Groups!A:A,Groups!BF:BF)=1,(0.0315*C140+2.1825)*2,(0.7354*C140^0.4078)*2)/IF(_xlfn.XLOOKUP(E140,Groups!A:A,Groups!BM:BM)=1,1000,100))</f>
        <v>1.9512533128932502E-2</v>
      </c>
      <c r="BP140" s="8">
        <f t="shared" si="75"/>
        <v>4.2398494491805147E-2</v>
      </c>
      <c r="BQ140" s="8" t="str">
        <f t="shared" si="80"/>
        <v>No</v>
      </c>
      <c r="BR140" s="8" t="str">
        <f t="shared" si="76"/>
        <v>No</v>
      </c>
      <c r="BS140" s="8">
        <f t="shared" si="81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D141" s="7" t="s">
        <v>1320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6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6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IFERROR(AVERAGE(_xlfn.XLOOKUP(B141,Animals!B:B,Animals!N:N),_xlfn.XLOOKUP(B141,Animals!B:B,Animals!O:O)),0)</f>
        <v>0</v>
      </c>
      <c r="AT141" s="8">
        <f>MROUND(40*Animals!AO141*_xlfn.XLOOKUP(Animals!BA141,Leathers!$A$2:$A$100,Leathers!$B$2:$B$100,0)+(140*_xlfn.XLOOKUP(B141,Animals!B:B,Animals!AO:AO)*2),5)</f>
        <v>180</v>
      </c>
      <c r="AU141" s="8">
        <f>IFERROR(ROUND(SQRT(V141-1)*IF(_xlfn.XLOOKUP(E141,Groups!A:A,Groups!BF:BF)=0,2,1)*IF(_xlfn.XLOOKUP('Base stats'!E141,Groups!A:A,Groups!O:O)=0,1,0.1),1),0)</f>
        <v>2</v>
      </c>
      <c r="AV141" s="8">
        <f t="shared" si="69"/>
        <v>0</v>
      </c>
      <c r="AW141" s="8">
        <f t="shared" si="70"/>
        <v>0</v>
      </c>
      <c r="AX141" s="8">
        <f t="shared" si="7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stats'!AY141,IF(OR(_xlfn.XLOOKUP(E141,Groups!A:A,Groups!BD:BD)=1,_xlfn.XLOOKUP(E141,Groups!A:A,Groups!U:U)=2),BA141,IF(_xlfn.XLOOKUP(B141,Animals!B:B,Animals!AO:AO)&gt;4,AVERAGE(BA141,BC141),BC141))))</f>
        <v>No</v>
      </c>
      <c r="BA141" s="8">
        <f t="shared" si="72"/>
        <v>0.38234173643064095</v>
      </c>
      <c r="BB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EXP(1.076*LN(AO141)-4.5397)*IF(_xlfn.XLOOKUP(E141,Groups!A:A,Groups!BC:BC)=1,1.25,IF(_xlfn.XLOOKUP(E141,Groups!A:A,Groups!BD:BD)=1,3.5,2.5))</f>
        <v>23.746343370214902</v>
      </c>
      <c r="BE141" s="8">
        <f>EXP(1.076*LN(AP141)-4.5397)*IF(_xlfn.XLOOKUP(E141,Groups!A:A,Groups!M:M)=1,0.8,IF(_xlfn.XLOOKUP(E141,Groups!A:A,Groups!BC:BC)=1,1.3,3))</f>
        <v>33.181040085894857</v>
      </c>
      <c r="BF141" s="8" t="str">
        <f>IF(W141="No","No",IF(_xlfn.XLOOKUP(E141,Groups!A:A,Groups!U:U)=1,'Base stats'!BG141,IF(OR(_xlfn.XLOOKUP(E141,Groups!A:A,Groups!BD:BD)=1,_xlfn.XLOOKUP(E141,Groups!A:A,Groups!U:U)=2),BD141,BE141))*1.2)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77"/>
        <v>11</v>
      </c>
      <c r="BI141" s="8">
        <f t="shared" si="78"/>
        <v>10</v>
      </c>
      <c r="BJ141" s="8" t="str">
        <f t="shared" si="73"/>
        <v>No</v>
      </c>
      <c r="BK141" s="8">
        <f t="shared" si="74"/>
        <v>9</v>
      </c>
      <c r="BL141" s="8">
        <f t="shared" si="79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N141" s="8" t="str">
        <f>IF(W141="No","No",IF(_xlfn.XLOOKUP(E141,Groups!A:A,Groups!BD:BD)=1,(AL141*5%),EXP(0.7354*LN(C141)^0.4078)*2/IF(_xlfn.XLOOKUP(E141,Groups!A:A,Groups!BL:BL)=1,1000,100)))</f>
        <v>No</v>
      </c>
      <c r="BO141" s="8">
        <f>IF(BG141="No","No",IF(_xlfn.XLOOKUP(E141,Groups!A:A,Groups!BF:BF)=1,(0.0315*C141+2.1825)*2,(0.7354*C141^0.4078)*2)/IF(_xlfn.XLOOKUP(E141,Groups!A:A,Groups!BM:BM)=1,1000,100))</f>
        <v>4.4974970557536319E-2</v>
      </c>
      <c r="BP141" s="8">
        <f t="shared" si="75"/>
        <v>7.2042397360953261E-2</v>
      </c>
      <c r="BQ141" s="8" t="str">
        <f t="shared" si="80"/>
        <v>No</v>
      </c>
      <c r="BR141" s="8" t="str">
        <f t="shared" si="76"/>
        <v>No</v>
      </c>
      <c r="BS141" s="8">
        <f t="shared" si="81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6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6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IFERROR(AVERAGE(_xlfn.XLOOKUP(B142,Animals!B:B,Animals!N:N),_xlfn.XLOOKUP(B142,Animals!B:B,Animals!O:O)),0)</f>
        <v>0</v>
      </c>
      <c r="AT142" s="8">
        <f>MROUND(40*Animals!AO142*_xlfn.XLOOKUP(Animals!BA142,Leathers!$A$2:$A$100,Leathers!$B$2:$B$100,0)+(140*_xlfn.XLOOKUP(B142,Animals!B:B,Animals!AO:AO)*2),5)</f>
        <v>160</v>
      </c>
      <c r="AU142" s="8">
        <f>IFERROR(ROUND(SQRT(V142-1)*IF(_xlfn.XLOOKUP(E142,Groups!A:A,Groups!BF:BF)=0,2,1)*IF(_xlfn.XLOOKUP('Base stats'!E142,Groups!A:A,Groups!O:O)=0,1,0.1),1),0)</f>
        <v>1.8</v>
      </c>
      <c r="AV142" s="8">
        <f t="shared" si="69"/>
        <v>0</v>
      </c>
      <c r="AW142" s="8">
        <f t="shared" si="70"/>
        <v>0</v>
      </c>
      <c r="AX142" s="8">
        <f t="shared" si="7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stats'!AY142,IF(OR(_xlfn.XLOOKUP(E142,Groups!A:A,Groups!BD:BD)=1,_xlfn.XLOOKUP(E142,Groups!A:A,Groups!U:U)=2),BA142,IF(_xlfn.XLOOKUP(B142,Animals!B:B,Animals!AO:AO)&gt;4,AVERAGE(BA142,BC142),BC142))))</f>
        <v>No</v>
      </c>
      <c r="BA142" s="8">
        <f t="shared" si="72"/>
        <v>0.28753014832877943</v>
      </c>
      <c r="BB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EXP(1.076*LN(AO142)-4.5397)*IF(_xlfn.XLOOKUP(E142,Groups!A:A,Groups!BC:BC)=1,1.25,IF(_xlfn.XLOOKUP(E142,Groups!A:A,Groups!BD:BD)=1,3.5,2.5))</f>
        <v>17.387073558783207</v>
      </c>
      <c r="BE142" s="8">
        <f>EXP(1.076*LN(AP142)-4.5397)*IF(_xlfn.XLOOKUP(E142,Groups!A:A,Groups!M:M)=1,0.8,IF(_xlfn.XLOOKUP(E142,Groups!A:A,Groups!BC:BC)=1,1.3,3))</f>
        <v>24.765846622439327</v>
      </c>
      <c r="BF142" s="8" t="str">
        <f>IF(W142="No","No",IF(_xlfn.XLOOKUP(E142,Groups!A:A,Groups!U:U)=1,'Base stats'!BG142,IF(OR(_xlfn.XLOOKUP(E142,Groups!A:A,Groups!BD:BD)=1,_xlfn.XLOOKUP(E142,Groups!A:A,Groups!U:U)=2),BD142,BE142))*1.2)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77"/>
        <v>10</v>
      </c>
      <c r="BI142" s="8">
        <f t="shared" si="78"/>
        <v>10</v>
      </c>
      <c r="BJ142" s="8" t="str">
        <f t="shared" si="73"/>
        <v>No</v>
      </c>
      <c r="BK142" s="8">
        <f t="shared" si="74"/>
        <v>9</v>
      </c>
      <c r="BL142" s="8">
        <f t="shared" si="79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N142" s="8" t="str">
        <f>IF(W142="No","No",IF(_xlfn.XLOOKUP(E142,Groups!A:A,Groups!BD:BD)=1,(AL142*5%),EXP(0.7354*LN(C142)^0.4078)*2/IF(_xlfn.XLOOKUP(E142,Groups!A:A,Groups!BL:BL)=1,1000,100)))</f>
        <v>No</v>
      </c>
      <c r="BO142" s="8">
        <f>IF(BG142="No","No",IF(_xlfn.XLOOKUP(E142,Groups!A:A,Groups!BF:BF)=1,(0.0315*C142+2.1825)*2,(0.7354*C142^0.4078)*2)/IF(_xlfn.XLOOKUP(E142,Groups!A:A,Groups!BM:BM)=1,1000,100))</f>
        <v>3.9105114172400528E-2</v>
      </c>
      <c r="BP142" s="8">
        <f t="shared" si="75"/>
        <v>6.592167943381691E-2</v>
      </c>
      <c r="BQ142" s="8" t="str">
        <f t="shared" si="80"/>
        <v>No</v>
      </c>
      <c r="BR142" s="8" t="str">
        <f t="shared" si="76"/>
        <v>No</v>
      </c>
      <c r="BS142" s="8">
        <f t="shared" si="81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1322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6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6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IFERROR(AVERAGE(_xlfn.XLOOKUP(B143,Animals!B:B,Animals!N:N),_xlfn.XLOOKUP(B143,Animals!B:B,Animals!O:O)),0)</f>
        <v>0</v>
      </c>
      <c r="AT143" s="8">
        <f>MROUND(40*Animals!AO143*_xlfn.XLOOKUP(Animals!BA143,Leathers!$A$2:$A$100,Leathers!$B$2:$B$100,0)+(140*_xlfn.XLOOKUP(B143,Animals!B:B,Animals!AO:AO)*2),5)</f>
        <v>270</v>
      </c>
      <c r="AU143" s="8">
        <f>IFERROR(ROUND(SQRT(V143-1)*IF(_xlfn.XLOOKUP(E143,Groups!A:A,Groups!BF:BF)=0,2,1)*IF(_xlfn.XLOOKUP('Base stats'!E143,Groups!A:A,Groups!O:O)=0,1,0.1),1),0)</f>
        <v>2.7</v>
      </c>
      <c r="AV143" s="8">
        <f t="shared" si="69"/>
        <v>0</v>
      </c>
      <c r="AW143" s="8">
        <f t="shared" si="70"/>
        <v>0</v>
      </c>
      <c r="AX143" s="8">
        <f t="shared" si="7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stats'!AY143,IF(OR(_xlfn.XLOOKUP(E143,Groups!A:A,Groups!BD:BD)=1,_xlfn.XLOOKUP(E143,Groups!A:A,Groups!U:U)=2),BA143,IF(_xlfn.XLOOKUP(B143,Animals!B:B,Animals!AO:AO)&gt;4,AVERAGE(BA143,BC143),BC143))))</f>
        <v>No</v>
      </c>
      <c r="BA143" s="8">
        <f t="shared" si="72"/>
        <v>0.79451306897413454</v>
      </c>
      <c r="BB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EXP(1.076*LN(AO143)-4.5397)*IF(_xlfn.XLOOKUP(E143,Groups!A:A,Groups!BC:BC)=1,1.25,IF(_xlfn.XLOOKUP(E143,Groups!A:A,Groups!BD:BD)=1,3.5,2.5))</f>
        <v>52.847232179206785</v>
      </c>
      <c r="BE143" s="8">
        <f>EXP(1.076*LN(AP143)-4.5397)*IF(_xlfn.XLOOKUP(E143,Groups!A:A,Groups!M:M)=1,0.8,IF(_xlfn.XLOOKUP(E143,Groups!A:A,Groups!BC:BC)=1,1.3,3))</f>
        <v>70.29555661729259</v>
      </c>
      <c r="BF143" s="8" t="str">
        <f>IF(W143="No","No",IF(_xlfn.XLOOKUP(E143,Groups!A:A,Groups!U:U)=1,'Base stats'!BG143,IF(OR(_xlfn.XLOOKUP(E143,Groups!A:A,Groups!BD:BD)=1,_xlfn.XLOOKUP(E143,Groups!A:A,Groups!U:U)=2),BD143,BE143))*1.2)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77"/>
        <v>11</v>
      </c>
      <c r="BI143" s="8">
        <f t="shared" si="78"/>
        <v>10</v>
      </c>
      <c r="BJ143" s="8" t="str">
        <f t="shared" si="73"/>
        <v>No</v>
      </c>
      <c r="BK143" s="8">
        <f t="shared" si="74"/>
        <v>10</v>
      </c>
      <c r="BL143" s="8">
        <f t="shared" si="79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N143" s="8" t="str">
        <f>IF(W143="No","No",IF(_xlfn.XLOOKUP(E143,Groups!A:A,Groups!BD:BD)=1,(AL143*5%),EXP(0.7354*LN(C143)^0.4078)*2/IF(_xlfn.XLOOKUP(E143,Groups!A:A,Groups!BL:BL)=1,1000,100)))</f>
        <v>No</v>
      </c>
      <c r="BO143" s="8">
        <f>IF(BG143="No","No",IF(_xlfn.XLOOKUP(E143,Groups!A:A,Groups!BF:BF)=1,(0.0315*C143+2.1825)*2,(0.7354*C143^0.4078)*2)/IF(_xlfn.XLOOKUP(E143,Groups!A:A,Groups!BM:BM)=1,1000,100))</f>
        <v>6.4395012983712543E-2</v>
      </c>
      <c r="BP143" s="8">
        <f t="shared" si="75"/>
        <v>9.0479768869161398E-2</v>
      </c>
      <c r="BQ143" s="8" t="str">
        <f t="shared" si="80"/>
        <v>No</v>
      </c>
      <c r="BR143" s="8" t="str">
        <f t="shared" si="76"/>
        <v>No</v>
      </c>
      <c r="BS143" s="8">
        <f t="shared" si="81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1323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6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6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IFERROR(AVERAGE(_xlfn.XLOOKUP(B144,Animals!B:B,Animals!N:N),_xlfn.XLOOKUP(B144,Animals!B:B,Animals!O:O)),0)</f>
        <v>0</v>
      </c>
      <c r="AT144" s="8">
        <f>MROUND(40*Animals!AO144*_xlfn.XLOOKUP(Animals!BA144,Leathers!$A$2:$A$100,Leathers!$B$2:$B$100,0)+(140*_xlfn.XLOOKUP(B144,Animals!B:B,Animals!AO:AO)*2),5)</f>
        <v>340</v>
      </c>
      <c r="AU144" s="8">
        <f>IFERROR(ROUND(SQRT(V144-1)*IF(_xlfn.XLOOKUP(E144,Groups!A:A,Groups!BF:BF)=0,2,1)*IF(_xlfn.XLOOKUP('Base stats'!E144,Groups!A:A,Groups!O:O)=0,1,0.1),1),0)</f>
        <v>3.1</v>
      </c>
      <c r="AV144" s="8">
        <f t="shared" si="69"/>
        <v>0</v>
      </c>
      <c r="AW144" s="8">
        <f t="shared" si="70"/>
        <v>0</v>
      </c>
      <c r="AX144" s="8">
        <f t="shared" si="7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stats'!AY144,IF(OR(_xlfn.XLOOKUP(E144,Groups!A:A,Groups!BD:BD)=1,_xlfn.XLOOKUP(E144,Groups!A:A,Groups!U:U)=2),BA144,IF(_xlfn.XLOOKUP(B144,Animals!B:B,Animals!AO:AO)&gt;4,AVERAGE(BA144,BC144),BC144))))</f>
        <v>No</v>
      </c>
      <c r="BA144" s="8">
        <f t="shared" si="72"/>
        <v>1.2382521883166966</v>
      </c>
      <c r="BB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EXP(1.076*LN(AO144)-4.5397)*IF(_xlfn.XLOOKUP(E144,Groups!A:A,Groups!BC:BC)=1,1.25,IF(_xlfn.XLOOKUP(E144,Groups!A:A,Groups!BD:BD)=1,3.5,2.5))</f>
        <v>85.860732091557921</v>
      </c>
      <c r="BE144" s="8">
        <f>EXP(1.076*LN(AP144)-4.5397)*IF(_xlfn.XLOOKUP(E144,Groups!A:A,Groups!M:M)=1,0.8,IF(_xlfn.XLOOKUP(E144,Groups!A:A,Groups!BC:BC)=1,1.3,3))</f>
        <v>110.84727027247962</v>
      </c>
      <c r="BF144" s="8" t="str">
        <f>IF(W144="No","No",IF(_xlfn.XLOOKUP(E144,Groups!A:A,Groups!U:U)=1,'Base stats'!BG144,IF(OR(_xlfn.XLOOKUP(E144,Groups!A:A,Groups!BD:BD)=1,_xlfn.XLOOKUP(E144,Groups!A:A,Groups!U:U)=2),BD144,BE144))*1.2)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77"/>
        <v>11</v>
      </c>
      <c r="BI144" s="8">
        <f t="shared" si="78"/>
        <v>11</v>
      </c>
      <c r="BJ144" s="8" t="str">
        <f t="shared" si="73"/>
        <v>No</v>
      </c>
      <c r="BK144" s="8">
        <f t="shared" si="74"/>
        <v>10</v>
      </c>
      <c r="BL144" s="8">
        <f t="shared" si="79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N144" s="8" t="str">
        <f>IF(W144="No","No",IF(_xlfn.XLOOKUP(E144,Groups!A:A,Groups!BD:BD)=1,(AL144*5%),EXP(0.7354*LN(C144)^0.4078)*2/IF(_xlfn.XLOOKUP(E144,Groups!A:A,Groups!BL:BL)=1,1000,100)))</f>
        <v>No</v>
      </c>
      <c r="BO144" s="8">
        <f>IF(BG144="No","No",IF(_xlfn.XLOOKUP(E144,Groups!A:A,Groups!BF:BF)=1,(0.0315*C144+2.1825)*2,(0.7354*C144^0.4078)*2)/IF(_xlfn.XLOOKUP(E144,Groups!A:A,Groups!BM:BM)=1,1000,100))</f>
        <v>8.0060932154055159E-2</v>
      </c>
      <c r="BP144" s="8">
        <f t="shared" si="75"/>
        <v>0.10389376409174737</v>
      </c>
      <c r="BQ144" s="8" t="str">
        <f t="shared" si="80"/>
        <v>No</v>
      </c>
      <c r="BR144" s="8" t="str">
        <f t="shared" si="76"/>
        <v>No</v>
      </c>
      <c r="BS144" s="8">
        <f t="shared" si="81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D145" s="7" t="s">
        <v>1316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6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6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IFERROR(AVERAGE(_xlfn.XLOOKUP(B145,Animals!B:B,Animals!N:N),_xlfn.XLOOKUP(B145,Animals!B:B,Animals!O:O)),0)</f>
        <v>0</v>
      </c>
      <c r="AT145" s="8">
        <f>MROUND(40*Animals!AO145*_xlfn.XLOOKUP(Animals!BA145,Leathers!$A$2:$A$100,Leathers!$B$2:$B$100,0)+(140*_xlfn.XLOOKUP(B145,Animals!B:B,Animals!AO:AO)*2),5)</f>
        <v>235</v>
      </c>
      <c r="AU145" s="8">
        <f>IFERROR(ROUND(SQRT(V145-1)*IF(_xlfn.XLOOKUP(E145,Groups!A:A,Groups!BF:BF)=0,2,1)*IF(_xlfn.XLOOKUP('Base stats'!E145,Groups!A:A,Groups!O:O)=0,1,0.1),1),0)</f>
        <v>2.4</v>
      </c>
      <c r="AV145" s="8">
        <f t="shared" si="69"/>
        <v>0</v>
      </c>
      <c r="AW145" s="8">
        <f t="shared" si="70"/>
        <v>0</v>
      </c>
      <c r="AX145" s="8">
        <f t="shared" si="7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stats'!AY145,IF(OR(_xlfn.XLOOKUP(E145,Groups!A:A,Groups!BD:BD)=1,_xlfn.XLOOKUP(E145,Groups!A:A,Groups!U:U)=2),BA145,IF(_xlfn.XLOOKUP(B145,Animals!B:B,Animals!AO:AO)&gt;4,AVERAGE(BA145,BC145),BC145))))</f>
        <v>No</v>
      </c>
      <c r="BA145" s="8">
        <f t="shared" si="72"/>
        <v>0.58766377309862416</v>
      </c>
      <c r="BB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EXP(1.076*LN(AO145)-4.5397)*IF(_xlfn.XLOOKUP(E145,Groups!A:A,Groups!BC:BC)=1,1.25,IF(_xlfn.XLOOKUP(E145,Groups!A:A,Groups!BD:BD)=1,3.5,2.5))</f>
        <v>37.999064941141754</v>
      </c>
      <c r="BE145" s="8">
        <f>EXP(1.076*LN(AP145)-4.5397)*IF(_xlfn.XLOOKUP(E145,Groups!A:A,Groups!M:M)=1,0.8,IF(_xlfn.XLOOKUP(E145,Groups!A:A,Groups!BC:BC)=1,1.3,3))</f>
        <v>51.581861630943912</v>
      </c>
      <c r="BF145" s="8" t="str">
        <f>IF(W145="No","No",IF(_xlfn.XLOOKUP(E145,Groups!A:A,Groups!U:U)=1,'Base stats'!BG145,IF(OR(_xlfn.XLOOKUP(E145,Groups!A:A,Groups!BD:BD)=1,_xlfn.XLOOKUP(E145,Groups!A:A,Groups!U:U)=2),BD145,BE145))*1.2)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77"/>
        <v>11</v>
      </c>
      <c r="BI145" s="8">
        <f t="shared" si="78"/>
        <v>10</v>
      </c>
      <c r="BJ145" s="8" t="str">
        <f t="shared" si="73"/>
        <v>No</v>
      </c>
      <c r="BK145" s="8">
        <f t="shared" si="74"/>
        <v>9</v>
      </c>
      <c r="BL145" s="8">
        <f t="shared" si="79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N145" s="8" t="str">
        <f>IF(W145="No","No",IF(_xlfn.XLOOKUP(E145,Groups!A:A,Groups!BD:BD)=1,(AL145*5%),EXP(0.7354*LN(C145)^0.4078)*2/IF(_xlfn.XLOOKUP(E145,Groups!A:A,Groups!BL:BL)=1,1000,100)))</f>
        <v>No</v>
      </c>
      <c r="BO145" s="8">
        <f>IF(BG145="No","No",IF(_xlfn.XLOOKUP(E145,Groups!A:A,Groups!BF:BF)=1,(0.0315*C145+2.1825)*2,(0.7354*C145^0.4078)*2)/IF(_xlfn.XLOOKUP(E145,Groups!A:A,Groups!BM:BM)=1,1000,100))</f>
        <v>5.5536659356448935E-2</v>
      </c>
      <c r="BP145" s="8">
        <f t="shared" si="75"/>
        <v>8.2365862508426729E-2</v>
      </c>
      <c r="BQ145" s="8" t="str">
        <f t="shared" si="80"/>
        <v>No</v>
      </c>
      <c r="BR145" s="8" t="str">
        <f t="shared" si="76"/>
        <v>No</v>
      </c>
      <c r="BS145" s="8">
        <f t="shared" si="81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1317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6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6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IFERROR(AVERAGE(_xlfn.XLOOKUP(B146,Animals!B:B,Animals!N:N),_xlfn.XLOOKUP(B146,Animals!B:B,Animals!O:O)),0)</f>
        <v>0</v>
      </c>
      <c r="AT146" s="8">
        <f>MROUND(40*Animals!AO146*_xlfn.XLOOKUP(Animals!BA146,Leathers!$A$2:$A$100,Leathers!$B$2:$B$100,0)+(140*_xlfn.XLOOKUP(B146,Animals!B:B,Animals!AO:AO)*2),5)</f>
        <v>125</v>
      </c>
      <c r="AU146" s="8">
        <f>IFERROR(ROUND(SQRT(V146-1)*IF(_xlfn.XLOOKUP(E146,Groups!A:A,Groups!BF:BF)=0,2,1)*IF(_xlfn.XLOOKUP('Base stats'!E146,Groups!A:A,Groups!O:O)=0,1,0.1),1),0)</f>
        <v>1.5</v>
      </c>
      <c r="AV146" s="8">
        <f t="shared" si="69"/>
        <v>0</v>
      </c>
      <c r="AW146" s="8">
        <f t="shared" si="70"/>
        <v>0</v>
      </c>
      <c r="AX146" s="8">
        <f t="shared" si="7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stats'!AY146,IF(OR(_xlfn.XLOOKUP(E146,Groups!A:A,Groups!BD:BD)=1,_xlfn.XLOOKUP(E146,Groups!A:A,Groups!U:U)=2),BA146,IF(_xlfn.XLOOKUP(B146,Animals!B:B,Animals!AO:AO)&gt;4,AVERAGE(BA146,BC146),BC146))))</f>
        <v>No</v>
      </c>
      <c r="BA146" s="8">
        <f t="shared" si="72"/>
        <v>0.20345846347103066</v>
      </c>
      <c r="BB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EXP(1.076*LN(AO146)-4.5397)*IF(_xlfn.XLOOKUP(E146,Groups!A:A,Groups!BC:BC)=1,1.25,IF(_xlfn.XLOOKUP(E146,Groups!A:A,Groups!BD:BD)=1,3.5,2.5))</f>
        <v>11.910734230819106</v>
      </c>
      <c r="BE146" s="8">
        <f>EXP(1.076*LN(AP146)-4.5397)*IF(_xlfn.XLOOKUP(E146,Groups!A:A,Groups!M:M)=1,0.8,IF(_xlfn.XLOOKUP(E146,Groups!A:A,Groups!BC:BC)=1,1.3,3))</f>
        <v>17.365162048439693</v>
      </c>
      <c r="BF146" s="8" t="str">
        <f>IF(W146="No","No",IF(_xlfn.XLOOKUP(E146,Groups!A:A,Groups!U:U)=1,'Base stats'!BG146,IF(OR(_xlfn.XLOOKUP(E146,Groups!A:A,Groups!BD:BD)=1,_xlfn.XLOOKUP(E146,Groups!A:A,Groups!U:U)=2),BD146,BE146))*1.2)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77"/>
        <v>10</v>
      </c>
      <c r="BI146" s="8">
        <f t="shared" si="78"/>
        <v>10</v>
      </c>
      <c r="BJ146" s="8" t="str">
        <f t="shared" si="73"/>
        <v>No</v>
      </c>
      <c r="BK146" s="8">
        <f t="shared" si="74"/>
        <v>8</v>
      </c>
      <c r="BL146" s="8">
        <f t="shared" si="79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N146" s="8" t="str">
        <f>IF(W146="No","No",IF(_xlfn.XLOOKUP(E146,Groups!A:A,Groups!BD:BD)=1,(AL146*5%),EXP(0.7354*LN(C146)^0.4078)*2/IF(_xlfn.XLOOKUP(E146,Groups!A:A,Groups!BL:BL)=1,1000,100)))</f>
        <v>No</v>
      </c>
      <c r="BO146" s="8">
        <f>IF(BG146="No","No",IF(_xlfn.XLOOKUP(E146,Groups!A:A,Groups!BF:BF)=1,(0.0315*C146+2.1825)*2,(0.7354*C146^0.4078)*2)/IF(_xlfn.XLOOKUP(E146,Groups!A:A,Groups!BM:BM)=1,1000,100))</f>
        <v>3.3000579003953534E-2</v>
      </c>
      <c r="BP146" s="8">
        <f t="shared" si="75"/>
        <v>5.9187668145744471E-2</v>
      </c>
      <c r="BQ146" s="8" t="str">
        <f t="shared" si="80"/>
        <v>No</v>
      </c>
      <c r="BR146" s="8" t="str">
        <f t="shared" si="76"/>
        <v>No</v>
      </c>
      <c r="BS146" s="8">
        <f t="shared" si="81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1318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6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6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IFERROR(AVERAGE(_xlfn.XLOOKUP(B147,Animals!B:B,Animals!N:N),_xlfn.XLOOKUP(B147,Animals!B:B,Animals!O:O)),0)</f>
        <v>0</v>
      </c>
      <c r="AT147" s="8">
        <f>MROUND(40*Animals!AO147*_xlfn.XLOOKUP(Animals!BA147,Leathers!$A$2:$A$100,Leathers!$B$2:$B$100,0)+(140*_xlfn.XLOOKUP(B147,Animals!B:B,Animals!AO:AO)*2),5)</f>
        <v>305</v>
      </c>
      <c r="AU147" s="8">
        <f>IFERROR(ROUND(SQRT(V147-1)*IF(_xlfn.XLOOKUP(E147,Groups!A:A,Groups!BF:BF)=0,2,1)*IF(_xlfn.XLOOKUP('Base stats'!E147,Groups!A:A,Groups!O:O)=0,1,0.1),1),0)</f>
        <v>2.9</v>
      </c>
      <c r="AV147" s="8">
        <f t="shared" si="69"/>
        <v>0</v>
      </c>
      <c r="AW147" s="8">
        <f t="shared" si="70"/>
        <v>0</v>
      </c>
      <c r="AX147" s="8">
        <f t="shared" si="7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stats'!AY147,IF(OR(_xlfn.XLOOKUP(E147,Groups!A:A,Groups!BD:BD)=1,_xlfn.XLOOKUP(E147,Groups!A:A,Groups!U:U)=2),BA147,IF(_xlfn.XLOOKUP(B147,Animals!B:B,Animals!AO:AO)&gt;4,AVERAGE(BA147,BC147),BC147))))</f>
        <v>No</v>
      </c>
      <c r="BA147" s="8">
        <f t="shared" si="72"/>
        <v>0.98236377200852176</v>
      </c>
      <c r="BB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EXP(1.076*LN(AO147)-4.5397)*IF(_xlfn.XLOOKUP(E147,Groups!A:A,Groups!BC:BC)=1,1.25,IF(_xlfn.XLOOKUP(E147,Groups!A:A,Groups!BD:BD)=1,3.5,2.5))</f>
        <v>66.65513219525819</v>
      </c>
      <c r="BE147" s="8">
        <f>EXP(1.076*LN(AP147)-4.5397)*IF(_xlfn.XLOOKUP(E147,Groups!A:A,Groups!M:M)=1,0.8,IF(_xlfn.XLOOKUP(E147,Groups!A:A,Groups!BC:BC)=1,1.3,3))</f>
        <v>87.404389392044067</v>
      </c>
      <c r="BF147" s="8" t="str">
        <f>IF(W147="No","No",IF(_xlfn.XLOOKUP(E147,Groups!A:A,Groups!U:U)=1,'Base stats'!BG147,IF(OR(_xlfn.XLOOKUP(E147,Groups!A:A,Groups!BD:BD)=1,_xlfn.XLOOKUP(E147,Groups!A:A,Groups!U:U)=2),BD147,BE147))*1.2)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77"/>
        <v>11</v>
      </c>
      <c r="BI147" s="8">
        <f t="shared" si="78"/>
        <v>10</v>
      </c>
      <c r="BJ147" s="8" t="str">
        <f t="shared" si="73"/>
        <v>No</v>
      </c>
      <c r="BK147" s="8">
        <f t="shared" si="74"/>
        <v>10</v>
      </c>
      <c r="BL147" s="8">
        <f t="shared" si="79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N147" s="8" t="str">
        <f>IF(W147="No","No",IF(_xlfn.XLOOKUP(E147,Groups!A:A,Groups!BD:BD)=1,(AL147*5%),EXP(0.7354*LN(C147)^0.4078)*2/IF(_xlfn.XLOOKUP(E147,Groups!A:A,Groups!BL:BL)=1,1000,100)))</f>
        <v>No</v>
      </c>
      <c r="BO147" s="8">
        <f>IF(BG147="No","No",IF(_xlfn.XLOOKUP(E147,Groups!A:A,Groups!BF:BF)=1,(0.0315*C147+2.1825)*2,(0.7354*C147^0.4078)*2)/IF(_xlfn.XLOOKUP(E147,Groups!A:A,Groups!BM:BM)=1,1000,100))</f>
        <v>7.1463425118040241E-2</v>
      </c>
      <c r="BP147" s="8">
        <f t="shared" si="75"/>
        <v>9.6664576919937212E-2</v>
      </c>
      <c r="BQ147" s="8" t="str">
        <f t="shared" si="80"/>
        <v>No</v>
      </c>
      <c r="BR147" s="8" t="str">
        <f t="shared" si="76"/>
        <v>No</v>
      </c>
      <c r="BS147" s="8">
        <f t="shared" si="81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1324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6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6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IFERROR(AVERAGE(_xlfn.XLOOKUP(B148,Animals!B:B,Animals!N:N),_xlfn.XLOOKUP(B148,Animals!B:B,Animals!O:O)),0)</f>
        <v>0</v>
      </c>
      <c r="AT148" s="8">
        <f>MROUND(40*Animals!AO148*_xlfn.XLOOKUP(Animals!BA148,Leathers!$A$2:$A$100,Leathers!$B$2:$B$100,0)+(140*_xlfn.XLOOKUP(B148,Animals!B:B,Animals!AO:AO)*2),5)</f>
        <v>125</v>
      </c>
      <c r="AU148" s="8">
        <f>IFERROR(ROUND(SQRT(V148-1)*IF(_xlfn.XLOOKUP(E148,Groups!A:A,Groups!BF:BF)=0,2,1)*IF(_xlfn.XLOOKUP('Base stats'!E148,Groups!A:A,Groups!O:O)=0,1,0.1),1),0)</f>
        <v>1.3</v>
      </c>
      <c r="AV148" s="8">
        <f t="shared" si="69"/>
        <v>0</v>
      </c>
      <c r="AW148" s="8">
        <f t="shared" si="70"/>
        <v>0</v>
      </c>
      <c r="AX148" s="8">
        <f t="shared" si="7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stats'!AY148,IF(OR(_xlfn.XLOOKUP(E148,Groups!A:A,Groups!BD:BD)=1,_xlfn.XLOOKUP(E148,Groups!A:A,Groups!U:U)=2),BA148,IF(_xlfn.XLOOKUP(B148,Animals!B:B,Animals!AO:AO)&gt;4,AVERAGE(BA148,BC148),BC148))))</f>
        <v>No</v>
      </c>
      <c r="BA148" s="8">
        <f t="shared" si="72"/>
        <v>0.16771428148959355</v>
      </c>
      <c r="BB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EXP(1.076*LN(AO148)-4.5397)*IF(_xlfn.XLOOKUP(E148,Groups!A:A,Groups!BC:BC)=1,1.25,IF(_xlfn.XLOOKUP(E148,Groups!A:A,Groups!BD:BD)=1,3.5,2.5))</f>
        <v>9.6420098943098669</v>
      </c>
      <c r="BE148" s="8">
        <f>EXP(1.076*LN(AP148)-4.5397)*IF(_xlfn.XLOOKUP(E148,Groups!A:A,Groups!M:M)=1,0.8,IF(_xlfn.XLOOKUP(E148,Groups!A:A,Groups!BC:BC)=1,1.3,3))</f>
        <v>14.241552282827737</v>
      </c>
      <c r="BF148" s="8" t="str">
        <f>IF(W148="No","No",IF(_xlfn.XLOOKUP(E148,Groups!A:A,Groups!U:U)=1,'Base stats'!BG148,IF(OR(_xlfn.XLOOKUP(E148,Groups!A:A,Groups!BD:BD)=1,_xlfn.XLOOKUP(E148,Groups!A:A,Groups!U:U)=2),BD148,BE148))*1.2)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77"/>
        <v>10</v>
      </c>
      <c r="BI148" s="8">
        <f t="shared" si="78"/>
        <v>10</v>
      </c>
      <c r="BJ148" s="8" t="str">
        <f t="shared" si="73"/>
        <v>No</v>
      </c>
      <c r="BK148" s="8">
        <f t="shared" si="74"/>
        <v>8</v>
      </c>
      <c r="BL148" s="8">
        <f t="shared" si="79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N148" s="8" t="str">
        <f>IF(W148="No","No",IF(_xlfn.XLOOKUP(E148,Groups!A:A,Groups!BD:BD)=1,(AL148*5%),EXP(0.7354*LN(C148)^0.4078)*2/IF(_xlfn.XLOOKUP(E148,Groups!A:A,Groups!BL:BL)=1,1000,100)))</f>
        <v>No</v>
      </c>
      <c r="BO148" s="8">
        <f>IF(BG148="No","No",IF(_xlfn.XLOOKUP(E148,Groups!A:A,Groups!BF:BF)=1,(0.0315*C148+2.1825)*2,(0.7354*C148^0.4078)*2)/IF(_xlfn.XLOOKUP(E148,Groups!A:A,Groups!BM:BM)=1,1000,100))</f>
        <v>3.0015540500772476E-2</v>
      </c>
      <c r="BP148" s="8">
        <f t="shared" si="75"/>
        <v>5.5730185758039896E-2</v>
      </c>
      <c r="BQ148" s="8" t="str">
        <f t="shared" si="80"/>
        <v>No</v>
      </c>
      <c r="BR148" s="8" t="str">
        <f t="shared" si="76"/>
        <v>No</v>
      </c>
      <c r="BS148" s="8">
        <f t="shared" si="81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6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6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IFERROR(AVERAGE(_xlfn.XLOOKUP(B149,Animals!B:B,Animals!N:N),_xlfn.XLOOKUP(B149,Animals!B:B,Animals!O:O)),0)</f>
        <v>0</v>
      </c>
      <c r="AT149" s="8">
        <f>MROUND(40*Animals!AO149*_xlfn.XLOOKUP(Animals!BA149,Leathers!$A$2:$A$100,Leathers!$B$2:$B$100,0)+(140*_xlfn.XLOOKUP(B149,Animals!B:B,Animals!AO:AO)*2),5)</f>
        <v>215</v>
      </c>
      <c r="AU149" s="8">
        <f>IFERROR(ROUND(SQRT(V149-1)*IF(_xlfn.XLOOKUP(E149,Groups!A:A,Groups!BF:BF)=0,2,1)*IF(_xlfn.XLOOKUP('Base stats'!E149,Groups!A:A,Groups!O:O)=0,1,0.1),1),0)</f>
        <v>2.2999999999999998</v>
      </c>
      <c r="AV149" s="8">
        <f t="shared" si="69"/>
        <v>0</v>
      </c>
      <c r="AW149" s="8">
        <f t="shared" si="70"/>
        <v>0</v>
      </c>
      <c r="AX149" s="8">
        <f t="shared" si="7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stats'!AY149,IF(OR(_xlfn.XLOOKUP(E149,Groups!A:A,Groups!BD:BD)=1,_xlfn.XLOOKUP(E149,Groups!A:A,Groups!U:U)=2),BA149,IF(_xlfn.XLOOKUP(B149,Animals!B:B,Animals!AO:AO)&gt;4,AVERAGE(BA149,BC149),BC149))))</f>
        <v>No</v>
      </c>
      <c r="BA149" s="8">
        <f t="shared" si="72"/>
        <v>0.5211343972969702</v>
      </c>
      <c r="BB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EXP(1.076*LN(AO149)-4.5397)*IF(_xlfn.XLOOKUP(E149,Groups!A:A,Groups!BC:BC)=1,1.25,IF(_xlfn.XLOOKUP(E149,Groups!A:A,Groups!BD:BD)=1,3.5,2.5))</f>
        <v>33.319808786196916</v>
      </c>
      <c r="BE149" s="8">
        <f>EXP(1.076*LN(AP149)-4.5397)*IF(_xlfn.XLOOKUP(E149,Groups!A:A,Groups!M:M)=1,0.8,IF(_xlfn.XLOOKUP(E149,Groups!A:A,Groups!BC:BC)=1,1.3,3))</f>
        <v>45.597378543450688</v>
      </c>
      <c r="BF149" s="8" t="str">
        <f>IF(W149="No","No",IF(_xlfn.XLOOKUP(E149,Groups!A:A,Groups!U:U)=1,'Base stats'!BG149,IF(OR(_xlfn.XLOOKUP(E149,Groups!A:A,Groups!BD:BD)=1,_xlfn.XLOOKUP(E149,Groups!A:A,Groups!U:U)=2),BD149,BE149))*1.2)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77"/>
        <v>11</v>
      </c>
      <c r="BI149" s="8">
        <f t="shared" si="78"/>
        <v>10</v>
      </c>
      <c r="BJ149" s="8" t="str">
        <f t="shared" si="73"/>
        <v>No</v>
      </c>
      <c r="BK149" s="8">
        <f t="shared" si="74"/>
        <v>9</v>
      </c>
      <c r="BL149" s="8">
        <f t="shared" si="79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N149" s="8" t="str">
        <f>IF(W149="No","No",IF(_xlfn.XLOOKUP(E149,Groups!A:A,Groups!BD:BD)=1,(AL149*5%),EXP(0.7354*LN(C149)^0.4078)*2/IF(_xlfn.XLOOKUP(E149,Groups!A:A,Groups!BL:BL)=1,1000,100)))</f>
        <v>No</v>
      </c>
      <c r="BO149" s="8">
        <f>IF(BG149="No","No",IF(_xlfn.XLOOKUP(E149,Groups!A:A,Groups!BF:BF)=1,(0.0315*C149+2.1825)*2,(0.7354*C149^0.4078)*2)/IF(_xlfn.XLOOKUP(E149,Groups!A:A,Groups!BM:BM)=1,1000,100))</f>
        <v>5.2356867158957016E-2</v>
      </c>
      <c r="BP149" s="8">
        <f t="shared" si="75"/>
        <v>7.9339759658036232E-2</v>
      </c>
      <c r="BQ149" s="8" t="str">
        <f t="shared" si="80"/>
        <v>No</v>
      </c>
      <c r="BR149" s="8" t="str">
        <f t="shared" si="76"/>
        <v>No</v>
      </c>
      <c r="BS149" s="8">
        <f t="shared" si="81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D150" s="7" t="s">
        <v>1326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6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6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IFERROR(AVERAGE(_xlfn.XLOOKUP(B150,Animals!B:B,Animals!N:N),_xlfn.XLOOKUP(B150,Animals!B:B,Animals!O:O)),0)</f>
        <v>0</v>
      </c>
      <c r="AT150" s="8">
        <f>MROUND(40*Animals!AO150*_xlfn.XLOOKUP(Animals!BA150,Leathers!$A$2:$A$100,Leathers!$B$2:$B$100,0)+(140*_xlfn.XLOOKUP(B150,Animals!B:B,Animals!AO:AO)*2),5)</f>
        <v>105</v>
      </c>
      <c r="AU150" s="8">
        <f>IFERROR(ROUND(SQRT(V150-1)*IF(_xlfn.XLOOKUP(E150,Groups!A:A,Groups!BF:BF)=0,2,1)*IF(_xlfn.XLOOKUP('Base stats'!E150,Groups!A:A,Groups!O:O)=0,1,0.1),1),0)</f>
        <v>1</v>
      </c>
      <c r="AV150" s="8">
        <f t="shared" si="69"/>
        <v>0.4</v>
      </c>
      <c r="AW150" s="8">
        <f t="shared" si="70"/>
        <v>0</v>
      </c>
      <c r="AX150" s="8">
        <f t="shared" si="7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stats'!AY150,IF(OR(_xlfn.XLOOKUP(E150,Groups!A:A,Groups!BD:BD)=1,_xlfn.XLOOKUP(E150,Groups!A:A,Groups!U:U)=2),BA150,IF(_xlfn.XLOOKUP(B150,Animals!B:B,Animals!AO:AO)&gt;4,AVERAGE(BA150,BC150),BC150))))</f>
        <v>No</v>
      </c>
      <c r="BA150" s="8">
        <f t="shared" si="72"/>
        <v>0.1368061641182855</v>
      </c>
      <c r="BB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EXP(1.076*LN(AO150)-4.5397)*IF(_xlfn.XLOOKUP(E150,Groups!A:A,Groups!BC:BC)=1,1.25,IF(_xlfn.XLOOKUP(E150,Groups!A:A,Groups!BD:BD)=1,3.5,2.5))</f>
        <v>7.716326944216144</v>
      </c>
      <c r="BE150" s="8">
        <f>EXP(1.076*LN(AP150)-4.5397)*IF(_xlfn.XLOOKUP(E150,Groups!A:A,Groups!M:M)=1,0.8,IF(_xlfn.XLOOKUP(E150,Groups!A:A,Groups!BC:BC)=1,1.3,3))</f>
        <v>11.55464920650892</v>
      </c>
      <c r="BF150" s="8" t="str">
        <f>IF(W150="No","No",IF(_xlfn.XLOOKUP(E150,Groups!A:A,Groups!U:U)=1,'Base stats'!BG150,IF(OR(_xlfn.XLOOKUP(E150,Groups!A:A,Groups!BD:BD)=1,_xlfn.XLOOKUP(E150,Groups!A:A,Groups!U:U)=2),BD150,BE150))*1.2)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77"/>
        <v>10</v>
      </c>
      <c r="BI150" s="8">
        <f t="shared" si="78"/>
        <v>10</v>
      </c>
      <c r="BJ150" s="8" t="str">
        <f t="shared" si="73"/>
        <v>No</v>
      </c>
      <c r="BK150" s="8">
        <f t="shared" si="74"/>
        <v>8</v>
      </c>
      <c r="BL150" s="8">
        <f t="shared" si="79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N150" s="8" t="str">
        <f>IF(W150="No","No",IF(_xlfn.XLOOKUP(E150,Groups!A:A,Groups!BD:BD)=1,(AL150*5%),EXP(0.7354*LN(C150)^0.4078)*2/IF(_xlfn.XLOOKUP(E150,Groups!A:A,Groups!BL:BL)=1,1000,100)))</f>
        <v>No</v>
      </c>
      <c r="BO150" s="8">
        <f>IF(BG150="No","No",IF(_xlfn.XLOOKUP(E150,Groups!A:A,Groups!BF:BF)=1,(0.0315*C150+2.1825)*2,(0.7354*C150^0.4078)*2)/IF(_xlfn.XLOOKUP(E150,Groups!A:A,Groups!BM:BM)=1,1000,100))</f>
        <v>2.7160245069965436E-2</v>
      </c>
      <c r="BP150" s="8">
        <f t="shared" si="75"/>
        <v>5.2303349694325998E-2</v>
      </c>
      <c r="BQ150" s="8">
        <f t="shared" si="80"/>
        <v>425.4250717084426</v>
      </c>
      <c r="BR150" s="8" t="str">
        <f t="shared" si="76"/>
        <v>No</v>
      </c>
      <c r="BS150" s="8">
        <f t="shared" si="81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D151" s="7" t="s">
        <v>1327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6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6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IFERROR(AVERAGE(_xlfn.XLOOKUP(B151,Animals!B:B,Animals!N:N),_xlfn.XLOOKUP(B151,Animals!B:B,Animals!O:O)),0)</f>
        <v>0</v>
      </c>
      <c r="AT151" s="8">
        <f>MROUND(40*Animals!AO151*_xlfn.XLOOKUP(Animals!BA151,Leathers!$A$2:$A$100,Leathers!$B$2:$B$100,0)+(140*_xlfn.XLOOKUP(B151,Animals!B:B,Animals!AO:AO)*2),5)</f>
        <v>105</v>
      </c>
      <c r="AU151" s="8">
        <f>IFERROR(ROUND(SQRT(V151-1)*IF(_xlfn.XLOOKUP(E151,Groups!A:A,Groups!BF:BF)=0,2,1)*IF(_xlfn.XLOOKUP('Base stats'!E151,Groups!A:A,Groups!O:O)=0,1,0.1),1),0)</f>
        <v>1.1000000000000001</v>
      </c>
      <c r="AV151" s="8">
        <f t="shared" si="69"/>
        <v>0.4</v>
      </c>
      <c r="AW151" s="8">
        <f t="shared" si="70"/>
        <v>0</v>
      </c>
      <c r="AX151" s="8">
        <f t="shared" si="7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stats'!AY151,IF(OR(_xlfn.XLOOKUP(E151,Groups!A:A,Groups!BD:BD)=1,_xlfn.XLOOKUP(E151,Groups!A:A,Groups!U:U)=2),BA151,IF(_xlfn.XLOOKUP(B151,Animals!B:B,Animals!AO:AO)&gt;4,AVERAGE(BA151,BC151),BC151))))</f>
        <v>No</v>
      </c>
      <c r="BA151" s="8">
        <f t="shared" si="72"/>
        <v>0.16163204285849328</v>
      </c>
      <c r="BB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EXP(1.076*LN(AO151)-4.5397)*IF(_xlfn.XLOOKUP(E151,Groups!A:A,Groups!BC:BC)=1,1.25,IF(_xlfn.XLOOKUP(E151,Groups!A:A,Groups!BD:BD)=1,3.5,2.5))</f>
        <v>9.260217158407297</v>
      </c>
      <c r="BE151" s="8">
        <f>EXP(1.076*LN(AP151)-4.5397)*IF(_xlfn.XLOOKUP(E151,Groups!A:A,Groups!M:M)=1,0.8,IF(_xlfn.XLOOKUP(E151,Groups!A:A,Groups!BC:BC)=1,1.3,3))</f>
        <v>13.711693256346145</v>
      </c>
      <c r="BF151" s="8" t="str">
        <f>IF(W151="No","No",IF(_xlfn.XLOOKUP(E151,Groups!A:A,Groups!U:U)=1,'Base stats'!BG151,IF(OR(_xlfn.XLOOKUP(E151,Groups!A:A,Groups!BD:BD)=1,_xlfn.XLOOKUP(E151,Groups!A:A,Groups!U:U)=2),BD151,BE151))*1.2)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77"/>
        <v>10</v>
      </c>
      <c r="BI151" s="8">
        <f t="shared" si="78"/>
        <v>10</v>
      </c>
      <c r="BJ151" s="8" t="str">
        <f t="shared" si="73"/>
        <v>No</v>
      </c>
      <c r="BK151" s="8">
        <f t="shared" si="74"/>
        <v>8</v>
      </c>
      <c r="BL151" s="8">
        <f t="shared" si="79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N151" s="8" t="str">
        <f>IF(W151="No","No",IF(_xlfn.XLOOKUP(E151,Groups!A:A,Groups!BD:BD)=1,(AL151*5%),EXP(0.7354*LN(C151)^0.4078)*2/IF(_xlfn.XLOOKUP(E151,Groups!A:A,Groups!BL:BL)=1,1000,100)))</f>
        <v>No</v>
      </c>
      <c r="BO151" s="8">
        <f>IF(BG151="No","No",IF(_xlfn.XLOOKUP(E151,Groups!A:A,Groups!BF:BF)=1,(0.0315*C151+2.1825)*2,(0.7354*C151^0.4078)*2)/IF(_xlfn.XLOOKUP(E151,Groups!A:A,Groups!BM:BM)=1,1000,100))</f>
        <v>2.9476337872033787E-2</v>
      </c>
      <c r="BP151" s="8">
        <f t="shared" si="75"/>
        <v>5.5092494884551362E-2</v>
      </c>
      <c r="BQ151" s="8">
        <f t="shared" si="80"/>
        <v>465.17628193410565</v>
      </c>
      <c r="BR151" s="8" t="str">
        <f t="shared" si="76"/>
        <v>No</v>
      </c>
      <c r="BS151" s="8">
        <f t="shared" si="81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1328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6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6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IFERROR(AVERAGE(_xlfn.XLOOKUP(B152,Animals!B:B,Animals!N:N),_xlfn.XLOOKUP(B152,Animals!B:B,Animals!O:O)),0)</f>
        <v>0</v>
      </c>
      <c r="AT152" s="8">
        <f>MROUND(40*Animals!AO152*_xlfn.XLOOKUP(Animals!BA152,Leathers!$A$2:$A$100,Leathers!$B$2:$B$100,0)+(140*_xlfn.XLOOKUP(B152,Animals!B:B,Animals!AO:AO)*2),5)</f>
        <v>105</v>
      </c>
      <c r="AU152" s="8">
        <f>IFERROR(ROUND(SQRT(V152-1)*IF(_xlfn.XLOOKUP(E152,Groups!A:A,Groups!BF:BF)=0,2,1)*IF(_xlfn.XLOOKUP('Base stats'!E152,Groups!A:A,Groups!O:O)=0,1,0.1),1),0)</f>
        <v>1.1000000000000001</v>
      </c>
      <c r="AV152" s="8">
        <f t="shared" si="69"/>
        <v>0.4</v>
      </c>
      <c r="AW152" s="8">
        <f t="shared" si="70"/>
        <v>0</v>
      </c>
      <c r="AX152" s="8">
        <f t="shared" si="7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stats'!AY152,IF(OR(_xlfn.XLOOKUP(E152,Groups!A:A,Groups!BD:BD)=1,_xlfn.XLOOKUP(E152,Groups!A:A,Groups!U:U)=2),BA152,IF(_xlfn.XLOOKUP(B152,Animals!B:B,Animals!AO:AO)&gt;4,AVERAGE(BA152,BC152),BC152))))</f>
        <v>No</v>
      </c>
      <c r="BA152" s="8">
        <f t="shared" si="72"/>
        <v>0.1493241807173129</v>
      </c>
      <c r="BB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EXP(1.076*LN(AO152)-4.5397)*IF(_xlfn.XLOOKUP(E152,Groups!A:A,Groups!BC:BC)=1,1.25,IF(_xlfn.XLOOKUP(E152,Groups!A:A,Groups!BD:BD)=1,3.5,2.5))</f>
        <v>8.4917944979407451</v>
      </c>
      <c r="BE152" s="8">
        <f>EXP(1.076*LN(AP152)-4.5397)*IF(_xlfn.XLOOKUP(E152,Groups!A:A,Groups!M:M)=1,0.8,IF(_xlfn.XLOOKUP(E152,Groups!A:A,Groups!BC:BC)=1,1.3,3))</f>
        <v>12.641115428827339</v>
      </c>
      <c r="BF152" s="8" t="str">
        <f>IF(W152="No","No",IF(_xlfn.XLOOKUP(E152,Groups!A:A,Groups!U:U)=1,'Base stats'!BG152,IF(OR(_xlfn.XLOOKUP(E152,Groups!A:A,Groups!BD:BD)=1,_xlfn.XLOOKUP(E152,Groups!A:A,Groups!U:U)=2),BD152,BE152))*1.2)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77"/>
        <v>10</v>
      </c>
      <c r="BI152" s="8">
        <f t="shared" si="78"/>
        <v>10</v>
      </c>
      <c r="BJ152" s="8" t="str">
        <f t="shared" si="73"/>
        <v>No</v>
      </c>
      <c r="BK152" s="8">
        <f t="shared" si="74"/>
        <v>8</v>
      </c>
      <c r="BL152" s="8">
        <f t="shared" si="79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N152" s="8" t="str">
        <f>IF(W152="No","No",IF(_xlfn.XLOOKUP(E152,Groups!A:A,Groups!BD:BD)=1,(AL152*5%),EXP(0.7354*LN(C152)^0.4078)*2/IF(_xlfn.XLOOKUP(E152,Groups!A:A,Groups!BL:BL)=1,1000,100)))</f>
        <v>No</v>
      </c>
      <c r="BO152" s="8">
        <f>IF(BG152="No","No",IF(_xlfn.XLOOKUP(E152,Groups!A:A,Groups!BF:BF)=1,(0.0315*C152+2.1825)*2,(0.7354*C152^0.4078)*2)/IF(_xlfn.XLOOKUP(E152,Groups!A:A,Groups!BM:BM)=1,1000,100))</f>
        <v>2.8352645574082073E-2</v>
      </c>
      <c r="BP152" s="8">
        <f t="shared" si="75"/>
        <v>5.3749693206580677E-2</v>
      </c>
      <c r="BQ152" s="8">
        <f t="shared" si="80"/>
        <v>445.85311786152778</v>
      </c>
      <c r="BR152" s="8" t="str">
        <f t="shared" si="76"/>
        <v>No</v>
      </c>
      <c r="BS152" s="8">
        <f t="shared" si="81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1329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6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6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IFERROR(AVERAGE(_xlfn.XLOOKUP(B153,Animals!B:B,Animals!N:N),_xlfn.XLOOKUP(B153,Animals!B:B,Animals!O:O)),0)</f>
        <v>0</v>
      </c>
      <c r="AT153" s="8">
        <f>MROUND(40*Animals!AO153*_xlfn.XLOOKUP(Animals!BA153,Leathers!$A$2:$A$100,Leathers!$B$2:$B$100,0)+(140*_xlfn.XLOOKUP(B153,Animals!B:B,Animals!AO:AO)*2),5)</f>
        <v>125</v>
      </c>
      <c r="AU153" s="8">
        <f>IFERROR(ROUND(SQRT(V153-1)*IF(_xlfn.XLOOKUP(E153,Groups!A:A,Groups!BF:BF)=0,2,1)*IF(_xlfn.XLOOKUP('Base stats'!E153,Groups!A:A,Groups!O:O)=0,1,0.1),1),0)</f>
        <v>1.4</v>
      </c>
      <c r="AV153" s="8">
        <f t="shared" si="69"/>
        <v>0.7</v>
      </c>
      <c r="AW153" s="8">
        <f t="shared" si="70"/>
        <v>0</v>
      </c>
      <c r="AX153" s="8">
        <f t="shared" si="7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stats'!AY153,IF(OR(_xlfn.XLOOKUP(E153,Groups!A:A,Groups!BD:BD)=1,_xlfn.XLOOKUP(E153,Groups!A:A,Groups!U:U)=2),BA153,IF(_xlfn.XLOOKUP(B153,Animals!B:B,Animals!AO:AO)&gt;4,AVERAGE(BA153,BC153),BC153))))</f>
        <v>No</v>
      </c>
      <c r="BA153" s="8">
        <f t="shared" si="72"/>
        <v>0.21146678480123707</v>
      </c>
      <c r="BB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EXP(1.076*LN(AO153)-4.5397)*IF(_xlfn.XLOOKUP(E153,Groups!A:A,Groups!BC:BC)=1,1.25,IF(_xlfn.XLOOKUP(E153,Groups!A:A,Groups!BD:BD)=1,3.5,2.5))</f>
        <v>12.424433719180858</v>
      </c>
      <c r="BE153" s="8">
        <f>EXP(1.076*LN(AP153)-4.5397)*IF(_xlfn.XLOOKUP(E153,Groups!A:A,Groups!M:M)=1,0.8,IF(_xlfn.XLOOKUP(E153,Groups!A:A,Groups!BC:BC)=1,1.3,3))</f>
        <v>18.067081867050479</v>
      </c>
      <c r="BF153" s="8" t="str">
        <f>IF(W153="No","No",IF(_xlfn.XLOOKUP(E153,Groups!A:A,Groups!U:U)=1,'Base stats'!BG153,IF(OR(_xlfn.XLOOKUP(E153,Groups!A:A,Groups!BD:BD)=1,_xlfn.XLOOKUP(E153,Groups!A:A,Groups!U:U)=2),BD153,BE153))*1.2)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77"/>
        <v>10</v>
      </c>
      <c r="BI153" s="8">
        <f t="shared" si="78"/>
        <v>10</v>
      </c>
      <c r="BJ153" s="8" t="str">
        <f t="shared" si="73"/>
        <v>No</v>
      </c>
      <c r="BK153" s="8">
        <f t="shared" si="74"/>
        <v>8</v>
      </c>
      <c r="BL153" s="8">
        <f t="shared" si="79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N153" s="8" t="str">
        <f>IF(W153="No","No",IF(_xlfn.XLOOKUP(E153,Groups!A:A,Groups!BD:BD)=1,(AL153*5%),EXP(0.7354*LN(C153)^0.4078)*2/IF(_xlfn.XLOOKUP(E153,Groups!A:A,Groups!BL:BL)=1,1000,100)))</f>
        <v>No</v>
      </c>
      <c r="BO153" s="8">
        <f>IF(BG153="No","No",IF(_xlfn.XLOOKUP(E153,Groups!A:A,Groups!BF:BF)=1,(0.0315*C153+2.1825)*2,(0.7354*C153^0.4078)*2)/IF(_xlfn.XLOOKUP(E153,Groups!A:A,Groups!BM:BM)=1,1000,100))</f>
        <v>3.3631745204606232E-2</v>
      </c>
      <c r="BP153" s="8">
        <f t="shared" si="75"/>
        <v>5.9903856928911113E-2</v>
      </c>
      <c r="BQ153" s="8">
        <f t="shared" si="80"/>
        <v>537.20322145447267</v>
      </c>
      <c r="BR153" s="8" t="str">
        <f t="shared" si="76"/>
        <v>No</v>
      </c>
      <c r="BS153" s="8">
        <f t="shared" si="81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1330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6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6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IFERROR(AVERAGE(_xlfn.XLOOKUP(B154,Animals!B:B,Animals!N:N),_xlfn.XLOOKUP(B154,Animals!B:B,Animals!O:O)),0)</f>
        <v>0</v>
      </c>
      <c r="AT154" s="8">
        <f>MROUND(40*Animals!AO154*_xlfn.XLOOKUP(Animals!BA154,Leathers!$A$2:$A$100,Leathers!$B$2:$B$100,0)+(140*_xlfn.XLOOKUP(B154,Animals!B:B,Animals!AO:AO)*2),5)</f>
        <v>90</v>
      </c>
      <c r="AU154" s="8">
        <f>IFERROR(ROUND(SQRT(V154-1)*IF(_xlfn.XLOOKUP(E154,Groups!A:A,Groups!BF:BF)=0,2,1)*IF(_xlfn.XLOOKUP('Base stats'!E154,Groups!A:A,Groups!O:O)=0,1,0.1),1),0)</f>
        <v>0.6</v>
      </c>
      <c r="AV154" s="8">
        <f t="shared" si="69"/>
        <v>0.4</v>
      </c>
      <c r="AW154" s="8">
        <f t="shared" si="70"/>
        <v>0</v>
      </c>
      <c r="AX154" s="8">
        <f t="shared" si="7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stats'!AY154,IF(OR(_xlfn.XLOOKUP(E154,Groups!A:A,Groups!BD:BD)=1,_xlfn.XLOOKUP(E154,Groups!A:A,Groups!U:U)=2),BA154,IF(_xlfn.XLOOKUP(B154,Animals!B:B,Animals!AO:AO)&gt;4,AVERAGE(BA154,BC154),BC154))))</f>
        <v>No</v>
      </c>
      <c r="BA154" s="8">
        <f t="shared" si="72"/>
        <v>0.10837897693409064</v>
      </c>
      <c r="BB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EXP(1.076*LN(AO154)-4.5397)*IF(_xlfn.XLOOKUP(E154,Groups!A:A,Groups!BC:BC)=1,1.25,IF(_xlfn.XLOOKUP(E154,Groups!A:A,Groups!BD:BD)=1,3.5,2.5))</f>
        <v>5.9809103875987466</v>
      </c>
      <c r="BE154" s="8">
        <f>EXP(1.076*LN(AP154)-4.5397)*IF(_xlfn.XLOOKUP(E154,Groups!A:A,Groups!M:M)=1,0.8,IF(_xlfn.XLOOKUP(E154,Groups!A:A,Groups!BC:BC)=1,1.3,3))</f>
        <v>9.0975547529585494</v>
      </c>
      <c r="BF154" s="8" t="str">
        <f>IF(W154="No","No",IF(_xlfn.XLOOKUP(E154,Groups!A:A,Groups!U:U)=1,'Base stats'!BG154,IF(OR(_xlfn.XLOOKUP(E154,Groups!A:A,Groups!BD:BD)=1,_xlfn.XLOOKUP(E154,Groups!A:A,Groups!U:U)=2),BD154,BE154))*1.2)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77"/>
        <v>10</v>
      </c>
      <c r="BI154" s="8">
        <f t="shared" si="78"/>
        <v>9</v>
      </c>
      <c r="BJ154" s="8" t="str">
        <f t="shared" si="73"/>
        <v>No</v>
      </c>
      <c r="BK154" s="8">
        <f t="shared" si="74"/>
        <v>8</v>
      </c>
      <c r="BL154" s="8">
        <f t="shared" si="79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N154" s="8" t="str">
        <f>IF(W154="No","No",IF(_xlfn.XLOOKUP(E154,Groups!A:A,Groups!BD:BD)=1,(AL154*5%),EXP(0.7354*LN(C154)^0.4078)*2/IF(_xlfn.XLOOKUP(E154,Groups!A:A,Groups!BL:BL)=1,1000,100)))</f>
        <v>No</v>
      </c>
      <c r="BO154" s="8">
        <f>IF(BG154="No","No",IF(_xlfn.XLOOKUP(E154,Groups!A:A,Groups!BF:BF)=1,(0.0315*C154+2.1825)*2,(0.7354*C154^0.4078)*2)/IF(_xlfn.XLOOKUP(E154,Groups!A:A,Groups!BM:BM)=1,1000,100))</f>
        <v>2.4226502642868641E-2</v>
      </c>
      <c r="BP154" s="8">
        <f t="shared" si="75"/>
        <v>4.8642178397101443E-2</v>
      </c>
      <c r="BQ154" s="8">
        <f t="shared" si="80"/>
        <v>375.52076282197186</v>
      </c>
      <c r="BR154" s="8" t="str">
        <f t="shared" si="76"/>
        <v>No</v>
      </c>
      <c r="BS154" s="8">
        <f t="shared" si="81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1331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6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6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IFERROR(AVERAGE(_xlfn.XLOOKUP(B155,Animals!B:B,Animals!N:N),_xlfn.XLOOKUP(B155,Animals!B:B,Animals!O:O)),0)</f>
        <v>0</v>
      </c>
      <c r="AT155" s="8">
        <f>MROUND(40*Animals!AO155*_xlfn.XLOOKUP(Animals!BA155,Leathers!$A$2:$A$100,Leathers!$B$2:$B$100,0)+(140*_xlfn.XLOOKUP(B155,Animals!B:B,Animals!AO:AO)*2),5)</f>
        <v>125</v>
      </c>
      <c r="AU155" s="8">
        <f>IFERROR(ROUND(SQRT(V155-1)*IF(_xlfn.XLOOKUP(E155,Groups!A:A,Groups!BF:BF)=0,2,1)*IF(_xlfn.XLOOKUP('Base stats'!E155,Groups!A:A,Groups!O:O)=0,1,0.1),1),0)</f>
        <v>1.3</v>
      </c>
      <c r="AV155" s="8">
        <f t="shared" si="69"/>
        <v>0.7</v>
      </c>
      <c r="AW155" s="8">
        <f t="shared" si="70"/>
        <v>0</v>
      </c>
      <c r="AX155" s="8">
        <f t="shared" si="7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stats'!AY155,IF(OR(_xlfn.XLOOKUP(E155,Groups!A:A,Groups!BD:BD)=1,_xlfn.XLOOKUP(E155,Groups!A:A,Groups!U:U)=2),BA155,IF(_xlfn.XLOOKUP(B155,Animals!B:B,Animals!AO:AO)&gt;4,AVERAGE(BA155,BC155),BC155))))</f>
        <v>No</v>
      </c>
      <c r="BA155" s="8">
        <f t="shared" si="72"/>
        <v>0.18034457253799871</v>
      </c>
      <c r="BB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EXP(1.076*LN(AO155)-4.5397)*IF(_xlfn.XLOOKUP(E155,Groups!A:A,Groups!BC:BC)=1,1.25,IF(_xlfn.XLOOKUP(E155,Groups!A:A,Groups!BD:BD)=1,3.5,2.5))</f>
        <v>10.438941934006483</v>
      </c>
      <c r="BE155" s="8">
        <f>EXP(1.076*LN(AP155)-4.5397)*IF(_xlfn.XLOOKUP(E155,Groups!A:A,Groups!M:M)=1,0.8,IF(_xlfn.XLOOKUP(E155,Groups!A:A,Groups!BC:BC)=1,1.3,3))</f>
        <v>15.343452367379893</v>
      </c>
      <c r="BF155" s="8" t="str">
        <f>IF(W155="No","No",IF(_xlfn.XLOOKUP(E155,Groups!A:A,Groups!U:U)=1,'Base stats'!BG155,IF(OR(_xlfn.XLOOKUP(E155,Groups!A:A,Groups!BD:BD)=1,_xlfn.XLOOKUP(E155,Groups!A:A,Groups!U:U)=2),BD155,BE155))*1.2)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77"/>
        <v>10</v>
      </c>
      <c r="BI155" s="8">
        <f t="shared" si="78"/>
        <v>10</v>
      </c>
      <c r="BJ155" s="8" t="str">
        <f t="shared" si="73"/>
        <v>No</v>
      </c>
      <c r="BK155" s="8">
        <f t="shared" si="74"/>
        <v>8</v>
      </c>
      <c r="BL155" s="8">
        <f t="shared" si="79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N155" s="8" t="str">
        <f>IF(W155="No","No",IF(_xlfn.XLOOKUP(E155,Groups!A:A,Groups!BD:BD)=1,(AL155*5%),EXP(0.7354*LN(C155)^0.4078)*2/IF(_xlfn.XLOOKUP(E155,Groups!A:A,Groups!BL:BL)=1,1000,100)))</f>
        <v>No</v>
      </c>
      <c r="BO155" s="8">
        <f>IF(BG155="No","No",IF(_xlfn.XLOOKUP(E155,Groups!A:A,Groups!BF:BF)=1,(0.0315*C155+2.1825)*2,(0.7354*C155^0.4078)*2)/IF(_xlfn.XLOOKUP(E155,Groups!A:A,Groups!BM:BM)=1,1000,100))</f>
        <v>3.1104304893828406E-2</v>
      </c>
      <c r="BP155" s="8">
        <f t="shared" si="75"/>
        <v>5.700521318106129E-2</v>
      </c>
      <c r="BQ155" s="8">
        <f t="shared" si="80"/>
        <v>493.29031527157775</v>
      </c>
      <c r="BR155" s="8" t="str">
        <f t="shared" si="76"/>
        <v>No</v>
      </c>
      <c r="BS155" s="8">
        <f t="shared" si="81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1332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6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6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IFERROR(AVERAGE(_xlfn.XLOOKUP(B156,Animals!B:B,Animals!N:N),_xlfn.XLOOKUP(B156,Animals!B:B,Animals!O:O)),0)</f>
        <v>0</v>
      </c>
      <c r="AT156" s="8">
        <f>MROUND(40*Animals!AO156*_xlfn.XLOOKUP(Animals!BA156,Leathers!$A$2:$A$100,Leathers!$B$2:$B$100,0)+(140*_xlfn.XLOOKUP(B156,Animals!B:B,Animals!AO:AO)*2),5)</f>
        <v>90</v>
      </c>
      <c r="AU156" s="8">
        <f>IFERROR(ROUND(SQRT(V156-1)*IF(_xlfn.XLOOKUP(E156,Groups!A:A,Groups!BF:BF)=0,2,1)*IF(_xlfn.XLOOKUP('Base stats'!E156,Groups!A:A,Groups!O:O)=0,1,0.1),1),0)</f>
        <v>0.8</v>
      </c>
      <c r="AV156" s="8">
        <f t="shared" si="69"/>
        <v>0.4</v>
      </c>
      <c r="AW156" s="8">
        <f t="shared" si="70"/>
        <v>0</v>
      </c>
      <c r="AX156" s="8">
        <f t="shared" si="7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stats'!AY156,IF(OR(_xlfn.XLOOKUP(E156,Groups!A:A,Groups!BD:BD)=1,_xlfn.XLOOKUP(E156,Groups!A:A,Groups!U:U)=2),BA156,IF(_xlfn.XLOOKUP(B156,Animals!B:B,Animals!AO:AO)&gt;4,AVERAGE(BA156,BC156),BC156))))</f>
        <v>No</v>
      </c>
      <c r="BA156" s="8">
        <f t="shared" si="72"/>
        <v>0.11233777773345578</v>
      </c>
      <c r="BB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EXP(1.076*LN(AO156)-4.5397)*IF(_xlfn.XLOOKUP(E156,Groups!A:A,Groups!BC:BC)=1,1.25,IF(_xlfn.XLOOKUP(E156,Groups!A:A,Groups!BD:BD)=1,3.5,2.5))</f>
        <v>6.2202609623361447</v>
      </c>
      <c r="BE156" s="8">
        <f>EXP(1.076*LN(AP156)-4.5397)*IF(_xlfn.XLOOKUP(E156,Groups!A:A,Groups!M:M)=1,0.8,IF(_xlfn.XLOOKUP(E156,Groups!A:A,Groups!BC:BC)=1,1.3,3))</f>
        <v>9.438802947558786</v>
      </c>
      <c r="BF156" s="8" t="str">
        <f>IF(W156="No","No",IF(_xlfn.XLOOKUP(E156,Groups!A:A,Groups!U:U)=1,'Base stats'!BG156,IF(OR(_xlfn.XLOOKUP(E156,Groups!A:A,Groups!BD:BD)=1,_xlfn.XLOOKUP(E156,Groups!A:A,Groups!U:U)=2),BD156,BE156))*1.2)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77"/>
        <v>10</v>
      </c>
      <c r="BI156" s="8">
        <f t="shared" si="78"/>
        <v>9</v>
      </c>
      <c r="BJ156" s="8" t="str">
        <f t="shared" si="73"/>
        <v>No</v>
      </c>
      <c r="BK156" s="8">
        <f t="shared" si="74"/>
        <v>8</v>
      </c>
      <c r="BL156" s="8">
        <f t="shared" si="79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N156" s="8" t="str">
        <f>IF(W156="No","No",IF(_xlfn.XLOOKUP(E156,Groups!A:A,Groups!BD:BD)=1,(AL156*5%),EXP(0.7354*LN(C156)^0.4078)*2/IF(_xlfn.XLOOKUP(E156,Groups!A:A,Groups!BL:BL)=1,1000,100)))</f>
        <v>No</v>
      </c>
      <c r="BO156" s="8">
        <f>IF(BG156="No","No",IF(_xlfn.XLOOKUP(E156,Groups!A:A,Groups!BF:BF)=1,(0.0315*C156+2.1825)*2,(0.7354*C156^0.4078)*2)/IF(_xlfn.XLOOKUP(E156,Groups!A:A,Groups!BM:BM)=1,1000,100))</f>
        <v>2.4656801766078776E-2</v>
      </c>
      <c r="BP156" s="8">
        <f t="shared" si="75"/>
        <v>4.9188909292031374E-2</v>
      </c>
      <c r="BQ156" s="8">
        <f t="shared" si="80"/>
        <v>382.80726904914638</v>
      </c>
      <c r="BR156" s="8" t="str">
        <f t="shared" si="76"/>
        <v>No</v>
      </c>
      <c r="BS156" s="8">
        <f t="shared" si="81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1333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6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6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IFERROR(AVERAGE(_xlfn.XLOOKUP(B157,Animals!B:B,Animals!N:N),_xlfn.XLOOKUP(B157,Animals!B:B,Animals!O:O)),0)</f>
        <v>0</v>
      </c>
      <c r="AT157" s="8">
        <f>MROUND(40*Animals!AO157*_xlfn.XLOOKUP(Animals!BA157,Leathers!$A$2:$A$100,Leathers!$B$2:$B$100,0)+(140*_xlfn.XLOOKUP(B157,Animals!B:B,Animals!AO:AO)*2),5)</f>
        <v>105</v>
      </c>
      <c r="AU157" s="8">
        <f>IFERROR(ROUND(SQRT(V157-1)*IF(_xlfn.XLOOKUP(E157,Groups!A:A,Groups!BF:BF)=0,2,1)*IF(_xlfn.XLOOKUP('Base stats'!E157,Groups!A:A,Groups!O:O)=0,1,0.1),1),0)</f>
        <v>1</v>
      </c>
      <c r="AV157" s="8">
        <f t="shared" si="69"/>
        <v>0.4</v>
      </c>
      <c r="AW157" s="8">
        <f t="shared" si="70"/>
        <v>0</v>
      </c>
      <c r="AX157" s="8">
        <f t="shared" si="7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stats'!AY157,IF(OR(_xlfn.XLOOKUP(E157,Groups!A:A,Groups!BD:BD)=1,_xlfn.XLOOKUP(E157,Groups!A:A,Groups!U:U)=2),BA157,IF(_xlfn.XLOOKUP(B157,Animals!B:B,Animals!AO:AO)&gt;4,AVERAGE(BA157,BC157),BC157))))</f>
        <v>No</v>
      </c>
      <c r="BA157" s="8">
        <f t="shared" si="72"/>
        <v>0.13869827820527736</v>
      </c>
      <c r="BB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EXP(1.076*LN(AO157)-4.5397)*IF(_xlfn.XLOOKUP(E157,Groups!A:A,Groups!BC:BC)=1,1.25,IF(_xlfn.XLOOKUP(E157,Groups!A:A,Groups!BD:BD)=1,3.5,2.5))</f>
        <v>7.8331278690013058</v>
      </c>
      <c r="BE157" s="8">
        <f>EXP(1.076*LN(AP157)-4.5397)*IF(_xlfn.XLOOKUP(E157,Groups!A:A,Groups!M:M)=1,0.8,IF(_xlfn.XLOOKUP(E157,Groups!A:A,Groups!BC:BC)=1,1.3,3))</f>
        <v>11.718707229744618</v>
      </c>
      <c r="BF157" s="8" t="str">
        <f>IF(W157="No","No",IF(_xlfn.XLOOKUP(E157,Groups!A:A,Groups!U:U)=1,'Base stats'!BG157,IF(OR(_xlfn.XLOOKUP(E157,Groups!A:A,Groups!BD:BD)=1,_xlfn.XLOOKUP(E157,Groups!A:A,Groups!U:U)=2),BD157,BE157))*1.2)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77"/>
        <v>10</v>
      </c>
      <c r="BI157" s="8">
        <f t="shared" si="78"/>
        <v>10</v>
      </c>
      <c r="BJ157" s="8" t="str">
        <f t="shared" si="73"/>
        <v>No</v>
      </c>
      <c r="BK157" s="8">
        <f t="shared" si="74"/>
        <v>8</v>
      </c>
      <c r="BL157" s="8">
        <f t="shared" si="79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N157" s="8" t="str">
        <f>IF(W157="No","No",IF(_xlfn.XLOOKUP(E157,Groups!A:A,Groups!BD:BD)=1,(AL157*5%),EXP(0.7354*LN(C157)^0.4078)*2/IF(_xlfn.XLOOKUP(E157,Groups!A:A,Groups!BL:BL)=1,1000,100)))</f>
        <v>No</v>
      </c>
      <c r="BO157" s="8">
        <f>IF(BG157="No","No",IF(_xlfn.XLOOKUP(E157,Groups!A:A,Groups!BF:BF)=1,(0.0315*C157+2.1825)*2,(0.7354*C157^0.4078)*2)/IF(_xlfn.XLOOKUP(E157,Groups!A:A,Groups!BM:BM)=1,1000,100))</f>
        <v>2.7343941177838019E-2</v>
      </c>
      <c r="BP157" s="8">
        <f t="shared" si="75"/>
        <v>5.2527655729803606E-2</v>
      </c>
      <c r="BQ157" s="8">
        <f t="shared" si="80"/>
        <v>428.56686801398291</v>
      </c>
      <c r="BR157" s="8" t="str">
        <f t="shared" si="76"/>
        <v>No</v>
      </c>
      <c r="BS157" s="8">
        <f t="shared" si="81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6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6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IFERROR(AVERAGE(_xlfn.XLOOKUP(B158,Animals!B:B,Animals!N:N),_xlfn.XLOOKUP(B158,Animals!B:B,Animals!O:O)),0)</f>
        <v>0</v>
      </c>
      <c r="AT158" s="8">
        <f>MROUND(40*Animals!AO158*_xlfn.XLOOKUP(Animals!BA158,Leathers!$A$2:$A$100,Leathers!$B$2:$B$100,0)+(140*_xlfn.XLOOKUP(B158,Animals!B:B,Animals!AO:AO)*2),5)</f>
        <v>105</v>
      </c>
      <c r="AU158" s="8">
        <f>IFERROR(ROUND(SQRT(V158-1)*IF(_xlfn.XLOOKUP(E158,Groups!A:A,Groups!BF:BF)=0,2,1)*IF(_xlfn.XLOOKUP('Base stats'!E158,Groups!A:A,Groups!O:O)=0,1,0.1),1),0)</f>
        <v>1</v>
      </c>
      <c r="AV158" s="8">
        <f t="shared" si="69"/>
        <v>0.4</v>
      </c>
      <c r="AW158" s="8">
        <f t="shared" si="70"/>
        <v>0</v>
      </c>
      <c r="AX158" s="8">
        <f t="shared" si="7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stats'!AY158,IF(OR(_xlfn.XLOOKUP(E158,Groups!A:A,Groups!BD:BD)=1,_xlfn.XLOOKUP(E158,Groups!A:A,Groups!U:U)=2),BA158,IF(_xlfn.XLOOKUP(B158,Animals!B:B,Animals!AO:AO)&gt;4,AVERAGE(BA158,BC158),BC158))))</f>
        <v>No</v>
      </c>
      <c r="BA158" s="8">
        <f t="shared" si="72"/>
        <v>0.1368061641182855</v>
      </c>
      <c r="BB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EXP(1.076*LN(AO158)-4.5397)*IF(_xlfn.XLOOKUP(E158,Groups!A:A,Groups!BC:BC)=1,1.25,IF(_xlfn.XLOOKUP(E158,Groups!A:A,Groups!BD:BD)=1,3.5,2.5))</f>
        <v>7.716326944216144</v>
      </c>
      <c r="BE158" s="8">
        <f>EXP(1.076*LN(AP158)-4.5397)*IF(_xlfn.XLOOKUP(E158,Groups!A:A,Groups!M:M)=1,0.8,IF(_xlfn.XLOOKUP(E158,Groups!A:A,Groups!BC:BC)=1,1.3,3))</f>
        <v>11.55464920650892</v>
      </c>
      <c r="BF158" s="8" t="str">
        <f>IF(W158="No","No",IF(_xlfn.XLOOKUP(E158,Groups!A:A,Groups!U:U)=1,'Base stats'!BG158,IF(OR(_xlfn.XLOOKUP(E158,Groups!A:A,Groups!BD:BD)=1,_xlfn.XLOOKUP(E158,Groups!A:A,Groups!U:U)=2),BD158,BE158))*1.2)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77"/>
        <v>10</v>
      </c>
      <c r="BI158" s="8">
        <f t="shared" si="78"/>
        <v>10</v>
      </c>
      <c r="BJ158" s="8" t="str">
        <f t="shared" si="73"/>
        <v>No</v>
      </c>
      <c r="BK158" s="8">
        <f t="shared" si="74"/>
        <v>8</v>
      </c>
      <c r="BL158" s="8">
        <f t="shared" si="79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N158" s="8" t="str">
        <f>IF(W158="No","No",IF(_xlfn.XLOOKUP(E158,Groups!A:A,Groups!BD:BD)=1,(AL158*5%),EXP(0.7354*LN(C158)^0.4078)*2/IF(_xlfn.XLOOKUP(E158,Groups!A:A,Groups!BL:BL)=1,1000,100)))</f>
        <v>No</v>
      </c>
      <c r="BO158" s="8">
        <f>IF(BG158="No","No",IF(_xlfn.XLOOKUP(E158,Groups!A:A,Groups!BF:BF)=1,(0.0315*C158+2.1825)*2,(0.7354*C158^0.4078)*2)/IF(_xlfn.XLOOKUP(E158,Groups!A:A,Groups!BM:BM)=1,1000,100))</f>
        <v>2.7160245069965436E-2</v>
      </c>
      <c r="BP158" s="8">
        <f t="shared" si="75"/>
        <v>5.2303349694325998E-2</v>
      </c>
      <c r="BQ158" s="8">
        <f t="shared" si="80"/>
        <v>425.4250717084426</v>
      </c>
      <c r="BR158" s="8" t="str">
        <f t="shared" si="76"/>
        <v>No</v>
      </c>
      <c r="BS158" s="8">
        <f t="shared" si="81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6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6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IFERROR(AVERAGE(_xlfn.XLOOKUP(B159,Animals!B:B,Animals!N:N),_xlfn.XLOOKUP(B159,Animals!B:B,Animals!O:O)),0)</f>
        <v>0</v>
      </c>
      <c r="AT159" s="8">
        <f>MROUND(40*Animals!AO159*_xlfn.XLOOKUP(Animals!BA159,Leathers!$A$2:$A$100,Leathers!$B$2:$B$100,0)+(140*_xlfn.XLOOKUP(B159,Animals!B:B,Animals!AO:AO)*2),5)</f>
        <v>105</v>
      </c>
      <c r="AU159" s="8">
        <f>IFERROR(ROUND(SQRT(V159-1)*IF(_xlfn.XLOOKUP(E159,Groups!A:A,Groups!BF:BF)=0,2,1)*IF(_xlfn.XLOOKUP('Base stats'!E159,Groups!A:A,Groups!O:O)=0,1,0.1),1),0)</f>
        <v>1.1000000000000001</v>
      </c>
      <c r="AV159" s="8">
        <f t="shared" si="69"/>
        <v>0.4</v>
      </c>
      <c r="AW159" s="8">
        <f t="shared" si="70"/>
        <v>0</v>
      </c>
      <c r="AX159" s="8">
        <f t="shared" si="7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stats'!AY159,IF(OR(_xlfn.XLOOKUP(E159,Groups!A:A,Groups!BD:BD)=1,_xlfn.XLOOKUP(E159,Groups!A:A,Groups!U:U)=2),BA159,IF(_xlfn.XLOOKUP(B159,Animals!B:B,Animals!AO:AO)&gt;4,AVERAGE(BA159,BC159),BC159))))</f>
        <v>No</v>
      </c>
      <c r="BA159" s="8">
        <f t="shared" si="72"/>
        <v>0.15550288405953519</v>
      </c>
      <c r="BB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EXP(1.076*LN(AO159)-4.5397)*IF(_xlfn.XLOOKUP(E159,Groups!A:A,Groups!BC:BC)=1,1.25,IF(_xlfn.XLOOKUP(E159,Groups!A:A,Groups!BD:BD)=1,3.5,2.5))</f>
        <v>8.8768395547731256</v>
      </c>
      <c r="BE159" s="8">
        <f>EXP(1.076*LN(AP159)-4.5397)*IF(_xlfn.XLOOKUP(E159,Groups!A:A,Groups!M:M)=1,0.8,IF(_xlfn.XLOOKUP(E159,Groups!A:A,Groups!BC:BC)=1,1.3,3))</f>
        <v>13.178279305671431</v>
      </c>
      <c r="BF159" s="8" t="str">
        <f>IF(W159="No","No",IF(_xlfn.XLOOKUP(E159,Groups!A:A,Groups!U:U)=1,'Base stats'!BG159,IF(OR(_xlfn.XLOOKUP(E159,Groups!A:A,Groups!BD:BD)=1,_xlfn.XLOOKUP(E159,Groups!A:A,Groups!U:U)=2),BD159,BE159))*1.2)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77"/>
        <v>10</v>
      </c>
      <c r="BI159" s="8">
        <f t="shared" si="78"/>
        <v>10</v>
      </c>
      <c r="BJ159" s="8" t="str">
        <f t="shared" si="73"/>
        <v>No</v>
      </c>
      <c r="BK159" s="8">
        <f t="shared" si="74"/>
        <v>8</v>
      </c>
      <c r="BL159" s="8">
        <f t="shared" si="79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N159" s="8" t="str">
        <f>IF(W159="No","No",IF(_xlfn.XLOOKUP(E159,Groups!A:A,Groups!BD:BD)=1,(AL159*5%),EXP(0.7354*LN(C159)^0.4078)*2/IF(_xlfn.XLOOKUP(E159,Groups!A:A,Groups!BL:BL)=1,1000,100)))</f>
        <v>No</v>
      </c>
      <c r="BO159" s="8">
        <f>IF(BG159="No","No",IF(_xlfn.XLOOKUP(E159,Groups!A:A,Groups!BF:BF)=1,(0.0315*C159+2.1825)*2,(0.7354*C159^0.4078)*2)/IF(_xlfn.XLOOKUP(E159,Groups!A:A,Groups!BM:BM)=1,1000,100))</f>
        <v>2.8922417112775739E-2</v>
      </c>
      <c r="BP159" s="8">
        <f t="shared" si="75"/>
        <v>5.4432946030093611E-2</v>
      </c>
      <c r="BQ159" s="8">
        <f t="shared" si="80"/>
        <v>455.64239165371356</v>
      </c>
      <c r="BR159" s="8" t="str">
        <f t="shared" si="76"/>
        <v>No</v>
      </c>
      <c r="BS159" s="8">
        <f t="shared" si="81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Groups!A30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6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6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IFERROR(AVERAGE(_xlfn.XLOOKUP(B160,Animals!B:B,Animals!N:N),_xlfn.XLOOKUP(B160,Animals!B:B,Animals!O:O)),0)</f>
        <v>1.3</v>
      </c>
      <c r="AT160" s="8">
        <f>MROUND(40*Animals!AO160*_xlfn.XLOOKUP(Animals!BA160,Leathers!$A$2:$A$100,Leathers!$B$2:$B$100,0)+(140*_xlfn.XLOOKUP(B160,Animals!B:B,Animals!AO:AO)*2),5)</f>
        <v>7280</v>
      </c>
      <c r="AU160" s="8">
        <f>IFERROR(ROUND(SQRT(V160-1)*IF(_xlfn.XLOOKUP(E160,Groups!A:A,Groups!BF:BF)=0,2,1)*IF(_xlfn.XLOOKUP('Base stats'!E160,Groups!A:A,Groups!O:O)=0,1,0.1),1),0)</f>
        <v>4</v>
      </c>
      <c r="AV160" s="8">
        <f t="shared" si="69"/>
        <v>3</v>
      </c>
      <c r="AW160" s="8">
        <f t="shared" si="70"/>
        <v>0</v>
      </c>
      <c r="AX160" s="8">
        <f t="shared" si="7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stats'!AY160,IF(OR(_xlfn.XLOOKUP(E160,Groups!A:A,Groups!BD:BD)=1,_xlfn.XLOOKUP(E160,Groups!A:A,Groups!U:U)=2),BA160,IF(_xlfn.XLOOKUP(B160,Animals!B:B,Animals!AO:AO)&gt;4,AVERAGE(BA160,BC160),BC160))))</f>
        <v>No</v>
      </c>
      <c r="BA160" s="8">
        <f t="shared" si="72"/>
        <v>82.658223477384908</v>
      </c>
      <c r="BB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EXP(1.076*LN(AO160)-4.5397)*IF(_xlfn.XLOOKUP(E160,Groups!A:A,Groups!BC:BC)=1,1.25,IF(_xlfn.XLOOKUP(E160,Groups!A:A,Groups!BD:BD)=1,3.5,2.5))</f>
        <v>8497.6021867907875</v>
      </c>
      <c r="BE160" s="8">
        <f>EXP(1.076*LN(AP160)-4.5397)*IF(_xlfn.XLOOKUP(E160,Groups!A:A,Groups!M:M)=1,0.8,IF(_xlfn.XLOOKUP(E160,Groups!A:A,Groups!BC:BC)=1,1.3,3))</f>
        <v>8267.6691089400374</v>
      </c>
      <c r="BF160" s="8" t="str">
        <f>IF(W160="No","No",IF(_xlfn.XLOOKUP(E160,Groups!A:A,Groups!U:U)=1,'Base stats'!BG160,IF(OR(_xlfn.XLOOKUP(E160,Groups!A:A,Groups!BD:BD)=1,_xlfn.XLOOKUP(E160,Groups!A:A,Groups!U:U)=2),BD160,BE160))*1.2)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77"/>
        <v>14</v>
      </c>
      <c r="BI160" s="8">
        <f t="shared" si="78"/>
        <v>17</v>
      </c>
      <c r="BJ160" s="8" t="str">
        <f t="shared" si="73"/>
        <v>No</v>
      </c>
      <c r="BK160" s="8">
        <f t="shared" si="74"/>
        <v>15</v>
      </c>
      <c r="BL160" s="8">
        <f t="shared" si="79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N160" s="8" t="str">
        <f>IF(W160="No","No",IF(_xlfn.XLOOKUP(E160,Groups!A:A,Groups!BD:BD)=1,(AL160*5%),EXP(0.7354*LN(C160)^0.4078)*2/IF(_xlfn.XLOOKUP(E160,Groups!A:A,Groups!BL:BL)=1,1000,100)))</f>
        <v>No</v>
      </c>
      <c r="BO160" s="8">
        <f>IF(BG160="No","No",IF(_xlfn.XLOOKUP(E160,Groups!A:A,Groups!BF:BF)=1,(0.0315*C160+2.1825)*2,(0.7354*C160^0.4078)*2)/IF(_xlfn.XLOOKUP(E160,Groups!A:A,Groups!BM:BM)=1,1000,100))</f>
        <v>6.2914916014378153E-2</v>
      </c>
      <c r="BP160" s="8">
        <f t="shared" si="75"/>
        <v>0.38459480420479092</v>
      </c>
      <c r="BQ160" s="8">
        <f t="shared" si="80"/>
        <v>131410.31781796546</v>
      </c>
      <c r="BR160" s="8" t="str">
        <f t="shared" si="76"/>
        <v>No</v>
      </c>
      <c r="BS160" s="8">
        <f t="shared" si="81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Groups!A17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1</v>
      </c>
      <c r="AK161" s="44" t="s">
        <v>40</v>
      </c>
      <c r="AL161" s="8">
        <f t="shared" si="6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6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IFERROR(AVERAGE(_xlfn.XLOOKUP(B161,Animals!B:B,Animals!N:N),_xlfn.XLOOKUP(B161,Animals!B:B,Animals!O:O)),0)</f>
        <v>0</v>
      </c>
      <c r="AT161" s="8">
        <f>MROUND(40*Animals!AO161*_xlfn.XLOOKUP(Animals!BA161,Leathers!$A$2:$A$100,Leathers!$B$2:$B$100,0)+(140*_xlfn.XLOOKUP(B161,Animals!B:B,Animals!AO:AO)*2),5)</f>
        <v>1120</v>
      </c>
      <c r="AU161" s="8">
        <f>IFERROR(ROUND(SQRT(V161-1)*IF(_xlfn.XLOOKUP(E161,Groups!A:A,Groups!BF:BF)=0,2,1)*IF(_xlfn.XLOOKUP('Base stats'!E161,Groups!A:A,Groups!O:O)=0,1,0.1),1),0)</f>
        <v>8.1999999999999993</v>
      </c>
      <c r="AV161" s="8">
        <f t="shared" si="69"/>
        <v>3.3</v>
      </c>
      <c r="AW161" s="8">
        <f t="shared" si="70"/>
        <v>0</v>
      </c>
      <c r="AX161" s="8">
        <f t="shared" si="7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stats'!AY161,IF(OR(_xlfn.XLOOKUP(E161,Groups!A:A,Groups!BD:BD)=1,_xlfn.XLOOKUP(E161,Groups!A:A,Groups!U:U)=2),BA161,IF(_xlfn.XLOOKUP(B161,Animals!B:B,Animals!AO:AO)&gt;4,AVERAGE(BA161,BC161),BC161))))</f>
        <v>No</v>
      </c>
      <c r="BA161" s="8">
        <f t="shared" si="72"/>
        <v>5.3270279725611278</v>
      </c>
      <c r="BB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EXP(1.076*LN(AO161)-4.5397)*IF(_xlfn.XLOOKUP(E161,Groups!A:A,Groups!BC:BC)=1,1.25,IF(_xlfn.XLOOKUP(E161,Groups!A:A,Groups!BD:BD)=1,3.5,2.5))</f>
        <v>423.51682908933856</v>
      </c>
      <c r="BE161" s="8">
        <f>EXP(1.076*LN(AP161)-4.5397)*IF(_xlfn.XLOOKUP(E161,Groups!A:A,Groups!M:M)=1,0.8,IF(_xlfn.XLOOKUP(E161,Groups!A:A,Groups!BC:BC)=1,1.3,3))</f>
        <v>495.60434376649175</v>
      </c>
      <c r="BF161" s="8" t="str">
        <f>IF(W161="No","No",IF(_xlfn.XLOOKUP(E161,Groups!A:A,Groups!U:U)=1,'Base stats'!BG161,IF(OR(_xlfn.XLOOKUP(E161,Groups!A:A,Groups!BD:BD)=1,_xlfn.XLOOKUP(E161,Groups!A:A,Groups!U:U)=2),BD161,BE161))*1.2)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77"/>
        <v>12</v>
      </c>
      <c r="BI161" s="8">
        <f t="shared" si="78"/>
        <v>11</v>
      </c>
      <c r="BJ161" s="8" t="str">
        <f t="shared" si="73"/>
        <v>No</v>
      </c>
      <c r="BK161" s="8">
        <f t="shared" si="74"/>
        <v>12</v>
      </c>
      <c r="BL161" s="8">
        <f t="shared" si="79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N161" s="8" t="str">
        <f>IF(W161="No","No",IF(_xlfn.XLOOKUP(E161,Groups!A:A,Groups!BD:BD)=1,(AL161*5%),EXP(0.7354*LN(C161)^0.4078)*2/IF(_xlfn.XLOOKUP(E161,Groups!A:A,Groups!BL:BL)=1,1000,100)))</f>
        <v>No</v>
      </c>
      <c r="BO161" s="8">
        <f>IF(BG161="No","No",IF(_xlfn.XLOOKUP(E161,Groups!A:A,Groups!BF:BF)=1,(0.0315*C161+2.1825)*2,(0.7354*C161^0.4078)*2)/IF(_xlfn.XLOOKUP(E161,Groups!A:A,Groups!BM:BM)=1,1000,100))</f>
        <v>0.16382756387364389</v>
      </c>
      <c r="BP161" s="8">
        <f t="shared" si="75"/>
        <v>0.16368562885754537</v>
      </c>
      <c r="BQ161" s="8">
        <f t="shared" si="80"/>
        <v>3025.1584779026502</v>
      </c>
      <c r="BR161" s="8" t="str">
        <f t="shared" si="76"/>
        <v>No</v>
      </c>
      <c r="BS161" s="8">
        <f t="shared" si="81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1</v>
      </c>
      <c r="AK162" s="44" t="s">
        <v>40</v>
      </c>
      <c r="AL162" s="8">
        <f t="shared" si="6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6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IFERROR(AVERAGE(_xlfn.XLOOKUP(B162,Animals!B:B,Animals!N:N),_xlfn.XLOOKUP(B162,Animals!B:B,Animals!O:O)),0)</f>
        <v>0</v>
      </c>
      <c r="AT162" s="8">
        <f>MROUND(40*Animals!AO162*_xlfn.XLOOKUP(Animals!BA162,Leathers!$A$2:$A$100,Leathers!$B$2:$B$100,0)+(140*_xlfn.XLOOKUP(B162,Animals!B:B,Animals!AO:AO)*2),5)</f>
        <v>40</v>
      </c>
      <c r="AU162" s="8">
        <f>IFERROR(ROUND(SQRT(V162-1)*IF(_xlfn.XLOOKUP(E162,Groups!A:A,Groups!BF:BF)=0,2,1)*IF(_xlfn.XLOOKUP('Base stats'!E162,Groups!A:A,Groups!O:O)=0,1,0.1),1),0)</f>
        <v>0</v>
      </c>
      <c r="AV162" s="8">
        <f t="shared" si="69"/>
        <v>0</v>
      </c>
      <c r="AW162" s="8">
        <f t="shared" si="70"/>
        <v>0</v>
      </c>
      <c r="AX162" s="8">
        <f t="shared" si="7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stats'!AY162,IF(OR(_xlfn.XLOOKUP(E162,Groups!A:A,Groups!BD:BD)=1,_xlfn.XLOOKUP(E162,Groups!A:A,Groups!U:U)=2),BA162,IF(_xlfn.XLOOKUP(B162,Animals!B:B,Animals!AO:AO)&gt;4,AVERAGE(BA162,BC162),BC162))))</f>
        <v>No</v>
      </c>
      <c r="BA162" s="8">
        <f t="shared" si="72"/>
        <v>4.1976315254226217E-2</v>
      </c>
      <c r="BB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EXP(1.076*LN(AO162)-4.5397)*IF(_xlfn.XLOOKUP(E162,Groups!A:A,Groups!BC:BC)=1,1.25,IF(_xlfn.XLOOKUP(E162,Groups!A:A,Groups!BD:BD)=1,3.5,2.5))</f>
        <v>2.1356544176878636</v>
      </c>
      <c r="BE162" s="8">
        <f>EXP(1.076*LN(AP162)-4.5397)*IF(_xlfn.XLOOKUP(E162,Groups!A:A,Groups!M:M)=1,0.8,IF(_xlfn.XLOOKUP(E162,Groups!A:A,Groups!BC:BC)=1,1.3,3))</f>
        <v>3.4611495964570245</v>
      </c>
      <c r="BF162" s="8" t="str">
        <f>IF(W162="No","No",IF(_xlfn.XLOOKUP(E162,Groups!A:A,Groups!U:U)=1,'Base stats'!BG162,IF(OR(_xlfn.XLOOKUP(E162,Groups!A:A,Groups!BD:BD)=1,_xlfn.XLOOKUP(E162,Groups!A:A,Groups!U:U)=2),BD162,BE162))*1.2)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77"/>
        <v>10</v>
      </c>
      <c r="BI162" s="8">
        <f t="shared" si="78"/>
        <v>7</v>
      </c>
      <c r="BJ162" s="8" t="str">
        <f t="shared" si="73"/>
        <v>No</v>
      </c>
      <c r="BK162" s="8">
        <f t="shared" si="74"/>
        <v>5</v>
      </c>
      <c r="BL162" s="8">
        <f t="shared" si="79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N162" s="8" t="str">
        <f>IF(W162="No","No",IF(_xlfn.XLOOKUP(E162,Groups!A:A,Groups!BD:BD)=1,(AL162*5%),EXP(0.7354*LN(C162)^0.4078)*2/IF(_xlfn.XLOOKUP(E162,Groups!A:A,Groups!BL:BL)=1,1000,100)))</f>
        <v>No</v>
      </c>
      <c r="BO162" s="8">
        <f>IF(BG162="No","No",IF(_xlfn.XLOOKUP(E162,Groups!A:A,Groups!BF:BF)=1,(0.0315*C162+2.1825)*2,(0.7354*C162^0.4078)*2)/IF(_xlfn.XLOOKUP(E162,Groups!A:A,Groups!BM:BM)=1,1000,100))</f>
        <v>1.5262535917941055E-2</v>
      </c>
      <c r="BP162" s="8">
        <f t="shared" si="75"/>
        <v>3.6275951936384006E-2</v>
      </c>
      <c r="BQ162" s="8">
        <f t="shared" si="80"/>
        <v>226.77421465645534</v>
      </c>
      <c r="BR162" s="8" t="str">
        <f t="shared" si="76"/>
        <v>No</v>
      </c>
      <c r="BS162" s="8">
        <f t="shared" si="81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1</v>
      </c>
      <c r="AK163" s="44" t="s">
        <v>40</v>
      </c>
      <c r="AL163" s="8">
        <f t="shared" si="6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6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IFERROR(AVERAGE(_xlfn.XLOOKUP(B163,Animals!B:B,Animals!N:N),_xlfn.XLOOKUP(B163,Animals!B:B,Animals!O:O)),0)</f>
        <v>0</v>
      </c>
      <c r="AT163" s="8">
        <f>MROUND(40*Animals!AO163*_xlfn.XLOOKUP(Animals!BA163,Leathers!$A$2:$A$100,Leathers!$B$2:$B$100,0)+(140*_xlfn.XLOOKUP(B163,Animals!B:B,Animals!AO:AO)*2),5)</f>
        <v>340</v>
      </c>
      <c r="AU163" s="8">
        <f>IFERROR(ROUND(SQRT(V163-1)*IF(_xlfn.XLOOKUP(E163,Groups!A:A,Groups!BF:BF)=0,2,1)*IF(_xlfn.XLOOKUP('Base stats'!E163,Groups!A:A,Groups!O:O)=0,1,0.1),1),0)</f>
        <v>2.8</v>
      </c>
      <c r="AV163" s="8">
        <f t="shared" si="69"/>
        <v>0</v>
      </c>
      <c r="AW163" s="8">
        <f t="shared" si="70"/>
        <v>0</v>
      </c>
      <c r="AX163" s="8">
        <f t="shared" si="7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stats'!AY163,IF(OR(_xlfn.XLOOKUP(E163,Groups!A:A,Groups!BD:BD)=1,_xlfn.XLOOKUP(E163,Groups!A:A,Groups!U:U)=2),BA163,IF(_xlfn.XLOOKUP(B163,Animals!B:B,Animals!AO:AO)&gt;4,AVERAGE(BA163,BC163),BC163))))</f>
        <v>No</v>
      </c>
      <c r="BA163" s="8">
        <f t="shared" si="72"/>
        <v>0.90691617051172224</v>
      </c>
      <c r="BB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EXP(1.076*LN(AO163)-4.5397)*IF(_xlfn.XLOOKUP(E163,Groups!A:A,Groups!BC:BC)=1,1.25,IF(_xlfn.XLOOKUP(E163,Groups!A:A,Groups!BD:BD)=1,3.5,2.5))</f>
        <v>86.747771791664036</v>
      </c>
      <c r="BE163" s="8">
        <f>EXP(1.076*LN(AP163)-4.5397)*IF(_xlfn.XLOOKUP(E163,Groups!A:A,Groups!M:M)=1,0.8,IF(_xlfn.XLOOKUP(E163,Groups!A:A,Groups!BC:BC)=1,1.3,3))</f>
        <v>111.92161143113256</v>
      </c>
      <c r="BF163" s="8" t="str">
        <f>IF(W163="No","No",IF(_xlfn.XLOOKUP(E163,Groups!A:A,Groups!U:U)=1,'Base stats'!BG163,IF(OR(_xlfn.XLOOKUP(E163,Groups!A:A,Groups!BD:BD)=1,_xlfn.XLOOKUP(E163,Groups!A:A,Groups!U:U)=2),BD163,BE163))*1.2)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77"/>
        <v>13</v>
      </c>
      <c r="BI163" s="8">
        <f t="shared" si="78"/>
        <v>11</v>
      </c>
      <c r="BJ163" s="8" t="str">
        <f t="shared" si="73"/>
        <v>No</v>
      </c>
      <c r="BK163" s="8">
        <f t="shared" si="74"/>
        <v>10</v>
      </c>
      <c r="BL163" s="8">
        <f t="shared" si="79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N163" s="8" t="str">
        <f>IF(W163="No","No",IF(_xlfn.XLOOKUP(E163,Groups!A:A,Groups!BD:BD)=1,(AL163*5%),EXP(0.7354*LN(C163)^0.4078)*2/IF(_xlfn.XLOOKUP(E163,Groups!A:A,Groups!BL:BL)=1,1000,100)))</f>
        <v>No</v>
      </c>
      <c r="BO163" s="8">
        <f>IF(BG163="No","No",IF(_xlfn.XLOOKUP(E163,Groups!A:A,Groups!BF:BF)=1,(0.0315*C163+2.1825)*2,(0.7354*C163^0.4078)*2)/IF(_xlfn.XLOOKUP(E163,Groups!A:A,Groups!BM:BM)=1,1000,100))</f>
        <v>8.0430989949293499E-2</v>
      </c>
      <c r="BP163" s="8">
        <f t="shared" si="75"/>
        <v>0.10419838005271204</v>
      </c>
      <c r="BQ163" s="8">
        <f t="shared" si="80"/>
        <v>38.97878694877609</v>
      </c>
      <c r="BR163" s="8" t="str">
        <f t="shared" si="76"/>
        <v>No</v>
      </c>
      <c r="BS163" s="8">
        <f t="shared" si="81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>
        <v>0</v>
      </c>
      <c r="AG164" s="4">
        <v>0</v>
      </c>
      <c r="AH164" s="4">
        <v>0</v>
      </c>
      <c r="AI164" s="4">
        <v>1</v>
      </c>
      <c r="AJ164" s="4">
        <v>1</v>
      </c>
      <c r="AK164" s="44" t="s">
        <v>40</v>
      </c>
      <c r="AL164" s="8">
        <f t="shared" si="6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6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IFERROR(AVERAGE(_xlfn.XLOOKUP(B164,Animals!B:B,Animals!N:N),_xlfn.XLOOKUP(B164,Animals!B:B,Animals!O:O)),0)</f>
        <v>0</v>
      </c>
      <c r="AT164" s="8">
        <f>MROUND(40*Animals!AO164*_xlfn.XLOOKUP(Animals!BA164,Leathers!$A$2:$A$100,Leathers!$B$2:$B$100,0)+(140*_xlfn.XLOOKUP(B164,Animals!B:B,Animals!AO:AO)*2),5)</f>
        <v>105</v>
      </c>
      <c r="AU164" s="8">
        <f>IFERROR(ROUND(SQRT(V164-1)*IF(_xlfn.XLOOKUP(E164,Groups!A:A,Groups!BF:BF)=0,2,1)*IF(_xlfn.XLOOKUP('Base stats'!E164,Groups!A:A,Groups!O:O)=0,1,0.1),1),0)</f>
        <v>0.1</v>
      </c>
      <c r="AV164" s="8">
        <f t="shared" si="69"/>
        <v>1</v>
      </c>
      <c r="AW164" s="8">
        <f t="shared" si="70"/>
        <v>0</v>
      </c>
      <c r="AX164" s="8">
        <f t="shared" si="7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stats'!AY164,IF(OR(_xlfn.XLOOKUP(E164,Groups!A:A,Groups!BD:BD)=1,_xlfn.XLOOKUP(E164,Groups!A:A,Groups!U:U)=2),BA164,IF(_xlfn.XLOOKUP(B164,Animals!B:B,Animals!AO:AO)&gt;4,AVERAGE(BA164,BC164),BC164))))</f>
        <v>No</v>
      </c>
      <c r="BA164" s="8">
        <f t="shared" si="72"/>
        <v>0.13191963781682639</v>
      </c>
      <c r="BB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EXP(1.076*LN(AO164)-4.5397)*IF(_xlfn.XLOOKUP(E164,Groups!A:A,Groups!BC:BC)=1,1.25,IF(_xlfn.XLOOKUP(E164,Groups!A:A,Groups!BD:BD)=1,3.5,2.5))</f>
        <v>8.4917944979407451</v>
      </c>
      <c r="BE164" s="8">
        <f>EXP(1.076*LN(AP164)-4.5397)*IF(_xlfn.XLOOKUP(E164,Groups!A:A,Groups!M:M)=1,0.8,IF(_xlfn.XLOOKUP(E164,Groups!A:A,Groups!BC:BC)=1,1.3,3))</f>
        <v>12.641115428827339</v>
      </c>
      <c r="BF164" s="8" t="str">
        <f>IF(W164="No","No",IF(_xlfn.XLOOKUP(E164,Groups!A:A,Groups!U:U)=1,'Base stats'!BG164,IF(OR(_xlfn.XLOOKUP(E164,Groups!A:A,Groups!BD:BD)=1,_xlfn.XLOOKUP(E164,Groups!A:A,Groups!U:U)=2),BD164,BE164))*1.2)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77"/>
        <v>11</v>
      </c>
      <c r="BI164" s="8">
        <f t="shared" si="78"/>
        <v>7</v>
      </c>
      <c r="BJ164" s="8" t="str">
        <f t="shared" si="73"/>
        <v>No</v>
      </c>
      <c r="BK164" s="8">
        <f t="shared" si="74"/>
        <v>6</v>
      </c>
      <c r="BL164" s="8">
        <f t="shared" si="79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N164" s="8" t="str">
        <f>IF(W164="No","No",IF(_xlfn.XLOOKUP(E164,Groups!A:A,Groups!BD:BD)=1,(AL164*5%),EXP(0.7354*LN(C164)^0.4078)*2/IF(_xlfn.XLOOKUP(E164,Groups!A:A,Groups!BL:BL)=1,1000,100)))</f>
        <v>No</v>
      </c>
      <c r="BO164" s="8">
        <f>IF(BG164="No","No",IF(_xlfn.XLOOKUP(E164,Groups!A:A,Groups!BF:BF)=1,(0.0315*C164+2.1825)*2,(0.7354*C164^0.4078)*2)/IF(_xlfn.XLOOKUP(E164,Groups!A:A,Groups!BM:BM)=1,1000,100))</f>
        <v>2.8352645574082073E-2</v>
      </c>
      <c r="BP164" s="8">
        <f t="shared" si="75"/>
        <v>5.3749693206580677E-2</v>
      </c>
      <c r="BQ164" s="8">
        <f t="shared" si="80"/>
        <v>445.85311786152778</v>
      </c>
      <c r="BR164" s="8" t="str">
        <f t="shared" si="76"/>
        <v>No</v>
      </c>
      <c r="BS164" s="8">
        <f t="shared" si="81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1</v>
      </c>
      <c r="AK165" s="44" t="s">
        <v>40</v>
      </c>
      <c r="AL165" s="8">
        <f t="shared" si="6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6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IFERROR(AVERAGE(_xlfn.XLOOKUP(B165,Animals!B:B,Animals!N:N),_xlfn.XLOOKUP(B165,Animals!B:B,Animals!O:O)),0)</f>
        <v>0</v>
      </c>
      <c r="AT165" s="8">
        <f>MROUND(40*Animals!AO165*_xlfn.XLOOKUP(Animals!BA165,Leathers!$A$2:$A$100,Leathers!$B$2:$B$100,0)+(140*_xlfn.XLOOKUP(B165,Animals!B:B,Animals!AO:AO)*2),5)</f>
        <v>110</v>
      </c>
      <c r="AU165" s="8">
        <f>IFERROR(ROUND(SQRT(V165-1)*IF(_xlfn.XLOOKUP(E165,Groups!A:A,Groups!BF:BF)=0,2,1)*IF(_xlfn.XLOOKUP('Base stats'!E165,Groups!A:A,Groups!O:O)=0,1,0.1),1),0)</f>
        <v>0.4</v>
      </c>
      <c r="AV165" s="8">
        <f t="shared" si="69"/>
        <v>0</v>
      </c>
      <c r="AW165" s="8">
        <f t="shared" si="70"/>
        <v>0</v>
      </c>
      <c r="AX165" s="8">
        <f t="shared" si="7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stats'!AY165,IF(OR(_xlfn.XLOOKUP(E165,Groups!A:A,Groups!BD:BD)=1,_xlfn.XLOOKUP(E165,Groups!A:A,Groups!U:U)=2),BA165,IF(_xlfn.XLOOKUP(B165,Animals!B:B,Animals!AO:AO)&gt;4,AVERAGE(BA165,BC165),BC165))))</f>
        <v>No</v>
      </c>
      <c r="BA165" s="8">
        <f t="shared" si="72"/>
        <v>0.23207758379257695</v>
      </c>
      <c r="BB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EXP(1.076*LN(AO165)-4.5397)*IF(_xlfn.XLOOKUP(E165,Groups!A:A,Groups!BC:BC)=1,1.25,IF(_xlfn.XLOOKUP(E165,Groups!A:A,Groups!BD:BD)=1,3.5,2.5))</f>
        <v>13.754786542132019</v>
      </c>
      <c r="BE165" s="8">
        <f>EXP(1.076*LN(AP165)-4.5397)*IF(_xlfn.XLOOKUP(E165,Groups!A:A,Groups!M:M)=1,0.8,IF(_xlfn.XLOOKUP(E165,Groups!A:A,Groups!BC:BC)=1,1.3,3))</f>
        <v>19.876764778886127</v>
      </c>
      <c r="BF165" s="8" t="str">
        <f>IF(W165="No","No",IF(_xlfn.XLOOKUP(E165,Groups!A:A,Groups!U:U)=1,'Base stats'!BG165,IF(OR(_xlfn.XLOOKUP(E165,Groups!A:A,Groups!BD:BD)=1,_xlfn.XLOOKUP(E165,Groups!A:A,Groups!U:U)=2),BD165,BE165))*1.2)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77"/>
        <v>10</v>
      </c>
      <c r="BI165" s="8">
        <f t="shared" si="78"/>
        <v>8</v>
      </c>
      <c r="BJ165" s="8" t="str">
        <f t="shared" si="73"/>
        <v>No</v>
      </c>
      <c r="BK165" s="8">
        <f t="shared" si="74"/>
        <v>6</v>
      </c>
      <c r="BL165" s="8">
        <f t="shared" si="79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N165" s="8" t="str">
        <f>IF(W165="No","No",IF(_xlfn.XLOOKUP(E165,Groups!A:A,Groups!BD:BD)=1,(AL165*5%),EXP(0.7354*LN(C165)^0.4078)*2/IF(_xlfn.XLOOKUP(E165,Groups!A:A,Groups!BL:BL)=1,1000,100)))</f>
        <v>No</v>
      </c>
      <c r="BO165" s="8">
        <f>IF(BG165="No","No",IF(_xlfn.XLOOKUP(E165,Groups!A:A,Groups!BF:BF)=1,(0.0315*C165+2.1825)*2,(0.7354*C165^0.4078)*2)/IF(_xlfn.XLOOKUP(E165,Groups!A:A,Groups!BM:BM)=1,1000,100))</f>
        <v>3.5202269146404543E-2</v>
      </c>
      <c r="BP165" s="8">
        <f t="shared" si="75"/>
        <v>6.166497648281595E-2</v>
      </c>
      <c r="BQ165" s="8" t="str">
        <f t="shared" si="80"/>
        <v>No</v>
      </c>
      <c r="BR165" s="8" t="str">
        <f t="shared" si="76"/>
        <v>No</v>
      </c>
      <c r="BS165" s="8">
        <f t="shared" si="81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Groups!A45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1</v>
      </c>
      <c r="AK166" s="44" t="s">
        <v>40</v>
      </c>
      <c r="AL166" s="8">
        <f t="shared" si="6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6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IFERROR(AVERAGE(_xlfn.XLOOKUP(B166,Animals!B:B,Animals!N:N),_xlfn.XLOOKUP(B166,Animals!B:B,Animals!O:O)),0)</f>
        <v>0</v>
      </c>
      <c r="AT166" s="8">
        <f>MROUND(40*Animals!AO166*_xlfn.XLOOKUP(Animals!BA166,Leathers!$A$2:$A$100,Leathers!$B$2:$B$100,0)+(140*_xlfn.XLOOKUP(B166,Animals!B:B,Animals!AO:AO)*2),5)</f>
        <v>90</v>
      </c>
      <c r="AU166" s="8">
        <f>IFERROR(ROUND(SQRT(V166-1)*IF(_xlfn.XLOOKUP(E166,Groups!A:A,Groups!BF:BF)=0,2,1)*IF(_xlfn.XLOOKUP('Base stats'!E166,Groups!A:A,Groups!O:O)=0,1,0.1),1),0)</f>
        <v>0</v>
      </c>
      <c r="AV166" s="8">
        <f t="shared" si="69"/>
        <v>0</v>
      </c>
      <c r="AW166" s="8">
        <f t="shared" si="70"/>
        <v>0</v>
      </c>
      <c r="AX166" s="8">
        <f t="shared" si="7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stats'!AY166,IF(OR(_xlfn.XLOOKUP(E166,Groups!A:A,Groups!BD:BD)=1,_xlfn.XLOOKUP(E166,Groups!A:A,Groups!U:U)=2),BA166,IF(_xlfn.XLOOKUP(B166,Animals!B:B,Animals!AO:AO)&gt;4,AVERAGE(BA166,BC166),BC166))))</f>
        <v>No</v>
      </c>
      <c r="BA166" s="8">
        <f t="shared" si="72"/>
        <v>0.10619538479008944</v>
      </c>
      <c r="BB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EXP(1.076*LN(AO166)-4.5397)*IF(_xlfn.XLOOKUP(E166,Groups!A:A,Groups!BC:BC)=1,1.25,IF(_xlfn.XLOOKUP(E166,Groups!A:A,Groups!BD:BD)=1,3.5,2.5))</f>
        <v>6.5379712695786694</v>
      </c>
      <c r="BE166" s="8">
        <f>EXP(1.076*LN(AP166)-4.5397)*IF(_xlfn.XLOOKUP(E166,Groups!A:A,Groups!M:M)=1,0.8,IF(_xlfn.XLOOKUP(E166,Groups!A:A,Groups!BC:BC)=1,1.3,3))</f>
        <v>9.8905285586523277</v>
      </c>
      <c r="BF166" s="8" t="str">
        <f>IF(W166="No","No",IF(_xlfn.XLOOKUP(E166,Groups!A:A,Groups!U:U)=1,'Base stats'!BG166,IF(OR(_xlfn.XLOOKUP(E166,Groups!A:A,Groups!BD:BD)=1,_xlfn.XLOOKUP(E166,Groups!A:A,Groups!U:U)=2),BD166,BE166))*1.2)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77"/>
        <v>11</v>
      </c>
      <c r="BI166" s="8">
        <f t="shared" si="78"/>
        <v>9</v>
      </c>
      <c r="BJ166" s="8" t="str">
        <f t="shared" si="73"/>
        <v>No</v>
      </c>
      <c r="BK166" s="8">
        <f t="shared" si="74"/>
        <v>7</v>
      </c>
      <c r="BL166" s="8">
        <f t="shared" si="79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N166" s="8" t="str">
        <f>IF(W166="No","No",IF(_xlfn.XLOOKUP(E166,Groups!A:A,Groups!BD:BD)=1,(AL166*5%),EXP(0.7354*LN(C166)^0.4078)*2/IF(_xlfn.XLOOKUP(E166,Groups!A:A,Groups!BL:BL)=1,1000,100)))</f>
        <v>No</v>
      </c>
      <c r="BO166" s="8">
        <f>IF(BG166="No","No",IF(_xlfn.XLOOKUP(E166,Groups!A:A,Groups!BF:BF)=1,(0.0315*C166+2.1825)*2,(0.7354*C166^0.4078)*2)/IF(_xlfn.XLOOKUP(E166,Groups!A:A,Groups!BM:BM)=1,1000,100))</f>
        <v>2.5214105878214141E-2</v>
      </c>
      <c r="BP166" s="8">
        <f t="shared" si="75"/>
        <v>4.9891860646625465E-2</v>
      </c>
      <c r="BQ166" s="8" t="str">
        <f t="shared" si="80"/>
        <v>No</v>
      </c>
      <c r="BR166" s="8" t="str">
        <f t="shared" si="76"/>
        <v>No</v>
      </c>
      <c r="BS166" s="8">
        <f t="shared" si="81"/>
        <v>361.34957664293159</v>
      </c>
      <c r="BT166" s="4">
        <v>0</v>
      </c>
      <c r="BU166" s="4">
        <v>1</v>
      </c>
    </row>
    <row r="167" spans="1:73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Groups!A61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4" t="s">
        <v>40</v>
      </c>
      <c r="AL167" s="8">
        <f>43.97*10000</f>
        <v>439700</v>
      </c>
      <c r="AM167" s="8">
        <f>IFERROR(C167*_xlfn.XLOOKUP(E167,Groups!A:A,Groups!K:K),0.106*C167^0.94)</f>
        <v>1897.0000000000002</v>
      </c>
      <c r="AN167" s="8">
        <f>AM167*10000/(_xlfn.XLOOKUP(E167,Groups!A:A,Groups!J:J)*AL167)</f>
        <v>19.521743023060772</v>
      </c>
      <c r="AO167" s="8">
        <f t="shared" ref="AO167" si="88">EXP(0.8447*LN(C167)+3.996)</f>
        <v>96248.742493610582</v>
      </c>
      <c r="AP167" s="8">
        <f>IF(_xlfn.XLOOKUP(E167,Groups!A:A,Groups!M:M)=1,EXP(0.7444*LN('Base stats'!C167)+6.5696),EXP(0.7927*LN('Base stats'!C167)+4.28))</f>
        <v>80684.404662262488</v>
      </c>
      <c r="AQ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R167" s="8">
        <f>IF(_xlfn.XLOOKUP(E167,Groups!A:A,Groups!U:U)=3,AP167,IF(_xlfn.XLOOKUP(E167,Groups!A:A,Groups!U:U)=2,AO167,AQ167))</f>
        <v>519316.36589283083</v>
      </c>
      <c r="AS167" s="46">
        <f>IFERROR(AVERAGE(_xlfn.XLOOKUP(B167,Animals!B:B,Animals!N:N),_xlfn.XLOOKUP(B167,Animals!B:B,Animals!O:O)),0)</f>
        <v>2</v>
      </c>
      <c r="AT167" s="8">
        <f>MROUND(40*Animals!AO167*_xlfn.XLOOKUP(Animals!BA167,Leathers!$A$2:$A$100,Leathers!$B$2:$B$100,0)+(140*_xlfn.XLOOKUP(B167,Animals!B:B,Animals!AO:AO)*2),5)</f>
        <v>7680</v>
      </c>
      <c r="AU167" s="8">
        <f>IFERROR(ROUND(SQRT(V167-1)*IF(_xlfn.XLOOKUP(E167,Groups!A:A,Groups!BF:BF)=0,2,1)*IF(_xlfn.XLOOKUP('Base stats'!E167,Groups!A:A,Groups!O:O)=0,1,0.1),1),0)</f>
        <v>10.8</v>
      </c>
      <c r="AV167" s="8">
        <f t="shared" ref="AV167" si="89">IFERROR(ROUND(SQRT(U167-1),1),0)</f>
        <v>5.4</v>
      </c>
      <c r="AW167" s="8">
        <f t="shared" ref="AW167" si="90">IFERROR(ROUND(SQRT(W167),1),0)</f>
        <v>0</v>
      </c>
      <c r="AX167" s="8">
        <f t="shared" ref="AX167" si="91">ROUND(
  EXP(0.3582*LN(C167)-0.2221) *
  (0.75 + 0.25*(C167^4/(C167^4+10^4))),
1)</f>
        <v>19.100000000000001</v>
      </c>
      <c r="AY167" s="8">
        <f>IF(_xlfn.XLOOKUP(E167,Groups!A:A,Groups!N:N)="Insect",BA167*2.5,IFERROR(AVERAGE(BA167,AQ167/9.81/IF(OR(_xlfn.XLOOKUP(E167,Groups!A:A,Groups!N:N)="Pig",_xlfn.XLOOKUP(E167,Groups!A:A,Groups!N:N)="StrongBitingHerbivore"),20,25))*C167^-0.135,BA167))</f>
        <v>153.63938035727926</v>
      </c>
      <c r="AZ167" s="8" t="str">
        <f>IF(W167="No","No",IF(_xlfn.XLOOKUP(E167,Groups!A:A,Groups!U:U)=1,'Base stats'!AY167,IF(OR(_xlfn.XLOOKUP(E167,Groups!A:A,Groups!BD:BD)=1,_xlfn.XLOOKUP(E167,Groups!A:A,Groups!U:U)=2),BA167,IF(_xlfn.XLOOKUP(B167,Animals!B:B,Animals!AO:AO)&gt;4,AVERAGE(BA167,BC167),BC167))))</f>
        <v>No</v>
      </c>
      <c r="BA167" s="8">
        <f t="shared" ref="BA167" si="92">(0.0392*C167^IF(OR(Y167="Herbivore",Y167="Dendrovore",Y167="OmnivoreRough"),0.889,0.966))*C167^-0.135</f>
        <v>61.455752142911706</v>
      </c>
      <c r="BB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C167" s="8">
        <f>(0.048*C167^1.01)/IF(_xlfn.XLOOKUP(E167,Groups!A:A,Groups!M:M)=1,0.25,0.8)*C167^-0.25</f>
        <v>50.167881368257298</v>
      </c>
      <c r="BD167" s="8">
        <f>EXP(1.076*LN(AO167)-4.5397)*IF(_xlfn.XLOOKUP(E167,Groups!A:A,Groups!BC:BC)=1,1.25,IF(_xlfn.XLOOKUP(E167,Groups!A:A,Groups!BD:BD)=1,3.5,2.5))</f>
        <v>6144.7814087496872</v>
      </c>
      <c r="BE167" s="8">
        <f>EXP(1.076*LN(AP167)-4.5397)*IF(_xlfn.XLOOKUP(E167,Groups!A:A,Groups!M:M)=1,0.8,IF(_xlfn.XLOOKUP(E167,Groups!A:A,Groups!BC:BC)=1,1.3,3))</f>
        <v>6099.0220517193065</v>
      </c>
      <c r="BF167" s="8" t="str">
        <f>IF(W167="No","No",IF(_xlfn.XLOOKUP(E167,Groups!A:A,Groups!U:U)=1,'Base stats'!BG167,IF(OR(_xlfn.XLOOKUP(E167,Groups!A:A,Groups!BD:BD)=1,_xlfn.XLOOKUP(E167,Groups!A:A,Groups!U:U)=2),BD167,BE167))*1.2)</f>
        <v>No</v>
      </c>
      <c r="BG167" s="8">
        <f>IFERROR(EXP(1.076*LN(AQ167)-4.5397)*IF(_xlfn.XLOOKUP(E167,Groups!A:A,Groups!N:N)="Insect",1,IF(OR(_xlfn.XLOOKUP(E167,Groups!A:A,Groups!N:N)="Pig",_xlfn.XLOOKUP(E167,Groups!A:A,Groups!N:N)="StrongBitingHerbivore"),3.5,3.75)),"No")</f>
        <v>15074.335695984135</v>
      </c>
      <c r="BH167" s="8">
        <f t="shared" ref="BH167" si="93">ROUNDDOWN(SQRT((2*BD167)/BA167),0)</f>
        <v>14</v>
      </c>
      <c r="BI167" s="8">
        <f t="shared" ref="BI167" si="94">ROUNDDOWN(SQRT((2*BE167)/BB167),0)</f>
        <v>17</v>
      </c>
      <c r="BJ167" s="8" t="str">
        <f t="shared" ref="BJ167" si="95">IF(W167="No","No",ROUNDDOWN(SQRT((2*BF167)/AZ167),0))</f>
        <v>No</v>
      </c>
      <c r="BK167" s="8">
        <f t="shared" ref="BK167" si="96">IF(V167="No","No",ROUNDDOWN(SQRT((2*BG167)/AY167),0))</f>
        <v>14</v>
      </c>
      <c r="BL167" s="8">
        <f t="shared" ref="BL167" si="97">ROUNDDOWN(SQRT((2*BE167)/BC167),0)</f>
        <v>15</v>
      </c>
      <c r="BM167" s="8" cm="1">
        <f t="array" ref="BM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N167" s="8" t="str">
        <f>IF(W167="No","No",IF(_xlfn.XLOOKUP(E167,Groups!A:A,Groups!BD:BD)=1,(AL167*5%),EXP(0.7354*LN(C167)^0.4078)*2/IF(_xlfn.XLOOKUP(E167,Groups!A:A,Groups!BL:BL)=1,1000,100)))</f>
        <v>No</v>
      </c>
      <c r="BO167" s="8">
        <f>IF(BG167="No","No",IF(_xlfn.XLOOKUP(E167,Groups!A:A,Groups!BF:BF)=1,(0.0315*C167+2.1825)*2,(0.7354*C167^0.4078)*2)/IF(_xlfn.XLOOKUP(E167,Groups!A:A,Groups!BM:BM)=1,1000,100))</f>
        <v>5.4398209080119844E-2</v>
      </c>
      <c r="BP167" s="8">
        <f t="shared" ref="BP167" si="98">BD167/(AL167*5%)</f>
        <v>0.27949881322491188</v>
      </c>
      <c r="BQ167" s="8">
        <f t="shared" ref="BQ167" si="99">IF(BM167="No","No",BE167/BM167)</f>
        <v>112118.06702563359</v>
      </c>
      <c r="BR167" s="8" t="str">
        <f t="shared" ref="BR167" si="100">IF(W167="No","No",BF167/BN167)</f>
        <v>No</v>
      </c>
      <c r="BS167" s="8">
        <f t="shared" ref="BS167" si="101">IF(BG167="No","No",BG167/BO167)</f>
        <v>277110.8819737439</v>
      </c>
      <c r="BT167" s="4">
        <v>0</v>
      </c>
      <c r="BU167" s="4">
        <v>1</v>
      </c>
    </row>
    <row r="168" spans="1:73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Groups!A62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4" t="s">
        <v>40</v>
      </c>
      <c r="AL168" s="8">
        <f t="shared" ref="AL168:AL170" si="102">43.97*10000</f>
        <v>439700</v>
      </c>
      <c r="AM168" s="8">
        <f>IFERROR(C168*_xlfn.XLOOKUP(E168,Groups!A:A,Groups!K:K),0.106*C168^0.94)</f>
        <v>1355</v>
      </c>
      <c r="AN168" s="8">
        <f>AM168*10000/(_xlfn.XLOOKUP(E168,Groups!A:A,Groups!J:J)*AL168)</f>
        <v>13.94410215932912</v>
      </c>
      <c r="AO168" s="8">
        <f t="shared" ref="AO168:AO180" si="103">EXP(0.8447*LN(C168)+3.996)</f>
        <v>72437.042827169687</v>
      </c>
      <c r="AP168" s="8">
        <f>IF(_xlfn.XLOOKUP(E168,Groups!A:A,Groups!M:M)=1,EXP(0.7444*LN('Base stats'!C168)+6.5696),EXP(0.7927*LN('Base stats'!C168)+4.28))</f>
        <v>61795.080878079119</v>
      </c>
      <c r="AQ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R168" s="8">
        <f>IF(_xlfn.XLOOKUP(E168,Groups!A:A,Groups!U:U)=3,AP168,IF(_xlfn.XLOOKUP(E168,Groups!A:A,Groups!U:U)=2,AO168,AQ168))</f>
        <v>72437.042827169687</v>
      </c>
      <c r="AS168" s="46">
        <f>IFERROR(AVERAGE(_xlfn.XLOOKUP(B168,Animals!B:B,Animals!N:N),_xlfn.XLOOKUP(B168,Animals!B:B,Animals!O:O)),0)</f>
        <v>2</v>
      </c>
      <c r="AT168" s="8">
        <f>MROUND(40*Animals!AO168*_xlfn.XLOOKUP(Animals!BA168,Leathers!$A$2:$A$100,Leathers!$B$2:$B$100,0)+(140*_xlfn.XLOOKUP(B168,Animals!B:B,Animals!AO:AO)*2),5)</f>
        <v>6400</v>
      </c>
      <c r="AU168" s="8">
        <f>IFERROR(ROUND(SQRT(V168-1)*IF(_xlfn.XLOOKUP(E168,Groups!A:A,Groups!BF:BF)=0,2,1)*IF(_xlfn.XLOOKUP('Base stats'!E168,Groups!A:A,Groups!O:O)=0,1,0.1),1),0)</f>
        <v>0</v>
      </c>
      <c r="AV168" s="8">
        <f t="shared" ref="AV168:AV180" si="104">IFERROR(ROUND(SQRT(U168-1),1),0)</f>
        <v>0</v>
      </c>
      <c r="AW168" s="8">
        <f t="shared" ref="AW168:AW180" si="105">IFERROR(ROUND(SQRT(W168),1),0)</f>
        <v>5</v>
      </c>
      <c r="AX168" s="8">
        <f t="shared" ref="AX168:AX180" si="106">ROUND(
  EXP(0.3582*LN(C168)-0.2221) *
  (0.75 + 0.25*(C168^4/(C168^4+10^4))),
1)</f>
        <v>16.899999999999999</v>
      </c>
      <c r="AY168" s="8">
        <f>IF(_xlfn.XLOOKUP(E168,Groups!A:A,Groups!N:N)="Insect",BA168*2.5,IFERROR(AVERAGE(BA168,AQ168/9.81/IF(OR(_xlfn.XLOOKUP(E168,Groups!A:A,Groups!N:N)="Pig",_xlfn.XLOOKUP(E168,Groups!A:A,Groups!N:N)="StrongBitingHerbivore"),20,25))*C168^-0.135,BA168))</f>
        <v>24.116231840641284</v>
      </c>
      <c r="AZ168" s="8">
        <f>IF(W168="No","No",IF(_xlfn.XLOOKUP(E168,Groups!A:A,Groups!U:U)=1,'Base stats'!AY168,IF(OR(_xlfn.XLOOKUP(E168,Groups!A:A,Groups!BD:BD)=1,_xlfn.XLOOKUP(E168,Groups!A:A,Groups!U:U)=2),BA168,IF(_xlfn.XLOOKUP(B168,Animals!B:B,Animals!AO:AO)&gt;4,AVERAGE(BA168,BC168),BC168))))</f>
        <v>24.116231840641284</v>
      </c>
      <c r="BA168" s="8">
        <f t="shared" ref="BA168:BA180" si="107">(0.0392*C168^IF(OR(Y168="Herbivore",Y168="Dendrovore",Y168="OmnivoreRough"),0.889,0.966))*C168^-0.135</f>
        <v>24.116231840641284</v>
      </c>
      <c r="BB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C168" s="8">
        <f>(0.048*C168^1.01)/IF(_xlfn.XLOOKUP(E168,Groups!A:A,Groups!M:M)=1,0.25,0.8)*C168^-0.25</f>
        <v>38.847981091877756</v>
      </c>
      <c r="BD168" s="8">
        <f>EXP(1.076*LN(AO168)-4.5397)*IF(_xlfn.XLOOKUP(E168,Groups!A:A,Groups!BC:BC)=1,1.25,IF(_xlfn.XLOOKUP(E168,Groups!A:A,Groups!BD:BD)=1,3.5,2.5))</f>
        <v>4525.755372771675</v>
      </c>
      <c r="BE168" s="8">
        <f>EXP(1.076*LN(AP168)-4.5397)*IF(_xlfn.XLOOKUP(E168,Groups!A:A,Groups!M:M)=1,0.8,IF(_xlfn.XLOOKUP(E168,Groups!A:A,Groups!BC:BC)=1,1.3,3))</f>
        <v>4577.4224679256631</v>
      </c>
      <c r="BF168" s="8">
        <f>IF(W168="No","No",IF(_xlfn.XLOOKUP(E168,Groups!A:A,Groups!U:U)=1,'Base stats'!BG168,IF(OR(_xlfn.XLOOKUP(E168,Groups!A:A,Groups!BD:BD)=1,_xlfn.XLOOKUP(E168,Groups!A:A,Groups!U:U)=2),BD168,BE168))*1.2)</f>
        <v>5430.9064473260096</v>
      </c>
      <c r="BG168" s="8" t="str">
        <f>IFERROR(EXP(1.076*LN(AQ168)-4.5397)*IF(_xlfn.XLOOKUP(E168,Groups!A:A,Groups!N:N)="Insect",1,IF(OR(_xlfn.XLOOKUP(E168,Groups!A:A,Groups!N:N)="Pig",_xlfn.XLOOKUP(E168,Groups!A:A,Groups!N:N)="StrongBitingHerbivore"),3.5,3.75)),"No")</f>
        <v>No</v>
      </c>
      <c r="BH168" s="8">
        <f t="shared" ref="BH168:BH180" si="108">ROUNDDOWN(SQRT((2*BD168)/BA168),0)</f>
        <v>19</v>
      </c>
      <c r="BI168" s="8">
        <f t="shared" ref="BI168:BI180" si="109">ROUNDDOWN(SQRT((2*BE168)/BB168),0)</f>
        <v>16</v>
      </c>
      <c r="BJ168" s="8">
        <f t="shared" ref="BJ168:BJ180" si="110">IF(W168="No","No",ROUNDDOWN(SQRT((2*BF168)/AZ168),0))</f>
        <v>21</v>
      </c>
      <c r="BK168" s="8" t="str">
        <f t="shared" ref="BK168:BK180" si="111">IF(V168="No","No",ROUNDDOWN(SQRT((2*BG168)/AY168),0))</f>
        <v>No</v>
      </c>
      <c r="BL168" s="8">
        <f t="shared" ref="BL168:BL180" si="112">ROUNDDOWN(SQRT((2*BE168)/BC168),0)</f>
        <v>15</v>
      </c>
      <c r="BM168" s="8" cm="1">
        <f t="array" ref="BM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N168" s="8">
        <f>IF(W168="No","No",IF(_xlfn.XLOOKUP(E168,Groups!A:A,Groups!BD:BD)=1,(AL168*5%),EXP(0.7354*LN(C168)^0.4078)*2/IF(_xlfn.XLOOKUP(E168,Groups!A:A,Groups!BL:BL)=1,1000,100)))</f>
        <v>1.1643075570203649E-2</v>
      </c>
      <c r="BO168" s="8" t="str">
        <f>IF(BG168="No","No",IF(_xlfn.XLOOKUP(E168,Groups!A:A,Groups!BF:BF)=1,(0.0315*C168+2.1825)*2,(0.7354*C168^0.4078)*2)/IF(_xlfn.XLOOKUP(E168,Groups!A:A,Groups!BM:BM)=1,1000,100))</f>
        <v>No</v>
      </c>
      <c r="BP168" s="8">
        <f t="shared" ref="BP168:BP180" si="113">BD168/(AL168*5%)</f>
        <v>0.20585651001918012</v>
      </c>
      <c r="BQ168" s="8">
        <f t="shared" ref="BQ168:BQ180" si="114">IF(BM168="No","No",BE168/BM168)</f>
        <v>6.0808636677302674</v>
      </c>
      <c r="BR168" s="8">
        <f t="shared" ref="BR168:BR180" si="115">IF(W168="No","No",BF168/BN168)</f>
        <v>466449.47158330755</v>
      </c>
      <c r="BS168" s="8" t="str">
        <f t="shared" ref="BS168:BS180" si="116">IF(BG168="No","No",BG168/BO168)</f>
        <v>No</v>
      </c>
      <c r="BT168" s="4">
        <v>0</v>
      </c>
      <c r="BU168" s="4">
        <v>1</v>
      </c>
    </row>
    <row r="169" spans="1:73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Groups!A63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4" t="s">
        <v>40</v>
      </c>
      <c r="AL169" s="8">
        <f t="shared" si="102"/>
        <v>439700</v>
      </c>
      <c r="AM169" s="8">
        <f>IFERROR(C169*_xlfn.XLOOKUP(E169,Groups!A:A,Groups!K:K),0.106*C169^0.94)</f>
        <v>13.55</v>
      </c>
      <c r="AN169" s="8">
        <f>AM169*10000/(_xlfn.XLOOKUP(E169,Groups!A:A,Groups!J:J)*AL169)</f>
        <v>0.13944102159329119</v>
      </c>
      <c r="AO169" s="8">
        <f t="shared" si="103"/>
        <v>1481.019280401604</v>
      </c>
      <c r="AP169" s="8">
        <f>IF(_xlfn.XLOOKUP(E169,Groups!A:A,Groups!M:M)=1,EXP(0.7444*LN('Base stats'!C169)+6.5696),EXP(0.7927*LN('Base stats'!C169)+4.28))</f>
        <v>13117.597459187402</v>
      </c>
      <c r="AQ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R169" s="8">
        <f>IF(_xlfn.XLOOKUP(E169,Groups!A:A,Groups!U:U)=3,AP169,IF(_xlfn.XLOOKUP(E169,Groups!A:A,Groups!U:U)=2,AO169,AQ169))</f>
        <v>13117.597459187402</v>
      </c>
      <c r="AS169" s="46">
        <f>IFERROR(AVERAGE(_xlfn.XLOOKUP(B169,Animals!B:B,Animals!N:N),_xlfn.XLOOKUP(B169,Animals!B:B,Animals!O:O)),0)</f>
        <v>0.5</v>
      </c>
      <c r="AT169" s="8">
        <f>MROUND(40*Animals!AO169*_xlfn.XLOOKUP(Animals!BA169,Leathers!$A$2:$A$100,Leathers!$B$2:$B$100,0)+(140*_xlfn.XLOOKUP(B169,Animals!B:B,Animals!AO:AO)*2),5)</f>
        <v>1090</v>
      </c>
      <c r="AU169" s="8">
        <f>IFERROR(ROUND(SQRT(V169-1)*IF(_xlfn.XLOOKUP(E169,Groups!A:A,Groups!BF:BF)=0,2,1)*IF(_xlfn.XLOOKUP('Base stats'!E169,Groups!A:A,Groups!O:O)=0,1,0.1),1),0)</f>
        <v>2</v>
      </c>
      <c r="AV169" s="8">
        <f t="shared" si="104"/>
        <v>3</v>
      </c>
      <c r="AW169" s="8">
        <f t="shared" si="105"/>
        <v>0</v>
      </c>
      <c r="AX169" s="8">
        <f t="shared" si="106"/>
        <v>3.3</v>
      </c>
      <c r="AY169" s="8">
        <f>IF(_xlfn.XLOOKUP(E169,Groups!A:A,Groups!N:N)="Insect",BA169*2.5,IFERROR(AVERAGE(BA169,AQ169/9.81/IF(OR(_xlfn.XLOOKUP(E169,Groups!A:A,Groups!N:N)="Pig",_xlfn.XLOOKUP(E169,Groups!A:A,Groups!N:N)="StrongBitingHerbivore"),20,25))*C169^-0.135,BA169))</f>
        <v>2.5297065736002207</v>
      </c>
      <c r="AZ169" s="8" t="str">
        <f>IF(W169="No","No",IF(_xlfn.XLOOKUP(E169,Groups!A:A,Groups!U:U)=1,'Base stats'!AY169,IF(OR(_xlfn.XLOOKUP(E169,Groups!A:A,Groups!BD:BD)=1,_xlfn.XLOOKUP(E169,Groups!A:A,Groups!U:U)=2),BA169,IF(_xlfn.XLOOKUP(B169,Animals!B:B,Animals!AO:AO)&gt;4,AVERAGE(BA169,BC169),BC169))))</f>
        <v>No</v>
      </c>
      <c r="BA169" s="8">
        <f t="shared" si="107"/>
        <v>1.0118826294400882</v>
      </c>
      <c r="BB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C169" s="8">
        <f>(0.048*C169^1.01)/IF(_xlfn.XLOOKUP(E169,Groups!A:A,Groups!M:M)=1,0.25,0.8)*C169^-0.25</f>
        <v>3.754208874641956</v>
      </c>
      <c r="BD169" s="8">
        <f>EXP(1.076*LN(AO169)-4.5397)*IF(_xlfn.XLOOKUP(E169,Groups!A:A,Groups!BC:BC)=1,1.25,IF(_xlfn.XLOOKUP(E169,Groups!A:A,Groups!BD:BD)=1,3.5,2.5))</f>
        <v>68.848847644384961</v>
      </c>
      <c r="BE169" s="8">
        <f>EXP(1.076*LN(AP169)-4.5397)*IF(_xlfn.XLOOKUP(E169,Groups!A:A,Groups!M:M)=1,0.8,IF(_xlfn.XLOOKUP(E169,Groups!A:A,Groups!BC:BC)=1,1.3,3))</f>
        <v>230.32153898976432</v>
      </c>
      <c r="BF169" s="8" t="str">
        <f>IF(W169="No","No",IF(_xlfn.XLOOKUP(E169,Groups!A:A,Groups!U:U)=1,'Base stats'!BG169,IF(OR(_xlfn.XLOOKUP(E169,Groups!A:A,Groups!BD:BD)=1,_xlfn.XLOOKUP(E169,Groups!A:A,Groups!U:U)=2),BD169,BE169))*1.2)</f>
        <v>No</v>
      </c>
      <c r="BG169" s="8">
        <f>IFERROR(EXP(1.076*LN(AQ169)-4.5397)*IF(_xlfn.XLOOKUP(E169,Groups!A:A,Groups!N:N)="Insect",1,IF(OR(_xlfn.XLOOKUP(E169,Groups!A:A,Groups!N:N)="Pig",_xlfn.XLOOKUP(E169,Groups!A:A,Groups!N:N)="StrongBitingHerbivore"),3.5,3.75)),"No")</f>
        <v>287.90192373720538</v>
      </c>
      <c r="BH169" s="8">
        <f t="shared" si="108"/>
        <v>11</v>
      </c>
      <c r="BI169" s="8">
        <f t="shared" si="109"/>
        <v>16</v>
      </c>
      <c r="BJ169" s="8" t="str">
        <f t="shared" si="110"/>
        <v>No</v>
      </c>
      <c r="BK169" s="8">
        <f t="shared" si="111"/>
        <v>15</v>
      </c>
      <c r="BL169" s="8">
        <f t="shared" si="112"/>
        <v>11</v>
      </c>
      <c r="BM169" s="8" cm="1">
        <f t="array" ref="BM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N169" s="8" t="str">
        <f>IF(W169="No","No",IF(_xlfn.XLOOKUP(E169,Groups!A:A,Groups!BD:BD)=1,(AL169*5%),EXP(0.7354*LN(C169)^0.4078)*2/IF(_xlfn.XLOOKUP(E169,Groups!A:A,Groups!BL:BL)=1,1000,100)))</f>
        <v>No</v>
      </c>
      <c r="BO169" s="8">
        <f>IF(BG169="No","No",IF(_xlfn.XLOOKUP(E169,Groups!A:A,Groups!BF:BF)=1,(0.0315*C169+2.1825)*2,(0.7354*C169^0.4078)*2)/IF(_xlfn.XLOOKUP(E169,Groups!A:A,Groups!BM:BM)=1,1000,100))</f>
        <v>7.2509279375208967E-3</v>
      </c>
      <c r="BP169" s="8">
        <f t="shared" si="113"/>
        <v>3.1316282758419357E-3</v>
      </c>
      <c r="BQ169" s="8">
        <f t="shared" si="114"/>
        <v>31764.422564170676</v>
      </c>
      <c r="BR169" s="8" t="str">
        <f t="shared" si="115"/>
        <v>No</v>
      </c>
      <c r="BS169" s="8">
        <f t="shared" si="116"/>
        <v>39705.528205213341</v>
      </c>
      <c r="BT169" s="4">
        <v>0</v>
      </c>
      <c r="BU169" s="4">
        <v>1</v>
      </c>
    </row>
    <row r="170" spans="1:73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Groups!A64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4" t="s">
        <v>40</v>
      </c>
      <c r="AL170" s="8">
        <f t="shared" si="102"/>
        <v>439700</v>
      </c>
      <c r="AM170" s="8">
        <f>IFERROR(C170*_xlfn.XLOOKUP(E170,Groups!A:A,Groups!K:K),0.106*C170^0.94)</f>
        <v>27.1</v>
      </c>
      <c r="AN170" s="8">
        <f>AM170*10000/(_xlfn.XLOOKUP(E170,Groups!A:A,Groups!J:J)*AL170)</f>
        <v>0.27888204318658238</v>
      </c>
      <c r="AO170" s="8">
        <f t="shared" si="103"/>
        <v>2659.7495843014949</v>
      </c>
      <c r="AP170" s="8">
        <f>IF(_xlfn.XLOOKUP(E170,Groups!A:A,Groups!M:M)=1,EXP(0.7444*LN('Base stats'!C170)+6.5696),EXP(0.7927*LN('Base stats'!C170)+4.28))</f>
        <v>2780.8680507952254</v>
      </c>
      <c r="AQ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R170" s="8">
        <f>IF(_xlfn.XLOOKUP(E170,Groups!A:A,Groups!U:U)=3,AP170,IF(_xlfn.XLOOKUP(E170,Groups!A:A,Groups!U:U)=2,AO170,AQ170))</f>
        <v>21975.614515210149</v>
      </c>
      <c r="AS170" s="46">
        <f>IFERROR(AVERAGE(_xlfn.XLOOKUP(B170,Animals!B:B,Animals!N:N),_xlfn.XLOOKUP(B170,Animals!B:B,Animals!O:O)),0)</f>
        <v>0.95000000000000007</v>
      </c>
      <c r="AT170" s="8">
        <f>MROUND(40*Animals!AO170*_xlfn.XLOOKUP(Animals!BA170,Leathers!$A$2:$A$100,Leathers!$B$2:$B$100,0)+(140*_xlfn.XLOOKUP(B170,Animals!B:B,Animals!AO:AO)*2),5)</f>
        <v>1600</v>
      </c>
      <c r="AU170" s="8">
        <f>IFERROR(ROUND(SQRT(V170-1)*IF(_xlfn.XLOOKUP(E170,Groups!A:A,Groups!BF:BF)=0,2,1)*IF(_xlfn.XLOOKUP('Base stats'!E170,Groups!A:A,Groups!O:O)=0,1,0.1),1),0)</f>
        <v>0</v>
      </c>
      <c r="AV170" s="8">
        <f t="shared" si="104"/>
        <v>0</v>
      </c>
      <c r="AW170" s="8">
        <f t="shared" si="105"/>
        <v>0</v>
      </c>
      <c r="AX170" s="8">
        <f t="shared" si="106"/>
        <v>4.2</v>
      </c>
      <c r="AY170" s="8">
        <f>IF(_xlfn.XLOOKUP(E170,Groups!A:A,Groups!N:N)="Insect",BA170*2.5,IFERROR(AVERAGE(BA170,AQ170/9.81/IF(OR(_xlfn.XLOOKUP(E170,Groups!A:A,Groups!N:N)="Pig",_xlfn.XLOOKUP(E170,Groups!A:A,Groups!N:N)="StrongBitingHerbivore"),20,25))*C170^-0.135,BA170))</f>
        <v>3.1566474154577655</v>
      </c>
      <c r="AZ170" s="8" t="str">
        <f>IF(W170="No","No",IF(_xlfn.XLOOKUP(E170,Groups!A:A,Groups!U:U)=1,'Base stats'!AY170,IF(OR(_xlfn.XLOOKUP(E170,Groups!A:A,Groups!BD:BD)=1,_xlfn.XLOOKUP(E170,Groups!A:A,Groups!U:U)=2),BA170,IF(_xlfn.XLOOKUP(B170,Animals!B:B,Animals!AO:AO)&gt;4,AVERAGE(BA170,BC170),BC170))))</f>
        <v>No</v>
      </c>
      <c r="BA170" s="8">
        <f t="shared" si="107"/>
        <v>1.2626589661831062</v>
      </c>
      <c r="BB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C170" s="8">
        <f>(0.048*C170^1.01)/IF(_xlfn.XLOOKUP(E170,Groups!A:A,Groups!M:M)=1,0.25,0.8)*C170^-0.25</f>
        <v>1.986786728895547</v>
      </c>
      <c r="BD170" s="8">
        <f>EXP(1.076*LN(AO170)-4.5397)*IF(_xlfn.XLOOKUP(E170,Groups!A:A,Groups!BC:BC)=1,1.25,IF(_xlfn.XLOOKUP(E170,Groups!A:A,Groups!BD:BD)=1,3.5,2.5))</f>
        <v>129.27126415643053</v>
      </c>
      <c r="BE170" s="8">
        <f>EXP(1.076*LN(AP170)-4.5397)*IF(_xlfn.XLOOKUP(E170,Groups!A:A,Groups!M:M)=1,0.8,IF(_xlfn.XLOOKUP(E170,Groups!A:A,Groups!BC:BC)=1,1.3,3))</f>
        <v>162.73939114543509</v>
      </c>
      <c r="BF170" s="8" t="str">
        <f>IF(W170="No","No",IF(_xlfn.XLOOKUP(E170,Groups!A:A,Groups!U:U)=1,'Base stats'!BG170,IF(OR(_xlfn.XLOOKUP(E170,Groups!A:A,Groups!BD:BD)=1,_xlfn.XLOOKUP(E170,Groups!A:A,Groups!U:U)=2),BD170,BE170))*1.2)</f>
        <v>No</v>
      </c>
      <c r="BG170" s="8">
        <f>IFERROR(EXP(1.076*LN(AQ170)-4.5397)*IF(_xlfn.XLOOKUP(E170,Groups!A:A,Groups!N:N)="Insect",1,IF(OR(_xlfn.XLOOKUP(E170,Groups!A:A,Groups!N:N)="Pig",_xlfn.XLOOKUP(E170,Groups!A:A,Groups!N:N)="StrongBitingHerbivore"),3.5,3.75)),"No")</f>
        <v>501.60503473544446</v>
      </c>
      <c r="BH170" s="8">
        <f t="shared" si="108"/>
        <v>14</v>
      </c>
      <c r="BI170" s="8">
        <f t="shared" si="109"/>
        <v>11</v>
      </c>
      <c r="BJ170" s="8" t="str">
        <f t="shared" si="110"/>
        <v>No</v>
      </c>
      <c r="BK170" s="8" t="str">
        <f t="shared" si="111"/>
        <v>No</v>
      </c>
      <c r="BL170" s="8">
        <f t="shared" si="112"/>
        <v>12</v>
      </c>
      <c r="BM170" s="8" t="str" cm="1">
        <f t="array" ref="BM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N170" s="8" t="str">
        <f>IF(W170="No","No",IF(_xlfn.XLOOKUP(E170,Groups!A:A,Groups!BD:BD)=1,(AL170*5%),EXP(0.7354*LN(C170)^0.4078)*2/IF(_xlfn.XLOOKUP(E170,Groups!A:A,Groups!BL:BL)=1,1000,100)))</f>
        <v>No</v>
      </c>
      <c r="BO170" s="8">
        <f>IF(BG170="No","No",IF(_xlfn.XLOOKUP(E170,Groups!A:A,Groups!BF:BF)=1,(0.0315*C170+2.1825)*2,(0.7354*C170^0.4078)*2)/IF(_xlfn.XLOOKUP(E170,Groups!A:A,Groups!BM:BM)=1,1000,100))</f>
        <v>9.6195248569743513E-2</v>
      </c>
      <c r="BP170" s="8">
        <f t="shared" si="113"/>
        <v>5.8799756268560627E-3</v>
      </c>
      <c r="BQ170" s="8" t="str">
        <f t="shared" si="114"/>
        <v>No</v>
      </c>
      <c r="BR170" s="8" t="str">
        <f t="shared" si="115"/>
        <v>No</v>
      </c>
      <c r="BS170" s="8">
        <f t="shared" si="116"/>
        <v>5214.4470978914369</v>
      </c>
      <c r="BT170" s="4">
        <v>0</v>
      </c>
      <c r="BU170" s="4">
        <v>1</v>
      </c>
    </row>
    <row r="171" spans="1:73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Groups!A34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IF(AQ171="No","No",IF(_xlfn.XLOOKUP(E171,Groups!A:A,Groups!AM:AM)=1,MROUND(EXP(0.3582*LN(C171)-0.2221)*T171,0.05),IF(_xlfn.XLOOKUP(E171,Groups!A:A,Groups!AM:AM)=2,MROUND(EXP(0.3582*LN(C171)-0.2221)*T171,0.05),"Need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397</v>
      </c>
      <c r="AF171" s="4">
        <v>0</v>
      </c>
      <c r="AG171" s="4">
        <v>0</v>
      </c>
      <c r="AH171" s="4">
        <v>0</v>
      </c>
      <c r="AI171" s="4">
        <v>0</v>
      </c>
      <c r="AJ171" s="4">
        <v>1</v>
      </c>
      <c r="AK171" s="44" t="s">
        <v>40</v>
      </c>
      <c r="AL171" s="8">
        <f t="shared" ref="AL171:AL180" si="117">(0.111*C171^0.65)*10000</f>
        <v>1125.096338028226</v>
      </c>
      <c r="AM171" s="8">
        <f>IFERROR(C171*_xlfn.XLOOKUP(E171,Groups!A:A,Groups!K:K),0.106*C171^0.94)</f>
        <v>0.12736974999999998</v>
      </c>
      <c r="AN171" s="8">
        <f>AM171*10000/(_xlfn.XLOOKUP(E171,Groups!A:A,Groups!J:J)*AL171)</f>
        <v>1.0386042306045133</v>
      </c>
      <c r="AO171" s="8">
        <f t="shared" si="103"/>
        <v>55.343267175725082</v>
      </c>
      <c r="AP171" s="8">
        <f>IF(_xlfn.XLOOKUP(E171,Groups!A:A,Groups!M:M)=1,EXP(0.7444*LN('Base stats'!C171)+6.5696),EXP(0.7927*LN('Base stats'!C171)+4.28))</f>
        <v>73.440409245375434</v>
      </c>
      <c r="AQ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R171" s="8">
        <f>IF(_xlfn.XLOOKUP(E171,Groups!A:A,Groups!U:U)=3,AP171,IF(_xlfn.XLOOKUP(E171,Groups!A:A,Groups!U:U)=2,AO171,AQ171))</f>
        <v>69.148599776552857</v>
      </c>
      <c r="AS171" s="46">
        <f>IFERROR(AVERAGE(_xlfn.XLOOKUP(B171,Animals!B:B,Animals!N:N),_xlfn.XLOOKUP(B171,Animals!B:B,Animals!O:O)),0)</f>
        <v>0</v>
      </c>
      <c r="AT171" s="8">
        <f>MROUND(40*Animals!AO171*_xlfn.XLOOKUP(Animals!BA171,Leathers!$A$2:$A$100,Leathers!$B$2:$B$100,0)+(140*_xlfn.XLOOKUP(B171,Animals!B:B,Animals!AO:AO)*2),5)</f>
        <v>75</v>
      </c>
      <c r="AU171" s="8">
        <f>IFERROR(ROUND(SQRT(V171-1)*IF(_xlfn.XLOOKUP(E171,Groups!A:A,Groups!BF:BF)=0,2,1)*IF(_xlfn.XLOOKUP('Base stats'!E171,Groups!A:A,Groups!O:O)=0,1,0.1),1),0)</f>
        <v>0</v>
      </c>
      <c r="AV171" s="8">
        <f t="shared" si="104"/>
        <v>0</v>
      </c>
      <c r="AW171" s="8">
        <f t="shared" si="105"/>
        <v>0</v>
      </c>
      <c r="AX171" s="8">
        <f t="shared" si="106"/>
        <v>0.6</v>
      </c>
      <c r="AY171" s="8">
        <f>IF(_xlfn.XLOOKUP(E171,Groups!A:A,Groups!N:N)="Insect",BA171*2.5,IFERROR(AVERAGE(BA171,AQ171/9.81/IF(OR(_xlfn.XLOOKUP(E171,Groups!A:A,Groups!N:N)="Pig",_xlfn.XLOOKUP(E171,Groups!A:A,Groups!N:N)="StrongBitingHerbivore"),20,25))*C171^-0.135,BA171))</f>
        <v>0.16046633278129638</v>
      </c>
      <c r="AZ171" s="8" t="str">
        <f>IF(W171="No","No",IF(_xlfn.XLOOKUP(E171,Groups!A:A,Groups!U:U)=1,'Base stats'!AY171,IF(OR(_xlfn.XLOOKUP(E171,Groups!A:A,Groups!BD:BD)=1,_xlfn.XLOOKUP(E171,Groups!A:A,Groups!U:U)=2),BA171,IF(_xlfn.XLOOKUP(B171,Animals!B:B,Animals!AO:AO)&gt;4,AVERAGE(BA171,BC171),BC171))))</f>
        <v>No</v>
      </c>
      <c r="BA171" s="8">
        <f t="shared" si="107"/>
        <v>3.9882875123161909E-2</v>
      </c>
      <c r="BB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C171" s="8">
        <f>(0.048*C171^1.01)/IF(_xlfn.XLOOKUP(E171,Groups!A:A,Groups!M:M)=1,0.25,0.8)*C171^-0.25</f>
        <v>6.0955207551135558E-2</v>
      </c>
      <c r="BD171" s="8">
        <f>EXP(1.076*LN(AO171)-4.5397)*IF(_xlfn.XLOOKUP(E171,Groups!A:A,Groups!BC:BC)=1,1.25,IF(_xlfn.XLOOKUP(E171,Groups!A:A,Groups!BD:BD)=1,3.5,2.5))</f>
        <v>2.0040616045550155</v>
      </c>
      <c r="BE171" s="8">
        <f>EXP(1.076*LN(AP171)-4.5397)*IF(_xlfn.XLOOKUP(E171,Groups!A:A,Groups!M:M)=1,0.8,IF(_xlfn.XLOOKUP(E171,Groups!A:A,Groups!BC:BC)=1,1.3,3))</f>
        <v>3.2606242204274993</v>
      </c>
      <c r="BF171" s="8" t="str">
        <f>IF(W171="No","No",IF(_xlfn.XLOOKUP(E171,Groups!A:A,Groups!U:U)=1,'Base stats'!BG171,IF(OR(_xlfn.XLOOKUP(E171,Groups!A:A,Groups!BD:BD)=1,_xlfn.XLOOKUP(E171,Groups!A:A,Groups!U:U)=2),BD171,BE171))*1.2)</f>
        <v>No</v>
      </c>
      <c r="BG171" s="8">
        <f>IFERROR(EXP(1.076*LN(AQ171)-4.5397)*IF(_xlfn.XLOOKUP(E171,Groups!A:A,Groups!N:N)="Insect",1,IF(OR(_xlfn.XLOOKUP(E171,Groups!A:A,Groups!N:N)="Pig",_xlfn.XLOOKUP(E171,Groups!A:A,Groups!N:N)="StrongBitingHerbivore"),3.5,3.75)),"No")</f>
        <v>3.8200718918048557</v>
      </c>
      <c r="BH171" s="8">
        <f t="shared" si="108"/>
        <v>10</v>
      </c>
      <c r="BI171" s="8">
        <f t="shared" si="109"/>
        <v>9</v>
      </c>
      <c r="BJ171" s="8" t="str">
        <f t="shared" si="110"/>
        <v>No</v>
      </c>
      <c r="BK171" s="8">
        <f t="shared" si="111"/>
        <v>6</v>
      </c>
      <c r="BL171" s="8">
        <f t="shared" si="112"/>
        <v>10</v>
      </c>
      <c r="BM171" s="8" cm="1">
        <f t="array" ref="BM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N171" s="8" t="str">
        <f>IF(W171="No","No",IF(_xlfn.XLOOKUP(E171,Groups!A:A,Groups!BD:BD)=1,(AL171*5%),EXP(0.7354*LN(C171)^0.4078)*2/IF(_xlfn.XLOOKUP(E171,Groups!A:A,Groups!BL:BL)=1,1000,100)))</f>
        <v>No</v>
      </c>
      <c r="BO171" s="8">
        <f>IF(BG171="No","No",IF(_xlfn.XLOOKUP(E171,Groups!A:A,Groups!BF:BF)=1,(0.0315*C171+2.1825)*2,(0.7354*C171^0.4078)*2)/IF(_xlfn.XLOOKUP(E171,Groups!A:A,Groups!BM:BM)=1,1000,100))</f>
        <v>1.4833181773242334E-2</v>
      </c>
      <c r="BP171" s="8">
        <f t="shared" si="113"/>
        <v>3.5624711179261491E-2</v>
      </c>
      <c r="BQ171" s="8">
        <f t="shared" si="114"/>
        <v>219.81960918926774</v>
      </c>
      <c r="BR171" s="8" t="str">
        <f t="shared" si="115"/>
        <v>No</v>
      </c>
      <c r="BS171" s="8">
        <f t="shared" si="116"/>
        <v>257.53556790464921</v>
      </c>
      <c r="BT171" s="4">
        <v>0</v>
      </c>
      <c r="BU171" s="4">
        <v>1</v>
      </c>
    </row>
    <row r="172" spans="1:73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Groups!A43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>
        <v>0</v>
      </c>
      <c r="AG172" s="4">
        <v>0</v>
      </c>
      <c r="AH172" s="4">
        <v>0</v>
      </c>
      <c r="AI172" s="4">
        <v>0</v>
      </c>
      <c r="AJ172" s="4">
        <v>1</v>
      </c>
      <c r="AK172" s="44" t="s">
        <v>40</v>
      </c>
      <c r="AL172" s="8">
        <f t="shared" si="117"/>
        <v>105251.48308535226</v>
      </c>
      <c r="AM172" s="8">
        <f>IFERROR(C172*_xlfn.XLOOKUP(E172,Groups!A:A,Groups!K:K),0.106*C172^0.94)</f>
        <v>76.597569493188232</v>
      </c>
      <c r="AN172" s="8">
        <f>AM172*10000/(_xlfn.XLOOKUP(E172,Groups!A:A,Groups!J:J)*AL172)</f>
        <v>6.6766754705060203</v>
      </c>
      <c r="AO172" s="8">
        <f t="shared" si="103"/>
        <v>20160.678815796717</v>
      </c>
      <c r="AP172" s="8">
        <f>IF(_xlfn.XLOOKUP(E172,Groups!A:A,Groups!M:M)=1,EXP(0.7444*LN('Base stats'!C172)+6.5696),EXP(0.7927*LN('Base stats'!C172)+4.28))</f>
        <v>18607.685795809553</v>
      </c>
      <c r="AQ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R172" s="8">
        <f>IF(_xlfn.XLOOKUP(E172,Groups!A:A,Groups!U:U)=3,AP172,IF(_xlfn.XLOOKUP(E172,Groups!A:A,Groups!U:U)=2,AO172,AQ172))</f>
        <v>20160.678815796717</v>
      </c>
      <c r="AS172" s="46">
        <f>IFERROR(AVERAGE(_xlfn.XLOOKUP(B172,Animals!B:B,Animals!N:N),_xlfn.XLOOKUP(B172,Animals!B:B,Animals!O:O)),0)</f>
        <v>0</v>
      </c>
      <c r="AT172" s="8">
        <f>MROUND(40*Animals!AO172*_xlfn.XLOOKUP(Animals!BA172,Leathers!$A$2:$A$100,Leathers!$B$2:$B$100,0)+(140*_xlfn.XLOOKUP(B172,Animals!B:B,Animals!AO:AO)*2),5)</f>
        <v>1570</v>
      </c>
      <c r="AU172" s="8">
        <f>IFERROR(ROUND(SQRT(V172-1)*IF(_xlfn.XLOOKUP(E172,Groups!A:A,Groups!BF:BF)=0,2,1)*IF(_xlfn.XLOOKUP('Base stats'!E172,Groups!A:A,Groups!O:O)=0,1,0.1),1),0)</f>
        <v>2.2000000000000002</v>
      </c>
      <c r="AV172" s="8">
        <f t="shared" si="104"/>
        <v>0</v>
      </c>
      <c r="AW172" s="8">
        <f t="shared" si="105"/>
        <v>6.9</v>
      </c>
      <c r="AX172" s="8">
        <f t="shared" si="106"/>
        <v>9.8000000000000007</v>
      </c>
      <c r="AY172" s="8">
        <f>IF(_xlfn.XLOOKUP(E172,Groups!A:A,Groups!N:N)="Insect",BA172*2.5,IFERROR(AVERAGE(BA172,AQ172/9.81/IF(OR(_xlfn.XLOOKUP(E172,Groups!A:A,Groups!N:N)="Pig",_xlfn.XLOOKUP(E172,Groups!A:A,Groups!N:N)="StrongBitingHerbivore"),20,25))*C172^-0.135,BA172))</f>
        <v>10.6868186552502</v>
      </c>
      <c r="AZ172" s="8">
        <f>IF(W172="No","No",IF(_xlfn.XLOOKUP(E172,Groups!A:A,Groups!U:U)=1,'Base stats'!AY172,IF(OR(_xlfn.XLOOKUP(E172,Groups!A:A,Groups!BD:BD)=1,_xlfn.XLOOKUP(E172,Groups!A:A,Groups!U:U)=2),BA172,IF(_xlfn.XLOOKUP(B172,Animals!B:B,Animals!AO:AO)&gt;4,AVERAGE(BA172,BC172),BC172))))</f>
        <v>7.700096211174249</v>
      </c>
      <c r="BA172" s="8">
        <f t="shared" si="107"/>
        <v>7.700096211174249</v>
      </c>
      <c r="BB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C172" s="8">
        <f>(0.048*C172^1.01)/IF(_xlfn.XLOOKUP(E172,Groups!A:A,Groups!M:M)=1,0.25,0.8)*C172^-0.25</f>
        <v>12.291636010376193</v>
      </c>
      <c r="BD172" s="8">
        <f>EXP(1.076*LN(AO172)-4.5397)*IF(_xlfn.XLOOKUP(E172,Groups!A:A,Groups!BC:BC)=1,1.25,IF(_xlfn.XLOOKUP(E172,Groups!A:A,Groups!BD:BD)=1,3.5,2.5))</f>
        <v>1142.9333135956558</v>
      </c>
      <c r="BE172" s="8">
        <f>EXP(1.076*LN(AP172)-4.5397)*IF(_xlfn.XLOOKUP(E172,Groups!A:A,Groups!M:M)=1,0.8,IF(_xlfn.XLOOKUP(E172,Groups!A:A,Groups!BC:BC)=1,1.3,3))</f>
        <v>1258.182322275647</v>
      </c>
      <c r="BF172" s="8">
        <f>IF(W172="No","No",IF(_xlfn.XLOOKUP(E172,Groups!A:A,Groups!U:U)=1,'Base stats'!BG172,IF(OR(_xlfn.XLOOKUP(E172,Groups!A:A,Groups!BD:BD)=1,_xlfn.XLOOKUP(E172,Groups!A:A,Groups!U:U)=2),BD172,BE172))*1.2)</f>
        <v>1371.5199763147868</v>
      </c>
      <c r="BG172" s="8">
        <f>IFERROR(EXP(1.076*LN(AQ172)-4.5397)*IF(_xlfn.XLOOKUP(E172,Groups!A:A,Groups!N:N)="Insect",1,IF(OR(_xlfn.XLOOKUP(E172,Groups!A:A,Groups!N:N)="Pig",_xlfn.XLOOKUP(E172,Groups!A:A,Groups!N:N)="StrongBitingHerbivore"),3.5,3.75)),"No")</f>
        <v>694.58430497858171</v>
      </c>
      <c r="BH172" s="8">
        <f t="shared" si="108"/>
        <v>17</v>
      </c>
      <c r="BI172" s="8">
        <f t="shared" si="109"/>
        <v>12</v>
      </c>
      <c r="BJ172" s="8">
        <f t="shared" si="110"/>
        <v>18</v>
      </c>
      <c r="BK172" s="8">
        <f t="shared" si="111"/>
        <v>11</v>
      </c>
      <c r="BL172" s="8">
        <f t="shared" si="112"/>
        <v>14</v>
      </c>
      <c r="BM172" s="8" t="str" cm="1">
        <f t="array" ref="BM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N172" s="8">
        <f>IF(W172="No","No",IF(_xlfn.XLOOKUP(E172,Groups!A:A,Groups!BD:BD)=1,(AL172*5%),EXP(0.7354*LN(C172)^0.4078)*2/IF(_xlfn.XLOOKUP(E172,Groups!A:A,Groups!BL:BL)=1,1000,100)))</f>
        <v>0.10171249757005109</v>
      </c>
      <c r="BO172" s="8">
        <f>IF(BG172="No","No",IF(_xlfn.XLOOKUP(E172,Groups!A:A,Groups!BF:BF)=1,(0.0315*C172+2.1825)*2,(0.7354*C172^0.4078)*2)/IF(_xlfn.XLOOKUP(E172,Groups!A:A,Groups!BM:BM)=1,1000,100))</f>
        <v>0.25576055059574831</v>
      </c>
      <c r="BP172" s="8">
        <f t="shared" si="113"/>
        <v>0.21718141732384133</v>
      </c>
      <c r="BQ172" s="8" t="str">
        <f t="shared" si="114"/>
        <v>No</v>
      </c>
      <c r="BR172" s="8">
        <f t="shared" si="115"/>
        <v>13484.281765573578</v>
      </c>
      <c r="BS172" s="8">
        <f t="shared" si="116"/>
        <v>2715.7601254793681</v>
      </c>
      <c r="BT172" s="4">
        <v>0</v>
      </c>
      <c r="BU172" s="4">
        <v>1</v>
      </c>
    </row>
    <row r="173" spans="1:73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Groups!A41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IF(AQ173="No","No",IF(_xlfn.XLOOKUP(E173,Groups!A:A,Groups!AM:AM)=1,MROUND(EXP(0.3582*LN(C173)-0.2221)*T173,0.05),IF(_xlfn.XLOOKUP(E173,Groups!A:A,Groups!AM:AM)=2,MROUND(EXP(0.3582*LN(C173)-0.2221)*T173,0.05),"Need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>
        <v>0</v>
      </c>
      <c r="AG173" s="4">
        <v>0</v>
      </c>
      <c r="AH173" s="4">
        <v>0</v>
      </c>
      <c r="AI173" s="4">
        <v>0</v>
      </c>
      <c r="AJ173" s="4">
        <v>1</v>
      </c>
      <c r="AK173" s="44" t="s">
        <v>40</v>
      </c>
      <c r="AL173" s="8">
        <f t="shared" si="117"/>
        <v>12193.606615764173</v>
      </c>
      <c r="AM173" s="8">
        <f>IFERROR(C173*_xlfn.XLOOKUP(E173,Groups!A:A,Groups!K:K),0.106*C173^0.94)</f>
        <v>3.392158171478437</v>
      </c>
      <c r="AN173" s="8">
        <f>AM173*10000/(_xlfn.XLOOKUP(E173,Groups!A:A,Groups!J:J)*AL173)</f>
        <v>2.5522159398920881</v>
      </c>
      <c r="AO173" s="8">
        <f t="shared" si="103"/>
        <v>1224.6509893194125</v>
      </c>
      <c r="AP173" s="8">
        <f>IF(_xlfn.XLOOKUP(E173,Groups!A:A,Groups!M:M)=1,EXP(0.7444*LN('Base stats'!C173)+6.5696),EXP(0.7927*LN('Base stats'!C173)+4.28))</f>
        <v>1343.0347023471277</v>
      </c>
      <c r="AQ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R173" s="8">
        <f>IF(_xlfn.XLOOKUP(E173,Groups!A:A,Groups!U:U)=3,AP173,IF(_xlfn.XLOOKUP(E173,Groups!A:A,Groups!U:U)=2,AO173,AQ173))</f>
        <v>593.65064942336471</v>
      </c>
      <c r="AS173" s="46">
        <f>IFERROR(AVERAGE(_xlfn.XLOOKUP(B173,Animals!B:B,Animals!N:N),_xlfn.XLOOKUP(B173,Animals!B:B,Animals!O:O)),0)</f>
        <v>0</v>
      </c>
      <c r="AT173" s="8">
        <f>MROUND(40*Animals!AO173*_xlfn.XLOOKUP(Animals!BA173,Leathers!$A$2:$A$100,Leathers!$B$2:$B$100,0)+(140*_xlfn.XLOOKUP(B173,Animals!B:B,Animals!AO:AO)*2),5)</f>
        <v>285</v>
      </c>
      <c r="AU173" s="8">
        <f>IFERROR(ROUND(SQRT(V173-1)*IF(_xlfn.XLOOKUP(E173,Groups!A:A,Groups!BF:BF)=0,2,1)*IF(_xlfn.XLOOKUP('Base stats'!E173,Groups!A:A,Groups!O:O)=0,1,0.1),1),0)</f>
        <v>2.8</v>
      </c>
      <c r="AV173" s="8">
        <f t="shared" si="104"/>
        <v>0</v>
      </c>
      <c r="AW173" s="8">
        <f t="shared" si="105"/>
        <v>0</v>
      </c>
      <c r="AX173" s="8">
        <f t="shared" si="106"/>
        <v>3</v>
      </c>
      <c r="AY173" s="8">
        <f>IF(_xlfn.XLOOKUP(E173,Groups!A:A,Groups!N:N)="Insect",BA173*2.5,IFERROR(AVERAGE(BA173,AQ173/9.81/IF(OR(_xlfn.XLOOKUP(E173,Groups!A:A,Groups!N:N)="Pig",_xlfn.XLOOKUP(E173,Groups!A:A,Groups!N:N)="StrongBitingHerbivore"),20,25))*C173^-0.135,BA173))</f>
        <v>0.92779462698216975</v>
      </c>
      <c r="AZ173" s="8" t="str">
        <f>IF(W173="No","No",IF(_xlfn.XLOOKUP(E173,Groups!A:A,Groups!U:U)=1,'Base stats'!AY173,IF(OR(_xlfn.XLOOKUP(E173,Groups!A:A,Groups!BD:BD)=1,_xlfn.XLOOKUP(E173,Groups!A:A,Groups!U:U)=2),BA173,IF(_xlfn.XLOOKUP(B173,Animals!B:B,Animals!AO:AO)&gt;4,AVERAGE(BA173,BC173),BC173))))</f>
        <v>No</v>
      </c>
      <c r="BA173" s="8">
        <f t="shared" si="107"/>
        <v>0.63186564097306441</v>
      </c>
      <c r="BB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C173" s="8">
        <f>(0.048*C173^1.01)/IF(_xlfn.XLOOKUP(E173,Groups!A:A,Groups!M:M)=1,0.25,0.8)*C173^-0.25</f>
        <v>0.98877480869839474</v>
      </c>
      <c r="BD173" s="8">
        <f>EXP(1.076*LN(AO173)-4.5397)*IF(_xlfn.XLOOKUP(E173,Groups!A:A,Groups!BC:BC)=1,1.25,IF(_xlfn.XLOOKUP(E173,Groups!A:A,Groups!BD:BD)=1,3.5,2.5))</f>
        <v>56.114438879003373</v>
      </c>
      <c r="BE173" s="8">
        <f>EXP(1.076*LN(AP173)-4.5397)*IF(_xlfn.XLOOKUP(E173,Groups!A:A,Groups!M:M)=1,0.8,IF(_xlfn.XLOOKUP(E173,Groups!A:A,Groups!BC:BC)=1,1.3,3))</f>
        <v>74.366348840447856</v>
      </c>
      <c r="BF173" s="8" t="str">
        <f>IF(W173="No","No",IF(_xlfn.XLOOKUP(E173,Groups!A:A,Groups!U:U)=1,'Base stats'!BG173,IF(OR(_xlfn.XLOOKUP(E173,Groups!A:A,Groups!BD:BD)=1,_xlfn.XLOOKUP(E173,Groups!A:A,Groups!U:U)=2),BD173,BE173))*1.2)</f>
        <v>No</v>
      </c>
      <c r="BG173" s="8">
        <f>IFERROR(EXP(1.076*LN(AQ173)-4.5397)*IF(_xlfn.XLOOKUP(E173,Groups!A:A,Groups!N:N)="Insect",1,IF(OR(_xlfn.XLOOKUP(E173,Groups!A:A,Groups!N:N)="Pig",_xlfn.XLOOKUP(E173,Groups!A:A,Groups!N:N)="StrongBitingHerbivore"),3.5,3.75)),"No")</f>
        <v>38.617477968946893</v>
      </c>
      <c r="BH173" s="8">
        <f t="shared" si="108"/>
        <v>13</v>
      </c>
      <c r="BI173" s="8">
        <f t="shared" si="109"/>
        <v>10</v>
      </c>
      <c r="BJ173" s="8" t="str">
        <f t="shared" si="110"/>
        <v>No</v>
      </c>
      <c r="BK173" s="8">
        <f t="shared" si="111"/>
        <v>9</v>
      </c>
      <c r="BL173" s="8">
        <f t="shared" si="112"/>
        <v>12</v>
      </c>
      <c r="BM173" s="8" cm="1">
        <f t="array" ref="BM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N173" s="8" t="str">
        <f>IF(W173="No","No",IF(_xlfn.XLOOKUP(E173,Groups!A:A,Groups!BD:BD)=1,(AL173*5%),EXP(0.7354*LN(C173)^0.4078)*2/IF(_xlfn.XLOOKUP(E173,Groups!A:A,Groups!BL:BL)=1,1000,100)))</f>
        <v>No</v>
      </c>
      <c r="BO173" s="8">
        <f>IF(BG173="No","No",IF(_xlfn.XLOOKUP(E173,Groups!A:A,Groups!BF:BF)=1,(0.0315*C173+2.1825)*2,(0.7354*C173^0.4078)*2)/IF(_xlfn.XLOOKUP(E173,Groups!A:A,Groups!BM:BM)=1,1000,100))</f>
        <v>6.6151744499875986E-2</v>
      </c>
      <c r="BP173" s="8">
        <f t="shared" si="113"/>
        <v>9.2039116312736133E-2</v>
      </c>
      <c r="BQ173" s="8">
        <f t="shared" si="114"/>
        <v>39.091770919217133</v>
      </c>
      <c r="BR173" s="8" t="str">
        <f t="shared" si="115"/>
        <v>No</v>
      </c>
      <c r="BS173" s="8">
        <f t="shared" si="116"/>
        <v>583.77111988360775</v>
      </c>
      <c r="BT173" s="4">
        <v>0</v>
      </c>
      <c r="BU173" s="4">
        <v>1</v>
      </c>
    </row>
    <row r="174" spans="1:73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>
        <v>0</v>
      </c>
      <c r="AG174" s="4">
        <v>0</v>
      </c>
      <c r="AH174" s="4">
        <v>0</v>
      </c>
      <c r="AI174" s="4">
        <v>0</v>
      </c>
      <c r="AJ174" s="4">
        <v>1</v>
      </c>
      <c r="AK174" s="44" t="s">
        <v>40</v>
      </c>
      <c r="AL174" s="8">
        <f t="shared" si="117"/>
        <v>29816.048439554645</v>
      </c>
      <c r="AM174" s="8">
        <f>IFERROR(C174*_xlfn.XLOOKUP(E174,Groups!A:A,Groups!K:K),0.106*C174^0.94)</f>
        <v>12.360713120212504</v>
      </c>
      <c r="AN174" s="8">
        <f>AM174*10000/(_xlfn.XLOOKUP(E174,Groups!A:A,Groups!J:J)*AL174)</f>
        <v>3.8033557005385839</v>
      </c>
      <c r="AO174" s="8">
        <f t="shared" si="103"/>
        <v>3914.2304491773752</v>
      </c>
      <c r="AP174" s="8">
        <f>IF(_xlfn.XLOOKUP(E174,Groups!A:A,Groups!M:M)=1,EXP(0.7444*LN('Base stats'!C174)+6.5696),EXP(0.7927*LN('Base stats'!C174)+4.28))</f>
        <v>3996.2795016509476</v>
      </c>
      <c r="AQ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R174" s="8">
        <f>IF(_xlfn.XLOOKUP(E174,Groups!A:A,Groups!U:U)=3,AP174,IF(_xlfn.XLOOKUP(E174,Groups!A:A,Groups!U:U)=2,AO174,AQ174))</f>
        <v>467.03853082898877</v>
      </c>
      <c r="AS174" s="46">
        <f>IFERROR(AVERAGE(_xlfn.XLOOKUP(B174,Animals!B:B,Animals!N:N),_xlfn.XLOOKUP(B174,Animals!B:B,Animals!O:O)),0)</f>
        <v>0</v>
      </c>
      <c r="AT174" s="8">
        <f>MROUND(40*Animals!AO174*_xlfn.XLOOKUP(Animals!BA174,Leathers!$A$2:$A$100,Leathers!$B$2:$B$100,0)+(140*_xlfn.XLOOKUP(B174,Animals!B:B,Animals!AO:AO)*2),5)</f>
        <v>565</v>
      </c>
      <c r="AU174" s="8">
        <f>IFERROR(ROUND(SQRT(V174-1)*IF(_xlfn.XLOOKUP(E174,Groups!A:A,Groups!BF:BF)=0,2,1)*IF(_xlfn.XLOOKUP('Base stats'!E174,Groups!A:A,Groups!O:O)=0,1,0.1),1),0)</f>
        <v>0.3</v>
      </c>
      <c r="AV174" s="8">
        <f t="shared" si="104"/>
        <v>2.2000000000000002</v>
      </c>
      <c r="AW174" s="8">
        <f t="shared" si="105"/>
        <v>0</v>
      </c>
      <c r="AX174" s="8">
        <f t="shared" si="106"/>
        <v>4.9000000000000004</v>
      </c>
      <c r="AY174" s="8">
        <f>IF(_xlfn.XLOOKUP(E174,Groups!A:A,Groups!N:N)="Insect",BA174*2.5,IFERROR(AVERAGE(BA174,AQ174/9.81/IF(OR(_xlfn.XLOOKUP(E174,Groups!A:A,Groups!N:N)="Pig",_xlfn.XLOOKUP(E174,Groups!A:A,Groups!N:N)="StrongBitingHerbivore"),20,25))*C174^-0.135,BA174))</f>
        <v>0.93073584075318005</v>
      </c>
      <c r="AZ174" s="8" t="str">
        <f>IF(W174="No","No",IF(_xlfn.XLOOKUP(E174,Groups!A:A,Groups!U:U)=1,'Base stats'!AY174,IF(OR(_xlfn.XLOOKUP(E174,Groups!A:A,Groups!BD:BD)=1,_xlfn.XLOOKUP(E174,Groups!A:A,Groups!U:U)=2),BA174,IF(_xlfn.XLOOKUP(B174,Animals!B:B,Animals!AO:AO)&gt;4,AVERAGE(BA174,BC174),BC174))))</f>
        <v>No</v>
      </c>
      <c r="BA174" s="8">
        <f t="shared" si="107"/>
        <v>1.7826804862107648</v>
      </c>
      <c r="BB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C174" s="8">
        <f>(0.048*C174^1.01)/IF(_xlfn.XLOOKUP(E174,Groups!A:A,Groups!M:M)=1,0.25,0.8)*C174^-0.25</f>
        <v>2.8127467818541616</v>
      </c>
      <c r="BD174" s="8">
        <f>EXP(1.076*LN(AO174)-4.5397)*IF(_xlfn.XLOOKUP(E174,Groups!A:A,Groups!BC:BC)=1,1.25,IF(_xlfn.XLOOKUP(E174,Groups!A:A,Groups!BD:BD)=1,3.5,2.5))</f>
        <v>195.91192228350945</v>
      </c>
      <c r="BE174" s="8">
        <f>EXP(1.076*LN(AP174)-4.5397)*IF(_xlfn.XLOOKUP(E174,Groups!A:A,Groups!M:M)=1,0.8,IF(_xlfn.XLOOKUP(E174,Groups!A:A,Groups!BC:BC)=1,1.3,3))</f>
        <v>240.40101424282807</v>
      </c>
      <c r="BF174" s="8" t="str">
        <f>IF(W174="No","No",IF(_xlfn.XLOOKUP(E174,Groups!A:A,Groups!U:U)=1,'Base stats'!BG174,IF(OR(_xlfn.XLOOKUP(E174,Groups!A:A,Groups!BD:BD)=1,_xlfn.XLOOKUP(E174,Groups!A:A,Groups!U:U)=2),BD174,BE174))*1.2)</f>
        <v>No</v>
      </c>
      <c r="BG174" s="8">
        <f>IFERROR(EXP(1.076*LN(AQ174)-4.5397)*IF(_xlfn.XLOOKUP(E174,Groups!A:A,Groups!N:N)="Insect",1,IF(OR(_xlfn.XLOOKUP(E174,Groups!A:A,Groups!N:N)="Pig",_xlfn.XLOOKUP(E174,Groups!A:A,Groups!N:N)="StrongBitingHerbivore"),3.5,3.75)),"No")</f>
        <v>29.832395347188957</v>
      </c>
      <c r="BH174" s="8">
        <f t="shared" si="108"/>
        <v>14</v>
      </c>
      <c r="BI174" s="8">
        <f t="shared" si="109"/>
        <v>9</v>
      </c>
      <c r="BJ174" s="8" t="str">
        <f t="shared" si="110"/>
        <v>No</v>
      </c>
      <c r="BK174" s="8">
        <f t="shared" si="111"/>
        <v>8</v>
      </c>
      <c r="BL174" s="8">
        <f t="shared" si="112"/>
        <v>13</v>
      </c>
      <c r="BM174" s="8" cm="1">
        <f t="array" ref="BM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N174" s="8" t="str">
        <f>IF(W174="No","No",IF(_xlfn.XLOOKUP(E174,Groups!A:A,Groups!BD:BD)=1,(AL174*5%),EXP(0.7354*LN(C174)^0.4078)*2/IF(_xlfn.XLOOKUP(E174,Groups!A:A,Groups!BL:BL)=1,1000,100)))</f>
        <v>No</v>
      </c>
      <c r="BO174" s="8">
        <f>IF(BG174="No","No",IF(_xlfn.XLOOKUP(E174,Groups!A:A,Groups!BF:BF)=1,(0.0315*C174+2.1825)*2,(0.7354*C174^0.4078)*2)/IF(_xlfn.XLOOKUP(E174,Groups!A:A,Groups!BM:BM)=1,1000,100))</f>
        <v>0.11592203092401863</v>
      </c>
      <c r="BP174" s="8">
        <f t="shared" si="113"/>
        <v>0.13141374027525946</v>
      </c>
      <c r="BQ174" s="8">
        <f t="shared" si="114"/>
        <v>2073.8164465079071</v>
      </c>
      <c r="BR174" s="8" t="str">
        <f t="shared" si="115"/>
        <v>No</v>
      </c>
      <c r="BS174" s="8">
        <f t="shared" si="116"/>
        <v>257.3487982344156</v>
      </c>
      <c r="BT174" s="4">
        <v>0</v>
      </c>
      <c r="BU174" s="4">
        <v>1</v>
      </c>
    </row>
    <row r="175" spans="1:73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Groups!A22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>
        <v>0</v>
      </c>
      <c r="AG175" s="4">
        <v>0</v>
      </c>
      <c r="AH175" s="4">
        <v>0</v>
      </c>
      <c r="AI175" s="4">
        <v>0</v>
      </c>
      <c r="AJ175" s="4">
        <v>1</v>
      </c>
      <c r="AK175" s="44" t="s">
        <v>40</v>
      </c>
      <c r="AL175" s="8">
        <f t="shared" si="117"/>
        <v>43248.963050706334</v>
      </c>
      <c r="AM175" s="8">
        <f>IFERROR(C175*_xlfn.XLOOKUP(E175,Groups!A:A,Groups!K:K),0.106*C175^0.94)</f>
        <v>21.165786678220933</v>
      </c>
      <c r="AN175" s="8">
        <f>AM175*10000/(_xlfn.XLOOKUP(E175,Groups!A:A,Groups!J:J)*AL175)</f>
        <v>4.4898539863331788</v>
      </c>
      <c r="AO175" s="8">
        <f t="shared" si="103"/>
        <v>6346.804759702758</v>
      </c>
      <c r="AP175" s="8">
        <f>IF(_xlfn.XLOOKUP(E175,Groups!A:A,Groups!M:M)=1,EXP(0.7444*LN('Base stats'!C175)+6.5696),EXP(0.7927*LN('Base stats'!C175)+4.28))</f>
        <v>6289.8828104523209</v>
      </c>
      <c r="AQ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R175" s="8">
        <f>IF(_xlfn.XLOOKUP(E175,Groups!A:A,Groups!U:U)=3,AP175,IF(_xlfn.XLOOKUP(E175,Groups!A:A,Groups!U:U)=2,AO175,AQ175))</f>
        <v>3728.4083499042572</v>
      </c>
      <c r="AS175" s="46">
        <f>IFERROR(AVERAGE(_xlfn.XLOOKUP(B175,Animals!B:B,Animals!N:N),_xlfn.XLOOKUP(B175,Animals!B:B,Animals!O:O)),0)</f>
        <v>0</v>
      </c>
      <c r="AT175" s="8">
        <f>MROUND(40*Animals!AO175*_xlfn.XLOOKUP(Animals!BA175,Leathers!$A$2:$A$100,Leathers!$B$2:$B$100,0)+(140*_xlfn.XLOOKUP(B175,Animals!B:B,Animals!AO:AO)*2),5)</f>
        <v>820</v>
      </c>
      <c r="AU175" s="8">
        <f>IFERROR(ROUND(SQRT(V175-1)*IF(_xlfn.XLOOKUP(E175,Groups!A:A,Groups!BF:BF)=0,2,1)*IF(_xlfn.XLOOKUP('Base stats'!E175,Groups!A:A,Groups!O:O)=0,1,0.1),1),0)</f>
        <v>0.7</v>
      </c>
      <c r="AV175" s="8">
        <f t="shared" si="104"/>
        <v>0</v>
      </c>
      <c r="AW175" s="8">
        <f t="shared" si="105"/>
        <v>0</v>
      </c>
      <c r="AX175" s="8">
        <f t="shared" si="106"/>
        <v>6</v>
      </c>
      <c r="AY175" s="8">
        <f>IF(_xlfn.XLOOKUP(E175,Groups!A:A,Groups!N:N)="Insect",BA175*2.5,IFERROR(AVERAGE(BA175,AQ175/9.81/IF(OR(_xlfn.XLOOKUP(E175,Groups!A:A,Groups!N:N)="Pig",_xlfn.XLOOKUP(E175,Groups!A:A,Groups!N:N)="StrongBitingHerbivore"),20,25))*C175^-0.135,BA175))</f>
        <v>5.0817406215823828</v>
      </c>
      <c r="AZ175" s="8" t="str">
        <f>IF(W175="No","No",IF(_xlfn.XLOOKUP(E175,Groups!A:A,Groups!U:U)=1,'Base stats'!AY175,IF(OR(_xlfn.XLOOKUP(E175,Groups!A:A,Groups!BD:BD)=1,_xlfn.XLOOKUP(E175,Groups!A:A,Groups!U:U)=2),BA175,IF(_xlfn.XLOOKUP(B175,Animals!B:B,Animals!AO:AO)&gt;4,AVERAGE(BA175,BC175),BC175))))</f>
        <v>No</v>
      </c>
      <c r="BA175" s="8">
        <f t="shared" si="107"/>
        <v>2.7443735352452556</v>
      </c>
      <c r="BB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C175" s="8">
        <f>(0.048*C175^1.01)/IF(_xlfn.XLOOKUP(E175,Groups!A:A,Groups!M:M)=1,0.25,0.8)*C175^-0.25</f>
        <v>4.3450157416647412</v>
      </c>
      <c r="BD175" s="8">
        <f>EXP(1.076*LN(AO175)-4.5397)*IF(_xlfn.XLOOKUP(E175,Groups!A:A,Groups!BC:BC)=1,1.25,IF(_xlfn.XLOOKUP(E175,Groups!A:A,Groups!BD:BD)=1,3.5,2.5))</f>
        <v>329.55103389391587</v>
      </c>
      <c r="BE175" s="8">
        <f>EXP(1.076*LN(AP175)-4.5397)*IF(_xlfn.XLOOKUP(E175,Groups!A:A,Groups!M:M)=1,0.8,IF(_xlfn.XLOOKUP(E175,Groups!A:A,Groups!BC:BC)=1,1.3,3))</f>
        <v>391.64625971648672</v>
      </c>
      <c r="BF175" s="8" t="str">
        <f>IF(W175="No","No",IF(_xlfn.XLOOKUP(E175,Groups!A:A,Groups!U:U)=1,'Base stats'!BG175,IF(OR(_xlfn.XLOOKUP(E175,Groups!A:A,Groups!BD:BD)=1,_xlfn.XLOOKUP(E175,Groups!A:A,Groups!U:U)=2),BD175,BE175))*1.2)</f>
        <v>No</v>
      </c>
      <c r="BG175" s="8">
        <f>IFERROR(EXP(1.076*LN(AQ175)-4.5397)*IF(_xlfn.XLOOKUP(E175,Groups!A:A,Groups!N:N)="Insect",1,IF(OR(_xlfn.XLOOKUP(E175,Groups!A:A,Groups!N:N)="Pig",_xlfn.XLOOKUP(E175,Groups!A:A,Groups!N:N)="StrongBitingHerbivore"),3.5,3.75)),"No")</f>
        <v>260.29189226422181</v>
      </c>
      <c r="BH175" s="8">
        <f t="shared" si="108"/>
        <v>15</v>
      </c>
      <c r="BI175" s="8">
        <f t="shared" si="109"/>
        <v>11</v>
      </c>
      <c r="BJ175" s="8" t="str">
        <f t="shared" si="110"/>
        <v>No</v>
      </c>
      <c r="BK175" s="8">
        <f t="shared" si="111"/>
        <v>10</v>
      </c>
      <c r="BL175" s="8">
        <f t="shared" si="112"/>
        <v>13</v>
      </c>
      <c r="BM175" s="8" cm="1">
        <f t="array" ref="BM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N175" s="8" t="str">
        <f>IF(W175="No","No",IF(_xlfn.XLOOKUP(E175,Groups!A:A,Groups!BD:BD)=1,(AL175*5%),EXP(0.7354*LN(C175)^0.4078)*2/IF(_xlfn.XLOOKUP(E175,Groups!A:A,Groups!BL:BL)=1,1000,100)))</f>
        <v>No</v>
      </c>
      <c r="BO175" s="8">
        <f>IF(BG175="No","No",IF(_xlfn.XLOOKUP(E175,Groups!A:A,Groups!BF:BF)=1,(0.0315*C175+2.1825)*2,(0.7354*C175^0.4078)*2)/IF(_xlfn.XLOOKUP(E175,Groups!A:A,Groups!BM:BM)=1,1000,100))</f>
        <v>0.22005000000000002</v>
      </c>
      <c r="BP175" s="8">
        <f t="shared" si="113"/>
        <v>0.15239719551543501</v>
      </c>
      <c r="BQ175" s="8">
        <f t="shared" si="114"/>
        <v>7.4695602633057803</v>
      </c>
      <c r="BR175" s="8" t="str">
        <f t="shared" si="115"/>
        <v>No</v>
      </c>
      <c r="BS175" s="8">
        <f t="shared" si="116"/>
        <v>1182.8761293534278</v>
      </c>
      <c r="BT175" s="4">
        <v>0</v>
      </c>
      <c r="BU175" s="4">
        <v>1</v>
      </c>
    </row>
    <row r="176" spans="1:73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>
        <v>0</v>
      </c>
      <c r="AG176" s="4">
        <v>1</v>
      </c>
      <c r="AH176" s="4">
        <v>0</v>
      </c>
      <c r="AI176" s="4">
        <v>0</v>
      </c>
      <c r="AJ176" s="4">
        <v>1</v>
      </c>
      <c r="AK176" s="44">
        <v>11</v>
      </c>
      <c r="AL176" s="8">
        <f t="shared" si="117"/>
        <v>2950.6052630710305</v>
      </c>
      <c r="AM176" s="8">
        <f>IFERROR(C176*_xlfn.XLOOKUP(E176,Groups!A:A,Groups!K:K),0.106*C176^0.94)</f>
        <v>0.43583853713193826</v>
      </c>
      <c r="AN176" s="8">
        <f>AM176*10000/(_xlfn.XLOOKUP(E176,Groups!A:A,Groups!J:J)*AL176)</f>
        <v>1.3551520223081701</v>
      </c>
      <c r="AO176" s="8">
        <f t="shared" si="103"/>
        <v>193.73556787208551</v>
      </c>
      <c r="AP176" s="8">
        <f>IF(_xlfn.XLOOKUP(E176,Groups!A:A,Groups!M:M)=1,EXP(0.7444*LN('Base stats'!C176)+6.5696),EXP(0.7927*LN('Base stats'!C176)+4.28))</f>
        <v>238.00273195891231</v>
      </c>
      <c r="AQ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R176" s="8">
        <f>IF(_xlfn.XLOOKUP(E176,Groups!A:A,Groups!U:U)=3,AP176,IF(_xlfn.XLOOKUP(E176,Groups!A:A,Groups!U:U)=2,AO176,AQ176))</f>
        <v>39.802015714796987</v>
      </c>
      <c r="AS176" s="46">
        <f>IFERROR(AVERAGE(_xlfn.XLOOKUP(B176,Animals!B:B,Animals!N:N),_xlfn.XLOOKUP(B176,Animals!B:B,Animals!O:O)),0)</f>
        <v>0</v>
      </c>
      <c r="AT176" s="8">
        <f>MROUND(40*Animals!AO176*_xlfn.XLOOKUP(Animals!BA176,Leathers!$A$2:$A$100,Leathers!$B$2:$B$100,0)+(140*_xlfn.XLOOKUP(B176,Animals!B:B,Animals!AO:AO)*2),5)</f>
        <v>85</v>
      </c>
      <c r="AU176" s="8">
        <f>IFERROR(ROUND(SQRT(V176-1)*IF(_xlfn.XLOOKUP(E176,Groups!A:A,Groups!BF:BF)=0,2,1)*IF(_xlfn.XLOOKUP('Base stats'!E176,Groups!A:A,Groups!O:O)=0,1,0.1),1),0)</f>
        <v>0.3</v>
      </c>
      <c r="AV176" s="8">
        <f t="shared" si="104"/>
        <v>0</v>
      </c>
      <c r="AW176" s="8">
        <f t="shared" si="105"/>
        <v>0</v>
      </c>
      <c r="AX176" s="8">
        <f t="shared" si="106"/>
        <v>1</v>
      </c>
      <c r="AY176" s="8">
        <f>IF(_xlfn.XLOOKUP(E176,Groups!A:A,Groups!N:N)="Insect",BA176*2.5,IFERROR(AVERAGE(BA176,AQ176/9.81/IF(OR(_xlfn.XLOOKUP(E176,Groups!A:A,Groups!N:N)="Pig",_xlfn.XLOOKUP(E176,Groups!A:A,Groups!N:N)="StrongBitingHerbivore"),20,25))*C176^-0.135,BA176))</f>
        <v>0.12206734153284268</v>
      </c>
      <c r="AZ176" s="8" t="str">
        <f>IF(W176="No","No",IF(_xlfn.XLOOKUP(E176,Groups!A:A,Groups!U:U)=1,'Base stats'!AY176,IF(OR(_xlfn.XLOOKUP(E176,Groups!A:A,Groups!BD:BD)=1,_xlfn.XLOOKUP(E176,Groups!A:A,Groups!U:U)=2),BA176,IF(_xlfn.XLOOKUP(B176,Animals!B:B,Animals!AO:AO)&gt;4,AVERAGE(BA176,BC176),BC176))))</f>
        <v>No</v>
      </c>
      <c r="BA176" s="8">
        <f t="shared" si="107"/>
        <v>0.1368061641182855</v>
      </c>
      <c r="BB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C176" s="8">
        <f>(0.048*C176^1.01)/IF(_xlfn.XLOOKUP(E176,Groups!A:A,Groups!M:M)=1,0.25,0.8)*C176^-0.25</f>
        <v>0.18818836143592041</v>
      </c>
      <c r="BD176" s="8">
        <f>EXP(1.076*LN(AO176)-4.5397)*IF(_xlfn.XLOOKUP(E176,Groups!A:A,Groups!BC:BC)=1,1.25,IF(_xlfn.XLOOKUP(E176,Groups!A:A,Groups!BD:BD)=1,3.5,2.5))</f>
        <v>7.716326944216144</v>
      </c>
      <c r="BE176" s="8">
        <f>EXP(1.076*LN(AP176)-4.5397)*IF(_xlfn.XLOOKUP(E176,Groups!A:A,Groups!M:M)=1,0.8,IF(_xlfn.XLOOKUP(E176,Groups!A:A,Groups!BC:BC)=1,1.3,3))</f>
        <v>11.55464920650892</v>
      </c>
      <c r="BF176" s="8" t="str">
        <f>IF(W176="No","No",IF(_xlfn.XLOOKUP(E176,Groups!A:A,Groups!U:U)=1,'Base stats'!BG176,IF(OR(_xlfn.XLOOKUP(E176,Groups!A:A,Groups!BD:BD)=1,_xlfn.XLOOKUP(E176,Groups!A:A,Groups!U:U)=2),BD176,BE176))*1.2)</f>
        <v>No</v>
      </c>
      <c r="BG176" s="8">
        <f>IFERROR(EXP(1.076*LN(AQ176)-4.5397)*IF(_xlfn.XLOOKUP(E176,Groups!A:A,Groups!N:N)="Insect",1,IF(OR(_xlfn.XLOOKUP(E176,Groups!A:A,Groups!N:N)="Pig",_xlfn.XLOOKUP(E176,Groups!A:A,Groups!N:N)="StrongBitingHerbivore"),3.5,3.75)),"No")</f>
        <v>2.1084458907362174</v>
      </c>
      <c r="BH176" s="8">
        <f t="shared" si="108"/>
        <v>10</v>
      </c>
      <c r="BI176" s="8">
        <f t="shared" si="109"/>
        <v>7</v>
      </c>
      <c r="BJ176" s="8" t="str">
        <f t="shared" si="110"/>
        <v>No</v>
      </c>
      <c r="BK176" s="8">
        <f t="shared" si="111"/>
        <v>5</v>
      </c>
      <c r="BL176" s="8">
        <f t="shared" si="112"/>
        <v>11</v>
      </c>
      <c r="BM176" s="8" t="str" cm="1">
        <f t="array" ref="BM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N176" s="8" t="str">
        <f>IF(W176="No","No",IF(_xlfn.XLOOKUP(E176,Groups!A:A,Groups!BD:BD)=1,(AL176*5%),EXP(0.7354*LN(C176)^0.4078)*2/IF(_xlfn.XLOOKUP(E176,Groups!A:A,Groups!BL:BL)=1,1000,100)))</f>
        <v>No</v>
      </c>
      <c r="BO176" s="8">
        <f>IF(BG176="No","No",IF(_xlfn.XLOOKUP(E176,Groups!A:A,Groups!BF:BF)=1,(0.0315*C176+2.1825)*2,(0.7354*C176^0.4078)*2)/IF(_xlfn.XLOOKUP(E176,Groups!A:A,Groups!BM:BM)=1,1000,100))</f>
        <v>2.7160245069965436E-2</v>
      </c>
      <c r="BP176" s="8">
        <f t="shared" si="113"/>
        <v>5.2303349694325998E-2</v>
      </c>
      <c r="BQ176" s="8" t="str">
        <f t="shared" si="114"/>
        <v>No</v>
      </c>
      <c r="BR176" s="8" t="str">
        <f t="shared" si="115"/>
        <v>No</v>
      </c>
      <c r="BS176" s="8">
        <f t="shared" si="116"/>
        <v>77.629855154281955</v>
      </c>
      <c r="BT176" s="4">
        <v>0</v>
      </c>
      <c r="BU176" s="4">
        <v>1</v>
      </c>
    </row>
    <row r="177" spans="1:73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Groups!A33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IF(AQ177="No","No",IF(_xlfn.XLOOKUP(E177,Groups!A:A,Groups!AM:AM)=1,MROUND(EXP(0.3582*LN(C177)-0.2221)*T177,0.05),IF(_xlfn.XLOOKUP(E177,Groups!A:A,Groups!AM:AM)=2,MROUND(EXP(0.3582*LN(C177)-0.2221)*T177,0.05),"Need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>
        <v>0</v>
      </c>
      <c r="AG177" s="4">
        <v>0</v>
      </c>
      <c r="AH177" s="4">
        <v>0</v>
      </c>
      <c r="AI177" s="4">
        <v>0</v>
      </c>
      <c r="AJ177" s="4">
        <v>1</v>
      </c>
      <c r="AK177" s="44" t="s">
        <v>40</v>
      </c>
      <c r="AL177" s="8">
        <f t="shared" si="117"/>
        <v>3605.9930569006506</v>
      </c>
      <c r="AM177" s="8">
        <f>IFERROR(C177*_xlfn.XLOOKUP(E177,Groups!A:A,Groups!K:K),0.106*C177^0.94)</f>
        <v>0.76431830000000001</v>
      </c>
      <c r="AN177" s="8">
        <f>AM177*10000/(_xlfn.XLOOKUP(E177,Groups!A:A,Groups!J:J)*AL177)</f>
        <v>1.9445668321501803</v>
      </c>
      <c r="AO177" s="8">
        <f t="shared" si="103"/>
        <v>251.42997905005222</v>
      </c>
      <c r="AP177" s="8">
        <f>IF(_xlfn.XLOOKUP(E177,Groups!A:A,Groups!M:M)=1,EXP(0.7444*LN('Base stats'!C177)+6.5696),EXP(0.7927*LN('Base stats'!C177)+4.28))</f>
        <v>303.96287211097786</v>
      </c>
      <c r="AQ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R177" s="8">
        <f>IF(_xlfn.XLOOKUP(E177,Groups!A:A,Groups!U:U)=3,AP177,IF(_xlfn.XLOOKUP(E177,Groups!A:A,Groups!U:U)=2,AO177,AQ177))</f>
        <v>264.45383560190891</v>
      </c>
      <c r="AS177" s="46">
        <f>IFERROR(AVERAGE(_xlfn.XLOOKUP(B177,Animals!B:B,Animals!N:N),_xlfn.XLOOKUP(B177,Animals!B:B,Animals!O:O)),0)</f>
        <v>0</v>
      </c>
      <c r="AT177" s="8">
        <f>MROUND(40*Animals!AO177*_xlfn.XLOOKUP(Animals!BA177,Leathers!$A$2:$A$100,Leathers!$B$2:$B$100,0)+(140*_xlfn.XLOOKUP(B177,Animals!B:B,Animals!AO:AO)*2),5)</f>
        <v>125</v>
      </c>
      <c r="AU177" s="8">
        <f>IFERROR(ROUND(SQRT(V177-1)*IF(_xlfn.XLOOKUP(E177,Groups!A:A,Groups!BF:BF)=0,2,1)*IF(_xlfn.XLOOKUP('Base stats'!E177,Groups!A:A,Groups!O:O)=0,1,0.1),1),0)</f>
        <v>1.5</v>
      </c>
      <c r="AV177" s="8">
        <f t="shared" si="104"/>
        <v>1.2</v>
      </c>
      <c r="AW177" s="8">
        <f t="shared" si="105"/>
        <v>0</v>
      </c>
      <c r="AX177" s="8">
        <f t="shared" si="106"/>
        <v>1.2</v>
      </c>
      <c r="AY177" s="8">
        <f>IF(_xlfn.XLOOKUP(E177,Groups!A:A,Groups!N:N)="Insect",BA177*2.5,IFERROR(AVERAGE(BA177,AQ177/9.81/IF(OR(_xlfn.XLOOKUP(E177,Groups!A:A,Groups!N:N)="Pig",_xlfn.XLOOKUP(E177,Groups!A:A,Groups!N:N)="StrongBitingHerbivore"),20,25))*C177^-0.135,BA177))</f>
        <v>0.49132872418829543</v>
      </c>
      <c r="AZ177" s="8" t="str">
        <f>IF(W177="No","No",IF(_xlfn.XLOOKUP(E177,Groups!A:A,Groups!U:U)=1,'Base stats'!AY177,IF(OR(_xlfn.XLOOKUP(E177,Groups!A:A,Groups!BD:BD)=1,_xlfn.XLOOKUP(E177,Groups!A:A,Groups!U:U)=2),BA177,IF(_xlfn.XLOOKUP(B177,Animals!B:B,Animals!AO:AO)&gt;4,AVERAGE(BA177,BC177),BC177))))</f>
        <v>No</v>
      </c>
      <c r="BA177" s="8">
        <f t="shared" si="107"/>
        <v>0.17679797026889368</v>
      </c>
      <c r="BB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C177" s="8">
        <f>(0.048*C177^1.01)/IF(_xlfn.XLOOKUP(E177,Groups!A:A,Groups!M:M)=1,0.25,0.8)*C177^-0.25</f>
        <v>0.23792981405136351</v>
      </c>
      <c r="BD177" s="8">
        <f>EXP(1.076*LN(AO177)-4.5397)*IF(_xlfn.XLOOKUP(E177,Groups!A:A,Groups!BC:BC)=1,1.25,IF(_xlfn.XLOOKUP(E177,Groups!A:A,Groups!BD:BD)=1,3.5,2.5))</f>
        <v>10.214617413604199</v>
      </c>
      <c r="BE177" s="8">
        <f>EXP(1.076*LN(AP177)-4.5397)*IF(_xlfn.XLOOKUP(E177,Groups!A:A,Groups!M:M)=1,0.8,IF(_xlfn.XLOOKUP(E177,Groups!A:A,Groups!BC:BC)=1,1.3,3))</f>
        <v>15.033825176859128</v>
      </c>
      <c r="BF177" s="8" t="str">
        <f>IF(W177="No","No",IF(_xlfn.XLOOKUP(E177,Groups!A:A,Groups!U:U)=1,'Base stats'!BG177,IF(OR(_xlfn.XLOOKUP(E177,Groups!A:A,Groups!BD:BD)=1,_xlfn.XLOOKUP(E177,Groups!A:A,Groups!U:U)=2),BD177,BE177))*1.2)</f>
        <v>No</v>
      </c>
      <c r="BG177" s="8">
        <f>IFERROR(EXP(1.076*LN(AQ177)-4.5397)*IF(_xlfn.XLOOKUP(E177,Groups!A:A,Groups!N:N)="Insect",1,IF(OR(_xlfn.XLOOKUP(E177,Groups!A:A,Groups!N:N)="Pig",_xlfn.XLOOKUP(E177,Groups!A:A,Groups!N:N)="StrongBitingHerbivore"),3.5,3.75)),"No")</f>
        <v>16.17756184386171</v>
      </c>
      <c r="BH177" s="8">
        <f t="shared" si="108"/>
        <v>10</v>
      </c>
      <c r="BI177" s="8">
        <f t="shared" si="109"/>
        <v>10</v>
      </c>
      <c r="BJ177" s="8" t="str">
        <f t="shared" si="110"/>
        <v>No</v>
      </c>
      <c r="BK177" s="8">
        <f t="shared" si="111"/>
        <v>8</v>
      </c>
      <c r="BL177" s="8">
        <f t="shared" si="112"/>
        <v>11</v>
      </c>
      <c r="BM177" s="8" cm="1">
        <f t="array" ref="BM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N177" s="8" t="str">
        <f>IF(W177="No","No",IF(_xlfn.XLOOKUP(E177,Groups!A:A,Groups!BD:BD)=1,(AL177*5%),EXP(0.7354*LN(C177)^0.4078)*2/IF(_xlfn.XLOOKUP(E177,Groups!A:A,Groups!BL:BL)=1,1000,100)))</f>
        <v>No</v>
      </c>
      <c r="BO177" s="8">
        <f>IF(BG177="No","No",IF(_xlfn.XLOOKUP(E177,Groups!A:A,Groups!BF:BF)=1,(0.0315*C177+2.1825)*2,(0.7354*C177^0.4078)*2)/IF(_xlfn.XLOOKUP(E177,Groups!A:A,Groups!BM:BM)=1,1000,100))</f>
        <v>3.0802610595156293E-2</v>
      </c>
      <c r="BP177" s="8">
        <f t="shared" si="113"/>
        <v>5.6653561182303865E-2</v>
      </c>
      <c r="BQ177" s="8">
        <f t="shared" si="114"/>
        <v>488.069838444901</v>
      </c>
      <c r="BR177" s="8" t="str">
        <f t="shared" si="115"/>
        <v>No</v>
      </c>
      <c r="BS177" s="8">
        <f t="shared" si="116"/>
        <v>525.20099859346431</v>
      </c>
      <c r="BT177" s="4">
        <v>0</v>
      </c>
      <c r="BU177" s="4">
        <v>1</v>
      </c>
    </row>
    <row r="178" spans="1:73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IF(AQ178="No","No",IF(_xlfn.XLOOKUP(E178,Groups!A:A,Groups!AM:AM)=1,MROUND(EXP(0.3582*LN(C178)-0.2221)*T178,0.05),IF(_xlfn.XLOOKUP(E178,Groups!A:A,Groups!AM:AM)=2,MROUND(EXP(0.3582*LN(C178)-0.2221)*T178,0.05),"Need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>
        <v>0</v>
      </c>
      <c r="AG178" s="4">
        <v>0</v>
      </c>
      <c r="AH178" s="4">
        <v>0</v>
      </c>
      <c r="AI178" s="4">
        <v>0</v>
      </c>
      <c r="AJ178" s="4">
        <v>1</v>
      </c>
      <c r="AK178" s="44" t="s">
        <v>40</v>
      </c>
      <c r="AL178" s="8">
        <f t="shared" si="117"/>
        <v>6919.7226057303715</v>
      </c>
      <c r="AM178" s="8">
        <f>IFERROR(C178*_xlfn.XLOOKUP(E178,Groups!A:A,Groups!K:K),0.106*C178^0.94)</f>
        <v>2.0833249999999999</v>
      </c>
      <c r="AN178" s="8">
        <f>AM178*10000/(_xlfn.XLOOKUP(E178,Groups!A:A,Groups!J:J)*AL178)</f>
        <v>2.762115547618551</v>
      </c>
      <c r="AO178" s="8">
        <f t="shared" si="103"/>
        <v>586.50180478223808</v>
      </c>
      <c r="AP178" s="8">
        <f>IF(_xlfn.XLOOKUP(E178,Groups!A:A,Groups!M:M)=1,EXP(0.7444*LN('Base stats'!C178)+6.5696),EXP(0.7927*LN('Base stats'!C178)+4.28))</f>
        <v>673.01962647480741</v>
      </c>
      <c r="AQ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R178" s="8">
        <f>IF(_xlfn.XLOOKUP(E178,Groups!A:A,Groups!U:U)=3,AP178,IF(_xlfn.XLOOKUP(E178,Groups!A:A,Groups!U:U)=2,AO178,AQ178))</f>
        <v>1382.9199872954503</v>
      </c>
      <c r="AS178" s="46">
        <f>IFERROR(AVERAGE(_xlfn.XLOOKUP(B178,Animals!B:B,Animals!N:N),_xlfn.XLOOKUP(B178,Animals!B:B,Animals!O:O)),0)</f>
        <v>0</v>
      </c>
      <c r="AT178" s="8">
        <f>MROUND(40*Animals!AO178*_xlfn.XLOOKUP(Animals!BA178,Leathers!$A$2:$A$100,Leathers!$B$2:$B$100,0)+(140*_xlfn.XLOOKUP(B178,Animals!B:B,Animals!AO:AO)*2),5)</f>
        <v>200</v>
      </c>
      <c r="AU178" s="8">
        <f>IFERROR(ROUND(SQRT(V178-1)*IF(_xlfn.XLOOKUP(E178,Groups!A:A,Groups!BF:BF)=0,2,1)*IF(_xlfn.XLOOKUP('Base stats'!E178,Groups!A:A,Groups!O:O)=0,1,0.1),1),0)</f>
        <v>2.2000000000000002</v>
      </c>
      <c r="AV178" s="8">
        <f t="shared" si="104"/>
        <v>0</v>
      </c>
      <c r="AW178" s="8">
        <f t="shared" si="105"/>
        <v>0</v>
      </c>
      <c r="AX178" s="8">
        <f t="shared" si="106"/>
        <v>2.1</v>
      </c>
      <c r="AY178" s="8">
        <f>IF(_xlfn.XLOOKUP(E178,Groups!A:A,Groups!N:N)="Insect",BA178*2.5,IFERROR(AVERAGE(BA178,AQ178/9.81/IF(OR(_xlfn.XLOOKUP(E178,Groups!A:A,Groups!N:N)="Pig",_xlfn.XLOOKUP(E178,Groups!A:A,Groups!N:N)="StrongBitingHerbivore"),20,25))*C178^-0.135,BA178))</f>
        <v>2.0670109099857714</v>
      </c>
      <c r="AZ178" s="8" t="str">
        <f>IF(W178="No","No",IF(_xlfn.XLOOKUP(E178,Groups!A:A,Groups!U:U)=1,'Base stats'!AY178,IF(OR(_xlfn.XLOOKUP(E178,Groups!A:A,Groups!BD:BD)=1,_xlfn.XLOOKUP(E178,Groups!A:A,Groups!U:U)=2),BA178,IF(_xlfn.XLOOKUP(B178,Animals!B:B,Animals!AO:AO)&gt;4,AVERAGE(BA178,BC178),BC178))))</f>
        <v>No</v>
      </c>
      <c r="BA178" s="8">
        <f t="shared" si="107"/>
        <v>0.40678361786832601</v>
      </c>
      <c r="BB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C178" s="8">
        <f>(0.048*C178^1.01)/IF(_xlfn.XLOOKUP(E178,Groups!A:A,Groups!M:M)=1,0.25,0.8)*C178^-0.25</f>
        <v>0.50981870849494881</v>
      </c>
      <c r="BD178" s="8">
        <f>EXP(1.076*LN(AO178)-4.5397)*IF(_xlfn.XLOOKUP(E178,Groups!A:A,Groups!BC:BC)=1,1.25,IF(_xlfn.XLOOKUP(E178,Groups!A:A,Groups!BD:BD)=1,3.5,2.5))</f>
        <v>25.41155098431426</v>
      </c>
      <c r="BE178" s="8">
        <f>EXP(1.076*LN(AP178)-4.5397)*IF(_xlfn.XLOOKUP(E178,Groups!A:A,Groups!M:M)=1,0.8,IF(_xlfn.XLOOKUP(E178,Groups!A:A,Groups!BC:BC)=1,1.3,3))</f>
        <v>35.360014291397988</v>
      </c>
      <c r="BF178" s="8" t="str">
        <f>IF(W178="No","No",IF(_xlfn.XLOOKUP(E178,Groups!A:A,Groups!U:U)=1,'Base stats'!BG178,IF(OR(_xlfn.XLOOKUP(E178,Groups!A:A,Groups!BD:BD)=1,_xlfn.XLOOKUP(E178,Groups!A:A,Groups!U:U)=2),BD178,BE178))*1.2)</f>
        <v>No</v>
      </c>
      <c r="BG178" s="8">
        <f>IFERROR(EXP(1.076*LN(AQ178)-4.5397)*IF(_xlfn.XLOOKUP(E178,Groups!A:A,Groups!N:N)="Insect",1,IF(OR(_xlfn.XLOOKUP(E178,Groups!A:A,Groups!N:N)="Pig",_xlfn.XLOOKUP(E178,Groups!A:A,Groups!N:N)="StrongBitingHerbivore"),3.5,3.75)),"No")</f>
        <v>95.931721463424893</v>
      </c>
      <c r="BH178" s="8">
        <f t="shared" si="108"/>
        <v>11</v>
      </c>
      <c r="BI178" s="8">
        <f t="shared" si="109"/>
        <v>10</v>
      </c>
      <c r="BJ178" s="8" t="str">
        <f t="shared" si="110"/>
        <v>No</v>
      </c>
      <c r="BK178" s="8">
        <f t="shared" si="111"/>
        <v>9</v>
      </c>
      <c r="BL178" s="8">
        <f t="shared" si="112"/>
        <v>11</v>
      </c>
      <c r="BM178" s="8" t="str" cm="1">
        <f t="array" ref="BM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N178" s="8" t="str">
        <f>IF(W178="No","No",IF(_xlfn.XLOOKUP(E178,Groups!A:A,Groups!BD:BD)=1,(AL178*5%),EXP(0.7354*LN(C178)^0.4078)*2/IF(_xlfn.XLOOKUP(E178,Groups!A:A,Groups!BL:BL)=1,1000,100)))</f>
        <v>No</v>
      </c>
      <c r="BO178" s="8">
        <f>IF(BG178="No","No",IF(_xlfn.XLOOKUP(E178,Groups!A:A,Groups!BF:BF)=1,(0.0315*C178+2.1825)*2,(0.7354*C178^0.4078)*2)/IF(_xlfn.XLOOKUP(E178,Groups!A:A,Groups!BM:BM)=1,1000,100))</f>
        <v>4.6363626455710044E-2</v>
      </c>
      <c r="BP178" s="8">
        <f t="shared" si="113"/>
        <v>7.3446733148725948E-2</v>
      </c>
      <c r="BQ178" s="8" t="str">
        <f t="shared" si="114"/>
        <v>No</v>
      </c>
      <c r="BR178" s="8" t="str">
        <f t="shared" si="115"/>
        <v>No</v>
      </c>
      <c r="BS178" s="8">
        <f t="shared" si="116"/>
        <v>2069.1160031466898</v>
      </c>
      <c r="BT178" s="4">
        <v>0</v>
      </c>
      <c r="BU178" s="4">
        <v>1</v>
      </c>
    </row>
    <row r="179" spans="1:73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IF(AQ179="No","No",IF(_xlfn.XLOOKUP(E179,Groups!A:A,Groups!AM:AM)=1,MROUND(EXP(0.3582*LN(C179)-0.2221)*T179,0.05),IF(_xlfn.XLOOKUP(E179,Groups!A:A,Groups!AM:AM)=2,MROUND(EXP(0.3582*LN(C179)-0.2221)*T179,0.05),"Need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>
        <v>0</v>
      </c>
      <c r="AG179" s="4">
        <v>0</v>
      </c>
      <c r="AH179" s="4">
        <v>0</v>
      </c>
      <c r="AI179" s="4">
        <v>0</v>
      </c>
      <c r="AJ179" s="4">
        <v>1</v>
      </c>
      <c r="AK179" s="44" t="s">
        <v>40</v>
      </c>
      <c r="AL179" s="8">
        <f t="shared" si="117"/>
        <v>9341.8480039934075</v>
      </c>
      <c r="AM179" s="8">
        <f>IFERROR(C179*_xlfn.XLOOKUP(E179,Groups!A:A,Groups!K:K),0.106*C179^0.94)</f>
        <v>3.3058749999999999</v>
      </c>
      <c r="AN179" s="8">
        <f>AM179*10000/(_xlfn.XLOOKUP(E179,Groups!A:A,Groups!J:J)*AL179)</f>
        <v>3.2465876588231817</v>
      </c>
      <c r="AO179" s="8">
        <f t="shared" si="103"/>
        <v>866.27651238056524</v>
      </c>
      <c r="AP179" s="8">
        <f>IF(_xlfn.XLOOKUP(E179,Groups!A:A,Groups!M:M)=1,EXP(0.7444*LN('Base stats'!C179)+6.5696),EXP(0.7927*LN('Base stats'!C179)+4.28))</f>
        <v>970.48178120144519</v>
      </c>
      <c r="AQ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R179" s="8">
        <f>IF(_xlfn.XLOOKUP(E179,Groups!A:A,Groups!U:U)=3,AP179,IF(_xlfn.XLOOKUP(E179,Groups!A:A,Groups!U:U)=2,AO179,AQ179))</f>
        <v>2035.073058254738</v>
      </c>
      <c r="AS179" s="46">
        <f>IFERROR(AVERAGE(_xlfn.XLOOKUP(B179,Animals!B:B,Animals!N:N),_xlfn.XLOOKUP(B179,Animals!B:B,Animals!O:O)),0)</f>
        <v>0</v>
      </c>
      <c r="AT179" s="8">
        <f>MROUND(40*Animals!AO179*_xlfn.XLOOKUP(Animals!BA179,Leathers!$A$2:$A$100,Leathers!$B$2:$B$100,0)+(140*_xlfn.XLOOKUP(B179,Animals!B:B,Animals!AO:AO)*2),5)</f>
        <v>235</v>
      </c>
      <c r="AU179" s="8">
        <f>IFERROR(ROUND(SQRT(V179-1)*IF(_xlfn.XLOOKUP(E179,Groups!A:A,Groups!BF:BF)=0,2,1)*IF(_xlfn.XLOOKUP('Base stats'!E179,Groups!A:A,Groups!O:O)=0,1,0.1),1),0)</f>
        <v>2.5</v>
      </c>
      <c r="AV179" s="8">
        <f t="shared" si="104"/>
        <v>0</v>
      </c>
      <c r="AW179" s="8">
        <f t="shared" si="105"/>
        <v>0</v>
      </c>
      <c r="AX179" s="8">
        <f t="shared" si="106"/>
        <v>2.6</v>
      </c>
      <c r="AY179" s="8">
        <f>IF(_xlfn.XLOOKUP(E179,Groups!A:A,Groups!N:N)="Insect",BA179*2.5,IFERROR(AVERAGE(BA179,AQ179/9.81/IF(OR(_xlfn.XLOOKUP(E179,Groups!A:A,Groups!N:N)="Pig",_xlfn.XLOOKUP(E179,Groups!A:A,Groups!N:N)="StrongBitingHerbivore"),20,25))*C179^-0.135,BA179))</f>
        <v>2.8574420810274579</v>
      </c>
      <c r="AZ179" s="8" t="str">
        <f>IF(W179="No","No",IF(_xlfn.XLOOKUP(E179,Groups!A:A,Groups!U:U)=1,'Base stats'!AY179,IF(OR(_xlfn.XLOOKUP(E179,Groups!A:A,Groups!BD:BD)=1,_xlfn.XLOOKUP(E179,Groups!A:A,Groups!U:U)=2),BA179,IF(_xlfn.XLOOKUP(B179,Animals!B:B,Animals!AO:AO)&gt;4,AVERAGE(BA179,BC179),BC179))))</f>
        <v>No</v>
      </c>
      <c r="BA179" s="8">
        <f t="shared" si="107"/>
        <v>0.59703994452888687</v>
      </c>
      <c r="BB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C179" s="8">
        <f>(0.048*C179^1.01)/IF(_xlfn.XLOOKUP(E179,Groups!A:A,Groups!M:M)=1,0.25,0.8)*C179^-0.25</f>
        <v>0.72413262498904141</v>
      </c>
      <c r="BD179" s="8">
        <f>EXP(1.076*LN(AO179)-4.5397)*IF(_xlfn.XLOOKUP(E179,Groups!A:A,Groups!BC:BC)=1,1.25,IF(_xlfn.XLOOKUP(E179,Groups!A:A,Groups!BD:BD)=1,3.5,2.5))</f>
        <v>38.66266492198455</v>
      </c>
      <c r="BE179" s="8">
        <f>EXP(1.076*LN(AP179)-4.5397)*IF(_xlfn.XLOOKUP(E179,Groups!A:A,Groups!M:M)=1,0.8,IF(_xlfn.XLOOKUP(E179,Groups!A:A,Groups!BC:BC)=1,1.3,3))</f>
        <v>52.426760544473467</v>
      </c>
      <c r="BF179" s="8" t="str">
        <f>IF(W179="No","No",IF(_xlfn.XLOOKUP(E179,Groups!A:A,Groups!U:U)=1,'Base stats'!BG179,IF(OR(_xlfn.XLOOKUP(E179,Groups!A:A,Groups!BD:BD)=1,_xlfn.XLOOKUP(E179,Groups!A:A,Groups!U:U)=2),BD179,BE179))*1.2)</f>
        <v>No</v>
      </c>
      <c r="BG179" s="8">
        <f>IFERROR(EXP(1.076*LN(AQ179)-4.5397)*IF(_xlfn.XLOOKUP(E179,Groups!A:A,Groups!N:N)="Insect",1,IF(OR(_xlfn.XLOOKUP(E179,Groups!A:A,Groups!N:N)="Pig",_xlfn.XLOOKUP(E179,Groups!A:A,Groups!N:N)="StrongBitingHerbivore"),3.5,3.75)),"No")</f>
        <v>145.37733170187784</v>
      </c>
      <c r="BH179" s="8">
        <f t="shared" si="108"/>
        <v>11</v>
      </c>
      <c r="BI179" s="8">
        <f t="shared" si="109"/>
        <v>10</v>
      </c>
      <c r="BJ179" s="8" t="str">
        <f t="shared" si="110"/>
        <v>No</v>
      </c>
      <c r="BK179" s="8">
        <f t="shared" si="111"/>
        <v>10</v>
      </c>
      <c r="BL179" s="8">
        <f t="shared" si="112"/>
        <v>12</v>
      </c>
      <c r="BM179" s="8" t="str" cm="1">
        <f t="array" ref="BM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N179" s="8" t="str">
        <f>IF(W179="No","No",IF(_xlfn.XLOOKUP(E179,Groups!A:A,Groups!BD:BD)=1,(AL179*5%),EXP(0.7354*LN(C179)^0.4078)*2/IF(_xlfn.XLOOKUP(E179,Groups!A:A,Groups!BL:BL)=1,1000,100)))</f>
        <v>No</v>
      </c>
      <c r="BO179" s="8">
        <f>IF(BG179="No","No",IF(_xlfn.XLOOKUP(E179,Groups!A:A,Groups!BF:BF)=1,(0.0315*C179+2.1825)*2,(0.7354*C179^0.4078)*2)/IF(_xlfn.XLOOKUP(E179,Groups!A:A,Groups!BM:BM)=1,1000,100))</f>
        <v>5.5969739888423069E-2</v>
      </c>
      <c r="BP179" s="8">
        <f t="shared" si="113"/>
        <v>8.2773054978966087E-2</v>
      </c>
      <c r="BQ179" s="8" t="str">
        <f t="shared" si="114"/>
        <v>No</v>
      </c>
      <c r="BR179" s="8" t="str">
        <f t="shared" si="115"/>
        <v>No</v>
      </c>
      <c r="BS179" s="8">
        <f t="shared" si="116"/>
        <v>2597.4273239734684</v>
      </c>
      <c r="BT179" s="4">
        <v>0</v>
      </c>
      <c r="BU179" s="4">
        <v>1</v>
      </c>
    </row>
    <row r="180" spans="1:73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Groups!A29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>
        <v>0</v>
      </c>
      <c r="AG180" s="4">
        <v>0</v>
      </c>
      <c r="AH180" s="4">
        <v>0</v>
      </c>
      <c r="AI180" s="4">
        <v>0</v>
      </c>
      <c r="AJ180" s="4">
        <v>1</v>
      </c>
      <c r="AK180" s="44" t="s">
        <v>40</v>
      </c>
      <c r="AL180" s="8">
        <f t="shared" si="117"/>
        <v>5884.5287751512305</v>
      </c>
      <c r="AM180" s="8">
        <f>IFERROR(C180*_xlfn.XLOOKUP(E180,Groups!A:A,Groups!K:K),0.106*C180^0.94)</f>
        <v>4.1648000000000005</v>
      </c>
      <c r="AN180" s="8">
        <f>AM180*10000/(_xlfn.XLOOKUP(E180,Groups!A:A,Groups!J:J)*AL180)</f>
        <v>7.3724396618688308</v>
      </c>
      <c r="AO180" s="8">
        <f t="shared" si="103"/>
        <v>475.12922241490219</v>
      </c>
      <c r="AP180" s="8">
        <f>IF(_xlfn.XLOOKUP(E180,Groups!A:A,Groups!M:M)=1,EXP(0.7444*LN('Base stats'!C180)+6.5696),EXP(0.7927*LN('Base stats'!C180)+4.28))</f>
        <v>552.33209250027983</v>
      </c>
      <c r="AQ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R180" s="8">
        <f>IF(_xlfn.XLOOKUP(E180,Groups!A:A,Groups!U:U)=3,AP180,IF(_xlfn.XLOOKUP(E180,Groups!A:A,Groups!U:U)=2,AO180,AQ180))</f>
        <v>464.83586290819727</v>
      </c>
      <c r="AS180" s="46">
        <f>IFERROR(AVERAGE(_xlfn.XLOOKUP(B180,Animals!B:B,Animals!N:N),_xlfn.XLOOKUP(B180,Animals!B:B,Animals!O:O)),0)</f>
        <v>0.32500000000000007</v>
      </c>
      <c r="AT180" s="8">
        <f>MROUND(40*Animals!AO180*_xlfn.XLOOKUP(Animals!BA180,Leathers!$A$2:$A$100,Leathers!$B$2:$B$100,0)+(140*_xlfn.XLOOKUP(B180,Animals!B:B,Animals!AO:AO)*2),5)</f>
        <v>185</v>
      </c>
      <c r="AU180" s="8">
        <f>IFERROR(ROUND(SQRT(V180-1)*IF(_xlfn.XLOOKUP(E180,Groups!A:A,Groups!BF:BF)=0,2,1)*IF(_xlfn.XLOOKUP('Base stats'!E180,Groups!A:A,Groups!O:O)=0,1,0.1),1),0)</f>
        <v>1.4</v>
      </c>
      <c r="AV180" s="8">
        <f t="shared" si="104"/>
        <v>1.7</v>
      </c>
      <c r="AW180" s="8">
        <f t="shared" si="105"/>
        <v>0</v>
      </c>
      <c r="AX180" s="8">
        <f t="shared" si="106"/>
        <v>1.9</v>
      </c>
      <c r="AY180" s="8">
        <f>IF(_xlfn.XLOOKUP(E180,Groups!A:A,Groups!N:N)="Insect",BA180*2.5,IFERROR(AVERAGE(BA180,AQ180/9.81/IF(OR(_xlfn.XLOOKUP(E180,Groups!A:A,Groups!N:N)="Pig",_xlfn.XLOOKUP(E180,Groups!A:A,Groups!N:N)="StrongBitingHerbivore"),20,25))*C180^-0.135,BA180))</f>
        <v>0.78713510677615284</v>
      </c>
      <c r="AZ180" s="8" t="str">
        <f>IF(W180="No","No",IF(_xlfn.XLOOKUP(E180,Groups!A:A,Groups!U:U)=1,'Base stats'!AY180,IF(OR(_xlfn.XLOOKUP(E180,Groups!A:A,Groups!BD:BD)=1,_xlfn.XLOOKUP(E180,Groups!A:A,Groups!U:U)=2),BA180,IF(_xlfn.XLOOKUP(B180,Animals!B:B,Animals!AO:AO)&gt;4,AVERAGE(BA180,BC180),BC180))))</f>
        <v>No</v>
      </c>
      <c r="BA180" s="8">
        <f t="shared" si="107"/>
        <v>0.33066572017725104</v>
      </c>
      <c r="BB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C180" s="8">
        <f>(0.048*C180^1.01)/IF(_xlfn.XLOOKUP(E180,Groups!A:A,Groups!M:M)=1,0.25,0.8)*C180^-0.25</f>
        <v>0.42182160658214174</v>
      </c>
      <c r="BD180" s="8">
        <f>EXP(1.076*LN(AO180)-4.5397)*IF(_xlfn.XLOOKUP(E180,Groups!A:A,Groups!BC:BC)=1,1.25,IF(_xlfn.XLOOKUP(E180,Groups!A:A,Groups!BD:BD)=1,3.5,2.5))</f>
        <v>20.259222945854933</v>
      </c>
      <c r="BE180" s="8">
        <f>EXP(1.076*LN(AP180)-4.5397)*IF(_xlfn.XLOOKUP(E180,Groups!A:A,Groups!M:M)=1,0.8,IF(_xlfn.XLOOKUP(E180,Groups!A:A,Groups!BC:BC)=1,1.3,3))</f>
        <v>28.586572985154973</v>
      </c>
      <c r="BF180" s="8" t="str">
        <f>IF(W180="No","No",IF(_xlfn.XLOOKUP(E180,Groups!A:A,Groups!U:U)=1,'Base stats'!BG180,IF(OR(_xlfn.XLOOKUP(E180,Groups!A:A,Groups!BD:BD)=1,_xlfn.XLOOKUP(E180,Groups!A:A,Groups!U:U)=2),BD180,BE180))*1.2)</f>
        <v>No</v>
      </c>
      <c r="BG180" s="8">
        <f>IFERROR(EXP(1.076*LN(AQ180)-4.5397)*IF(_xlfn.XLOOKUP(E180,Groups!A:A,Groups!N:N)="Insect",1,IF(OR(_xlfn.XLOOKUP(E180,Groups!A:A,Groups!N:N)="Pig",_xlfn.XLOOKUP(E180,Groups!A:A,Groups!N:N)="StrongBitingHerbivore"),3.5,3.75)),"No")</f>
        <v>29.681032684461776</v>
      </c>
      <c r="BH180" s="8">
        <f t="shared" si="108"/>
        <v>11</v>
      </c>
      <c r="BI180" s="8">
        <f t="shared" si="109"/>
        <v>10</v>
      </c>
      <c r="BJ180" s="8" t="str">
        <f t="shared" si="110"/>
        <v>No</v>
      </c>
      <c r="BK180" s="8">
        <f t="shared" si="111"/>
        <v>8</v>
      </c>
      <c r="BL180" s="8">
        <f t="shared" si="112"/>
        <v>11</v>
      </c>
      <c r="BM180" s="8" t="str" cm="1">
        <f t="array" ref="BM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N180" s="8" t="str">
        <f>IF(W180="No","No",IF(_xlfn.XLOOKUP(E180,Groups!A:A,Groups!BD:BD)=1,(AL180*5%),EXP(0.7354*LN(C180)^0.4078)*2/IF(_xlfn.XLOOKUP(E180,Groups!A:A,Groups!BL:BL)=1,1000,100)))</f>
        <v>No</v>
      </c>
      <c r="BO180" s="8">
        <f>IF(BG180="No","No",IF(_xlfn.XLOOKUP(E180,Groups!A:A,Groups!BF:BF)=1,(0.0315*C180+2.1825)*2,(0.7354*C180^0.4078)*2)/IF(_xlfn.XLOOKUP(E180,Groups!A:A,Groups!BM:BM)=1,1000,100))</f>
        <v>4.1881666547881835E-2</v>
      </c>
      <c r="BP180" s="8">
        <f t="shared" si="113"/>
        <v>6.8855888788934602E-2</v>
      </c>
      <c r="BQ180" s="8" t="str">
        <f t="shared" si="114"/>
        <v>No</v>
      </c>
      <c r="BR180" s="8" t="str">
        <f t="shared" si="115"/>
        <v>No</v>
      </c>
      <c r="BS180" s="8">
        <f t="shared" si="116"/>
        <v>708.68795659142404</v>
      </c>
      <c r="BT180" s="4">
        <v>0</v>
      </c>
      <c r="BU180" s="4">
        <v>1</v>
      </c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AE2:AE180 AT181:AT1048576</xm:sqref>
        </x14:dataValidation>
        <x14:dataValidation type="list" allowBlank="1" showInputMessage="1" showErrorMessage="1" xr:uid="{4DC84553-A26B-423A-B797-F1F5985274F8}">
          <x14:formula1>
            <xm:f>Groups!$A$2:$A$64</xm:f>
          </x14:formula1>
          <xm:sqref>E2:E166 E174 E177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N456"/>
  <sheetViews>
    <sheetView tabSelected="1" zoomScale="87" zoomScaleNormal="87" workbookViewId="0">
      <pane xSplit="1" ySplit="1" topLeftCell="B173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C196" sqref="C196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2.85546875" style="2" bestFit="1" customWidth="1"/>
    <col min="54" max="54" width="43" style="2" bestFit="1" customWidth="1"/>
    <col min="55" max="55" width="28.7109375" style="2" bestFit="1" customWidth="1"/>
    <col min="56" max="56" width="28" style="2" bestFit="1" customWidth="1"/>
    <col min="57" max="57" width="8.7109375" style="4" bestFit="1" customWidth="1"/>
    <col min="58" max="58" width="16.42578125" style="2" bestFit="1" customWidth="1"/>
    <col min="59" max="59" width="15.5703125" style="2" bestFit="1" customWidth="1"/>
    <col min="60" max="60" width="13.140625" style="2" bestFit="1" customWidth="1"/>
    <col min="61" max="61" width="9.7109375" style="2" bestFit="1" customWidth="1"/>
    <col min="62" max="62" width="17" style="2" bestFit="1" customWidth="1"/>
    <col min="63" max="63" width="21" style="2" bestFit="1" customWidth="1"/>
    <col min="64" max="64" width="36.85546875" style="2" bestFit="1" customWidth="1"/>
    <col min="65" max="65" width="12.85546875" bestFit="1" customWidth="1"/>
    <col min="66" max="66" width="15.140625" bestFit="1" customWidth="1"/>
    <col min="67" max="67" width="28.7109375" style="16" bestFit="1" customWidth="1"/>
    <col min="68" max="68" width="13.7109375" style="2" bestFit="1" customWidth="1"/>
    <col min="69" max="69" width="14.5703125" style="2" bestFit="1" customWidth="1"/>
    <col min="70" max="70" width="17.5703125" style="2" bestFit="1" customWidth="1"/>
    <col min="71" max="71" width="14.5703125" style="2" bestFit="1" customWidth="1"/>
    <col min="72" max="72" width="20.5703125" style="2" bestFit="1" customWidth="1"/>
    <col min="73" max="73" width="11.28515625" style="2" bestFit="1" customWidth="1"/>
    <col min="74" max="74" width="40.5703125" style="2" bestFit="1" customWidth="1"/>
    <col min="75" max="75" width="167.85546875" style="2" bestFit="1" customWidth="1"/>
    <col min="76" max="76" width="6.5703125" style="2" bestFit="1" customWidth="1"/>
    <col min="77" max="77" width="18.85546875" style="2" bestFit="1" customWidth="1"/>
    <col min="78" max="78" width="24.140625" style="2" bestFit="1" customWidth="1"/>
    <col min="79" max="79" width="10.28515625" style="25" bestFit="1" customWidth="1"/>
    <col min="80" max="80" width="12" style="25" bestFit="1" customWidth="1"/>
    <col min="81" max="81" width="16.28515625" style="25" bestFit="1" customWidth="1"/>
    <col min="82" max="82" width="20.85546875" style="25" bestFit="1" customWidth="1"/>
    <col min="83" max="83" width="17.85546875" style="25" bestFit="1" customWidth="1"/>
    <col min="84" max="84" width="7.5703125" style="25" bestFit="1" customWidth="1"/>
    <col min="85" max="85" width="11.42578125" style="25" bestFit="1" customWidth="1"/>
    <col min="86" max="86" width="21.5703125" style="25" bestFit="1" customWidth="1"/>
    <col min="87" max="87" width="12.5703125" style="25" bestFit="1" customWidth="1"/>
  </cols>
  <sheetData>
    <row r="1" spans="1:92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674</v>
      </c>
      <c r="BB1" s="30" t="s">
        <v>676</v>
      </c>
      <c r="BC1" s="30" t="s">
        <v>25</v>
      </c>
      <c r="BD1" s="30" t="s">
        <v>26</v>
      </c>
      <c r="BE1" s="30" t="s">
        <v>314</v>
      </c>
      <c r="BF1" s="30" t="s">
        <v>315</v>
      </c>
      <c r="BG1" s="30" t="s">
        <v>854</v>
      </c>
      <c r="BH1" s="30" t="s">
        <v>316</v>
      </c>
      <c r="BI1" s="30" t="s">
        <v>317</v>
      </c>
      <c r="BJ1" s="30" t="s">
        <v>27</v>
      </c>
      <c r="BK1" s="30" t="s">
        <v>318</v>
      </c>
      <c r="BL1" s="30" t="s">
        <v>632</v>
      </c>
      <c r="BM1" s="30" t="s">
        <v>633</v>
      </c>
      <c r="BN1" s="30" t="s">
        <v>675</v>
      </c>
      <c r="BO1" s="30" t="s">
        <v>679</v>
      </c>
      <c r="BP1" s="30" t="s">
        <v>631</v>
      </c>
      <c r="BQ1" s="30" t="s">
        <v>29</v>
      </c>
      <c r="BR1" s="30" t="s">
        <v>28</v>
      </c>
      <c r="BS1" s="30" t="s">
        <v>319</v>
      </c>
      <c r="BT1" s="30" t="s">
        <v>428</v>
      </c>
      <c r="BU1" s="30" t="s">
        <v>885</v>
      </c>
      <c r="BV1" s="30" t="s">
        <v>411</v>
      </c>
      <c r="BW1" s="30" t="s">
        <v>879</v>
      </c>
      <c r="BX1" s="30" t="s">
        <v>681</v>
      </c>
      <c r="BY1" s="30" t="s">
        <v>31</v>
      </c>
      <c r="BZ1" s="30" t="s">
        <v>32</v>
      </c>
      <c r="CA1" s="30" t="s">
        <v>856</v>
      </c>
      <c r="CB1" s="30" t="s">
        <v>860</v>
      </c>
      <c r="CC1" s="30" t="s">
        <v>857</v>
      </c>
      <c r="CD1" s="30" t="s">
        <v>858</v>
      </c>
      <c r="CE1" s="30" t="s">
        <v>859</v>
      </c>
      <c r="CF1" s="30" t="s">
        <v>861</v>
      </c>
      <c r="CG1" s="30" t="s">
        <v>862</v>
      </c>
      <c r="CH1" s="30" t="s">
        <v>1144</v>
      </c>
      <c r="CI1" s="30" t="s">
        <v>1145</v>
      </c>
    </row>
    <row r="2" spans="1:92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stats'!AI:AI)=0,BH2="None",_xlfn.XLOOKUP(_xlfn.XLOOKUP(B2,'Base stats'!B:B,'Base stats'!E:E),Groups!A:A,Groups!B:B)=0), (18 + BQ2 * 2.7) * 0.5,
    IF(AND(_xlfn.XLOOKUP(B2,'Base stats'!B:B,'Base stats'!AI:AI)=0,OR(AO2&lt;0.55,AND(BH2="Intermediate",_xlfn.XLOOKUP(_xlfn.XLOOKUP(B2,'Base stats'!B:B,'Base stats'!E:E),Groups!A:A,Groups!B:B)&lt;2))), (18 + BQ2 * 2.7),
      IF(OR(BH2="Advanced",_xlfn.XLOOKUP(B2,'Base stats'!B:B,'Base stats'!AI:AI)=1,_xlfn.XLOOKUP(_xlfn.XLOOKUP(B2,'Base stats'!B:B,'Base stats'!E:E),Groups!A:A,Groups!B:B)=2), (18 + BQ2 * 2.7) + 250, (18 + BQ2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IF(_xlfn.XLOOKUP(B2,'Base stats'!B:B,'Base stats'!AI:AI)=1,0.99,MIN(MROUND((1-0.6282*EXP(-0.459*AO2))*_xlfn.XLOOKUP(_xlfn.XLOOKUP(B2,'Base stats'!B:B,'Base stats'!E:E),Groups!A:A,Groups!C:C)*IF(_xlfn.XLOOKUP(B2,'Base stats'!B:B,'Base stats'!O:O)=1,0.5,IF(_xlfn.XLOOKUP(B2,'Base stats'!B:B,'Base stats'!O:O)=2,0,1)),0.05),0.985))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W2)),ISNUMBER(SEARCH("IceSheet",BW2))),-50,IF(OR(ISNUMBER(SEARCH("GlacialPlain",BW2)),ISNUMBER(SEARCH("Tundra",BW2))),-40,IF(OR(ISNUMBER(SEARCH("Alpine",BW2)),ISNUMBER(SEARCH("BorealForest",BW2)),ISNUMBER(SEARCH("ColdBog",BW2))),-30,IF(OR(ISNUMBER(SEARCH("TemperateForest",BW2)),ISNUMBER(SEARCH("TemperateSwamp",BW2))),-20,IF(_xlfn.XLOOKUP(_xlfn.XLOOKUP(B2,'Base stats'!B:B,'Base stats'!E:E),Groups!A:A,Groups!F:F)=1,-15,IF(OR(ISNUMBER(SEARCH("Desert",BW2)),ISNUMBER(SEARCH("ExtremeDesert",BW2))),-10,IF(OR(ISNUMBER(SEARCH("Grasslands",BW2)),ISNUMBER(SEARCH("TropicalRainforest",BW2)),ISNUMBER(SEARCH("TropicalSwamp",BW2))),10,0)))))))-IF(CB2="False",MIN(IFERROR(MAX(MROUND(LOG10(_xlfn.XLOOKUP(B2,'Base stats'!B:B,'Base stats'!C:C)^(2/3))*10,5),5),5),30))-_xlfn.XLOOKUP(B2,'Base stats'!B:B,'Base stats'!P:P)+IF(CB2="True",5,0)</f>
        <v>-65</v>
      </c>
      <c r="M2" s="2">
        <f>IF(OR(_xlfn.XLOOKUP(_xlfn.XLOOKUP(B2,'Base stats'!B:B,'Base stats'!E:E),Groups!A:A,Groups!G:G)=2,ISNUMBER(SEARCH("Desert",BW2)),ISNUMBER(SEARCH("ExtremeDesert",BW2)),ISNUMBER(SEARCH("LavaField",BW2))),50,IF(ISNUMBER(SEARCH("Grasslands",BW2)),45,IF(OR(_xlfn.XLOOKUP(_xlfn.XLOOKUP(B2,'Base stats'!B:B,'Base stats'!E:E),Groups!A:A,Groups!G:G)=1,ISNUMBER(SEARCH("TropicalRainforest",BW2)),ISNUMBER(SEARCH("TropicalSwamp",BW2))),40,IF(OR(ISNUMBER(SEARCH("TemperateForest",BW2)),ISNUMBER(SEARCH("TemperateSwamp",BW2))),35,IF(OR(ISNUMBER(SEARCH("Alpine",BW2)),ISNUMBER(SEARCH("BorealForest",BW2)),ISNUMBER(SEARCH("ColdBog",BW2))),30,IF(ISNUMBER(OR(ISNUMBER(SEARCH("GlacialPlain",BW2)),SEARCH("Tundra",BW2))),25,IF(OR(ISNUMBER(SEARCH("SeaIce",BW2)),ISNUMBER(SEARCH("IceSheet",BW2)),ISNUMBER(SEARCH("TropicalSwamp",BW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stats'!AO:AO))*(AO2^0.5)+(_xlfn.XLOOKUP(B2,'Base stats'!B:B,'Base stats'!AO:AO)/1000)^(2/3)+_xlfn.XLOOKUP(B2,'Base stats'!B:B,'Base stats'!AX:AX)/2)+0.5,0.5)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stats'!AP:AP))*(AO2^0.5)+(_xlfn.XLOOKUP(B2,'Base stats'!B:B,'Base stats'!AP:AP)/1000)^(2/3)+_xlfn.XLOOKUP(B2,'Base stats'!B:B,'Base stats'!AX:AX))+_xlfn.XLOOKUP(B2,'Base stats'!B:B,'Base stats'!AV:AV)+0.5,0.5))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stats'!AR:AR))*(AO2^0.5)+(_xlfn.XLOOKUP(B2,'Base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stats'!AQ:AQ)="No","No",MROUND((LOG10(_xlfn.XLOOKUP(B2,'Base stats'!B:B,'Base stats'!AQ:AQ))*(AO2^0.75)+(_xlfn.XLOOKUP(B2,'Base stats'!B:B,'Base stats'!AQ:AQ)/1000)^(2/3)+_xlfn.XLOOKUP(B2,'Base stats'!B:B,'Base stats'!AU:AU)+_xlfn.XLOOKUP(B2,'Base stats'!B:B,'Base stats'!AX:AX))+0.5,0.5))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stats'!AP:AP))*(AO2^0.75)+(_xlfn.XLOOKUP(B2,'Base stats'!B:B,'Base stats'!AP:AP)/1000)^(2/3)+_xlfn.XLOOKUP(B2,'Base stats'!B:B,'Base stats'!AV:AV)+_xlfn.XLOOKUP(B2,'Base stats'!B:B,'Base stats'!AX:AX))+0.5,0.5))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IF(BI2="false","No",MROUND(AO2*5+15*1,5))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MAX(0.01,MROUND(IF(CB2="True",0.196*(AO2*100*1000)^0.889,IF(_xlfn.XLOOKUP(_xlfn.XLOOKUP(B2,'Base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IF(OR(A2="Queen",A2="Larva"),"No",IFERROR(MAX(IF(_xlfn.XLOOKUP(B2,'Base stats'!B:B,'Base stats'!G:G)&lt;0.5,0.2,0.3),MROUND(_xlfn.XLOOKUP(B2,'Base stats'!B:B,'Base stats'!G:G)/(365/60),0.2)),"Unknown"))</f>
        <v>0.8</v>
      </c>
      <c r="AU2" s="8">
        <f>IF(OR(A2="Queen",A2="Larva",A2="Megachicken"),"No",IFERROR(MROUND(AT2/2,0.05),"Unknown"))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IF(BS2="No","false","true")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stats'!AE:AE)</f>
        <v>Leather_Bear</v>
      </c>
      <c r="BB2" s="23" t="str">
        <f>_xlfn.XLOOKUP(_xlfn.XLOOKUP(B2,'Base stats'!B:B,'Base stats'!E:E),Groups!A:A,Groups!AL:AL)</f>
        <v>QuadrupedAnimalWithPaws</v>
      </c>
      <c r="BC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D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E2" s="2" t="str">
        <f>IF(J2&gt;0.3,"No",_xlfn.XLOOKUP(_xlfn.XLOOKUP(Animals!B2,'Base stats'!B:B,'Base stats'!E:E),Groups!A:A,Groups!AP:AP))</f>
        <v>No</v>
      </c>
      <c r="BF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+ 24*(1-IF(BE2="No",0,BE2)) + 16/3, 12),"No")</f>
        <v>No</v>
      </c>
      <c r="BG2" s="2">
        <f>IF(AND(_xlfn.XLOOKUP(_xlfn.XLOOKUP(B2,'Base stats'!B:B,'Base stats'!E:E),Groups!A:A,Groups!AQ:AQ)=1,AO2&lt;=0.35),8,12)</f>
        <v>12</v>
      </c>
      <c r="BH2" s="2" t="str">
        <f>IF(_xlfn.XLOOKUP(_xlfn.XLOOKUP(B2,'Base stats'!B:B,'Base stats'!E:E),Groups!A:A,Groups!D:D)=0,_xlfn.XLOOKUP(_xlfn.XLOOKUP(B2,'Base stats'!B:B,'Base stats'!E:E),Groups!A:A,Groups!AR:AR),"None")</f>
        <v>Advanced</v>
      </c>
      <c r="BI2" s="2" t="str">
        <f>IF(AND(_xlfn.XLOOKUP(_xlfn.XLOOKUP(B2,'Base stats'!B:B,'Base stats'!E:E),Groups!A:A,Groups!AS:AS)=1,OR('Base stats'!Y2="Carnivore",'Base stats'!Y2="Omnivore")),"true","false")</f>
        <v>true</v>
      </c>
      <c r="BJ2" s="2">
        <f>IF(BI2="true",MROUND(IF(AND(AO2&gt;0.5,OR(_xlfn.XLOOKUP(_xlfn.XLOOKUP(B2,'Base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K2" s="2">
        <f>IF(BH2&lt;&gt;"None",1,0)</f>
        <v>1</v>
      </c>
      <c r="BL2" s="25" t="str">
        <f>IF(_xlfn.XLOOKUP(B2,'Base stats'!B:B,'Base stats'!AK:AK)="Standard","No",MROUND((_xlfn.XLOOKUP(B2,'Base stats'!B:B,'Base stats'!AK:AK)/3.6)/I2,0.1))</f>
        <v>No</v>
      </c>
      <c r="BM2" s="25" t="str">
        <f>IF(OR(BL2&lt;&gt;"No",BP2=1),"true","false")</f>
        <v>false</v>
      </c>
      <c r="BN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O2" s="25" t="str" cm="1">
        <f t="array" ref="BO2">IF(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 = "",
  "No",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
)</f>
        <v>AttackTarget</v>
      </c>
      <c r="BP2" s="25">
        <f>IF(
   AND(
      'Base stats'!AK2="Standard",_xlfn.XLOOKUP(_xlfn.XLOOKUP(B2,'Base stats'!B:B,'Base stats'!E:E),Groups!A:A,Groups!AU:AU)=0,
      OR(
      BN2="True"
      )
   ),
   10,
   IF(
       OR(BL2&lt;&gt;"No",_xlfn.XLOOKUP(_xlfn.XLOOKUP(B2,'Base stats'!B:B,'Base stats'!E:E),Groups!A:A,Groups!AU:AU)=1),
      1,
      "No"
   )
)</f>
        <v>10</v>
      </c>
      <c r="BQ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stats'!AS:AS) * 1.8) * 2) * 2.5 + 10 + I2 * 2,5)+IF(_xlfn.XLOOKUP(B2,'Base stats'!B:B,'Base stats'!AH:AH)=1,50,0)</f>
        <v>250</v>
      </c>
      <c r="BR2" s="8">
        <f>MROUND(AO2 * 0.2 + AQ2 * 0.8,0.05)</f>
        <v>1.2000000000000002</v>
      </c>
      <c r="BS2" s="8" t="str">
        <f>_xlfn.XLOOKUP(B2,'Base stats'!B:B,'Base stats'!AD:AD)</f>
        <v>No</v>
      </c>
      <c r="BT2" s="2" t="str">
        <f>IF(AND(J2&lt;=0.95,OR(_xlfn.XLOOKUP(B2,'Base stats'!B:B,'Base stats'!AH:AH)=1,_xlfn.XLOOKUP(B2,'Base stats'!B:B,'Base stats'!Y:Y)="Carnivore",_xlfn.XLOOKUP(B2,'Base stats'!B:B,'Base stats'!Y:Y)="Omnivore",BD2&gt;0.1)),"true","false")</f>
        <v>true</v>
      </c>
      <c r="BU2" s="2" t="str">
        <f>IF(_xlfn.XLOOKUP(B2,'Base stats'!B:B,'Base stats'!AF:AF)=1,"true","false")</f>
        <v>false</v>
      </c>
      <c r="BV2" s="25" t="str">
        <f>IF(E2="BaseInsect","AnimalInsect",
IF(J2&gt;0.95,"AnimalExotic",
_xlfn.TEXTJOIN(", ",TRUE,
IF(OR(_xlfn.XLOOKUP(B2,'Base stats'!B:B,'Base stats'!AJ:AJ)=1,AND(_xlfn.XLOOKUP(B2,'Base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stats'!AH:AH)=1,AND(BH2&lt;&gt;"None",BQ2&gt;=60),ISNUMBER(SEARCH("Attack target",BO2))),"AnimalFighter","")
)))</f>
        <v>AnimalUncommon, AnimalFighter</v>
      </c>
      <c r="BW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),_xlfn.XLOOKUP(B2,B:B,BW:BW))</f>
        <v>SeaIce IceSheet Tundra</v>
      </c>
      <c r="BX2" s="25" t="str">
        <f>IF(_xlfn.XLOOKUP(B2,'Base stats'!B:B,'Base stats'!AG:AG)=1,"true","false")</f>
        <v>false</v>
      </c>
      <c r="BY2" s="25">
        <f>IF(_xlfn.XLOOKUP(B2,'Base stats'!B:B,'Base stats'!N:N)=1,"No",MAX(0.01,MIN(MROUND(IF(OR(_xlfn.XLOOKUP(B2,'Base stats'!B:B,'Base stats'!AJ:AJ)=1,AND(BI2="True",CB2="False")),POWER(10,3.47*LOG10(_xlfn.XLOOKUP(B2,'Base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stats'!AH:AH)=1),0.5,1)/100,0.025),1)))</f>
        <v>0.05</v>
      </c>
      <c r="BZ2" s="25" t="str">
        <f>IF(P2="Standard","No",MAX(0.01,IF(_xlfn.XLOOKUP(B2,'Base stats'!B:B,'Base stats'!N:N)=0,MROUND(BY2*P2,0.05),MIN(1,MAX(0.025,MROUND(IF(OR(CB2="true",AND(BI2="false",BN2="false")),POWER(10,4.15*LOG10(_xlfn.XLOOKUP(B2,'Base stats'!B:B,'Base stats'!C:C)*1000)^-0.73),POWER(10,3.47*LOG10(_xlfn.XLOOKUP(B2,'Base stats'!B:B,'Base stats'!C:C)*1000)^-0.96))*IF(_xlfn.XLOOKUP(B2,'Base stats'!B:B,'Base stats'!AH:AH)=1,0.5,1)/100,0.025))))))</f>
        <v>No</v>
      </c>
      <c r="CA2" s="25" t="str">
        <f>IF(_xlfn.XLOOKUP(_xlfn.XLOOKUP(B2,'Base stats'!B:B,'Base stats'!E:E),Groups!A:A,Groups!AJ:AJ)="Mammal","True","False")</f>
        <v>True</v>
      </c>
      <c r="CB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C2" s="25" t="str">
        <f>IF(J2&gt;0.95,"True","False")</f>
        <v>False</v>
      </c>
      <c r="CD2" s="25" t="str">
        <f>IF(_xlfn.XLOOKUP(_xlfn.XLOOKUP(B2,'Base stats'!B:B,'Base stats'!E:E),Groups!A:A,Groups!AX:AX),"True","False")</f>
        <v>False</v>
      </c>
      <c r="CE2" s="25" t="str">
        <f>IF(_xlfn.XLOOKUP(_xlfn.XLOOKUP(B2,'Base stats'!B:B,'Base stats'!E:E),Groups!A:A,Groups!AY:AY),"True","False")</f>
        <v>False</v>
      </c>
      <c r="CF2" s="25" t="str">
        <f>IF(_xlfn.XLOOKUP(_xlfn.XLOOKUP(B2,'Base stats'!B:B,'Base stats'!E:E),Groups!A:A,Groups!AW:AW),"True","False")</f>
        <v>False</v>
      </c>
      <c r="CG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H2" s="25" t="str">
        <f>IF(_xlfn.XLOOKUP(_xlfn.XLOOKUP(B2,'Base stats'!B:B,'Base stats'!E:E),Groups!A:A,Groups!BB:BB),"True","False")</f>
        <v>True</v>
      </c>
      <c r="CI2" s="25" t="str">
        <f>IF(_xlfn.XLOOKUP(_xlfn.XLOOKUP(B2,'Base stats'!B:B,'Base stats'!E:E),Groups!A:A,Groups!BA:BA),"True","False")</f>
        <v>False</v>
      </c>
      <c r="CN2" s="16"/>
    </row>
    <row r="3" spans="1:92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stats'!AI:AI)=0,BH3="None",_xlfn.XLOOKUP(_xlfn.XLOOKUP(B3,'Base stats'!B:B,'Base stats'!E:E),Groups!A:A,Groups!B:B)=0), (18 + BQ3 * 2.7) * 0.5,
    IF(AND(_xlfn.XLOOKUP(B3,'Base stats'!B:B,'Base stats'!AI:AI)=0,OR(AO3&lt;0.55,AND(BH3="Intermediate",_xlfn.XLOOKUP(_xlfn.XLOOKUP(B3,'Base stats'!B:B,'Base stats'!E:E),Groups!A:A,Groups!B:B)&lt;2))), (18 + BQ3 * 2.7),
      IF(OR(BH3="Advanced",_xlfn.XLOOKUP(B3,'Base stats'!B:B,'Base stats'!AI:AI)=1,_xlfn.XLOOKUP(_xlfn.XLOOKUP(B3,'Base stats'!B:B,'Base stats'!E:E),Groups!A:A,Groups!B:B)=2), (18 + BQ3 * 2.7) + 250, (18 + BQ3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IF(_xlfn.XLOOKUP(B3,'Base stats'!B:B,'Base stats'!AI:AI)=1,0.99,MIN(MROUND((1-0.6282*EXP(-0.459*AO3))*_xlfn.XLOOKUP(_xlfn.XLOOKUP(B3,'Base stats'!B:B,'Base stats'!E:E),Groups!A:A,Groups!C:C)*IF(_xlfn.XLOOKUP(B3,'Base stats'!B:B,'Base stats'!O:O)=1,0.5,IF(_xlfn.XLOOKUP(B3,'Base stats'!B:B,'Base stats'!O:O)=2,0,1)),0.05),0.985))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W3)),ISNUMBER(SEARCH("IceSheet",BW3))),-50,IF(OR(ISNUMBER(SEARCH("GlacialPlain",BW3)),ISNUMBER(SEARCH("Tundra",BW3))),-40,IF(OR(ISNUMBER(SEARCH("Alpine",BW3)),ISNUMBER(SEARCH("BorealForest",BW3)),ISNUMBER(SEARCH("ColdBog",BW3))),-30,IF(OR(ISNUMBER(SEARCH("TemperateForest",BW3)),ISNUMBER(SEARCH("TemperateSwamp",BW3))),-20,IF(_xlfn.XLOOKUP(_xlfn.XLOOKUP(B3,'Base stats'!B:B,'Base stats'!E:E),Groups!A:A,Groups!F:F)=1,-15,IF(OR(ISNUMBER(SEARCH("Desert",BW3)),ISNUMBER(SEARCH("ExtremeDesert",BW3))),-10,IF(OR(ISNUMBER(SEARCH("Grasslands",BW3)),ISNUMBER(SEARCH("TropicalRainforest",BW3)),ISNUMBER(SEARCH("TropicalSwamp",BW3))),10,0)))))))-IF(CB3="False",MIN(IFERROR(MAX(MROUND(LOG10(_xlfn.XLOOKUP(B3,'Base stats'!B:B,'Base stats'!C:C)^(2/3))*10,5),5),5),30))-_xlfn.XLOOKUP(B3,'Base stats'!B:B,'Base stats'!P:P)+IF(CB3="True",5,0)</f>
        <v>-55</v>
      </c>
      <c r="M3" s="2">
        <f>IF(OR(_xlfn.XLOOKUP(_xlfn.XLOOKUP(B3,'Base stats'!B:B,'Base stats'!E:E),Groups!A:A,Groups!G:G)=2,ISNUMBER(SEARCH("Desert",BW3)),ISNUMBER(SEARCH("ExtremeDesert",BW3)),ISNUMBER(SEARCH("LavaField",BW3))),50,IF(ISNUMBER(SEARCH("Grasslands",BW3)),45,IF(OR(_xlfn.XLOOKUP(_xlfn.XLOOKUP(B3,'Base stats'!B:B,'Base stats'!E:E),Groups!A:A,Groups!G:G)=1,ISNUMBER(SEARCH("TropicalRainforest",BW3)),ISNUMBER(SEARCH("TropicalSwamp",BW3))),40,IF(OR(ISNUMBER(SEARCH("TemperateForest",BW3)),ISNUMBER(SEARCH("TemperateSwamp",BW3))),35,IF(OR(ISNUMBER(SEARCH("Alpine",BW3)),ISNUMBER(SEARCH("BorealForest",BW3)),ISNUMBER(SEARCH("ColdBog",BW3))),30,IF(ISNUMBER(OR(ISNUMBER(SEARCH("GlacialPlain",BW3)),SEARCH("Tundra",BW3))),25,IF(OR(ISNUMBER(SEARCH("SeaIce",BW3)),ISNUMBER(SEARCH("IceSheet",BW3)),ISNUMBER(SEARCH("TropicalSwamp",BW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stats'!AO:AO))*(AO3^0.5)+(_xlfn.XLOOKUP(B3,'Base stats'!B:B,'Base stats'!AO:AO)/1000)^(2/3)+_xlfn.XLOOKUP(B3,'Base stats'!B:B,'Base stats'!AX:AX)/2)+0.5,0.5)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stats'!AP:AP))*(AO3^0.5)+(_xlfn.XLOOKUP(B3,'Base stats'!B:B,'Base stats'!AP:AP)/1000)^(2/3)+_xlfn.XLOOKUP(B3,'Base stats'!B:B,'Base stats'!AX:AX))+_xlfn.XLOOKUP(B3,'Base stats'!B:B,'Base stats'!AV:AV)+0.5,0.5))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stats'!AR:AR))*(AO3^0.5)+(_xlfn.XLOOKUP(B3,'Base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stats'!AQ:AQ)="No","No",MROUND((LOG10(_xlfn.XLOOKUP(B3,'Base stats'!B:B,'Base stats'!AQ:AQ))*(AO3^0.75)+(_xlfn.XLOOKUP(B3,'Base stats'!B:B,'Base stats'!AQ:AQ)/1000)^(2/3)+_xlfn.XLOOKUP(B3,'Base stats'!B:B,'Base stats'!AU:AU)+_xlfn.XLOOKUP(B3,'Base stats'!B:B,'Base stats'!AX:AX))+0.5,0.5))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stats'!AP:AP))*(AO3^0.75)+(_xlfn.XLOOKUP(B3,'Base stats'!B:B,'Base stats'!AP:AP)/1000)^(2/3)+_xlfn.XLOOKUP(B3,'Base stats'!B:B,'Base stats'!AV:AV)+_xlfn.XLOOKUP(B3,'Base stats'!B:B,'Base stats'!AX:AX))+0.5,0.5))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IF(BI3="false","No",MROUND(AO3*5+15*1,5))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MAX(0.01,MROUND(IF(CB3="True",0.196*(AO3*100*1000)^0.889,IF(_xlfn.XLOOKUP(_xlfn.XLOOKUP(B3,'Base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IF(OR(A3="Queen",A3="Larva",A3="Megachicken"),"No",IFERROR(MROUND(AT3/2,0.05),"Unknown"))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IF(BS3="No","false","true")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stats'!AE:AE)</f>
        <v>Leather_Bear</v>
      </c>
      <c r="BB3" s="23" t="str">
        <f>_xlfn.XLOOKUP(_xlfn.XLOOKUP(B3,'Base stats'!B:B,'Base stats'!E:E),Groups!A:A,Groups!AL:AL)</f>
        <v>QuadrupedAnimalWithPaws</v>
      </c>
      <c r="BC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D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E3" s="2" t="str">
        <f>IF(J3&gt;0.3,"No",_xlfn.XLOOKUP(_xlfn.XLOOKUP(Animals!B3,'Base stats'!B:B,'Base stats'!E:E),Groups!A:A,Groups!AP:AP))</f>
        <v>No</v>
      </c>
      <c r="BF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+ 24*(1-IF(BE3="No",0,BE3)) + 16/3, 12),"No")</f>
        <v>No</v>
      </c>
      <c r="BG3" s="2">
        <f>IF(AND(_xlfn.XLOOKUP(_xlfn.XLOOKUP(B3,'Base stats'!B:B,'Base stats'!E:E),Groups!A:A,Groups!AQ:AQ)=1,AO3&lt;=0.35),8,12)</f>
        <v>12</v>
      </c>
      <c r="BH3" s="2" t="str">
        <f>IF(_xlfn.XLOOKUP(_xlfn.XLOOKUP(B3,'Base stats'!B:B,'Base stats'!E:E),Groups!A:A,Groups!D:D)=0,_xlfn.XLOOKUP(_xlfn.XLOOKUP(B3,'Base stats'!B:B,'Base stats'!E:E),Groups!A:A,Groups!AR:AR),"None")</f>
        <v>Advanced</v>
      </c>
      <c r="BI3" s="2" t="str">
        <f>IF(AND(_xlfn.XLOOKUP(_xlfn.XLOOKUP(B3,'Base stats'!B:B,'Base stats'!E:E),Groups!A:A,Groups!AS:AS)=1,OR('Base stats'!Y3="Carnivore",'Base stats'!Y3="Omnivore")),"true","false")</f>
        <v>true</v>
      </c>
      <c r="BJ3" s="2">
        <f>IF(BI3="true",MROUND(IF(AND(AO3&gt;0.5,OR(_xlfn.XLOOKUP(_xlfn.XLOOKUP(B3,'Base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K3" s="2">
        <f t="shared" ref="BK3:BK66" si="3">IF(BH3&lt;&gt;"None",1,0)</f>
        <v>1</v>
      </c>
      <c r="BL3" s="25" t="str">
        <f>IF(_xlfn.XLOOKUP(B3,'Base stats'!B:B,'Base stats'!AK:AK)="Standard","No",MROUND((_xlfn.XLOOKUP(B3,'Base stats'!B:B,'Base stats'!AK:AK)/3.6)/I3,0.1))</f>
        <v>No</v>
      </c>
      <c r="BM3" s="25" t="str">
        <f t="shared" ref="BM3:BM66" si="4">IF(OR(BL3&lt;&gt;"No",BP3=1),"true","false")</f>
        <v>false</v>
      </c>
      <c r="BN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O3" s="25" t="str" cm="1">
        <f t="array" ref="BO3">IF(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 = "",
  "No",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
)</f>
        <v>AttackTarget, Forage</v>
      </c>
      <c r="BP3" s="25">
        <f>IF(
   AND(
      'Base stats'!AK3="Standard",_xlfn.XLOOKUP(_xlfn.XLOOKUP(B3,'Base stats'!B:B,'Base stats'!E:E),Groups!A:A,Groups!AU:AU)=0,
      OR(
      BN3="True"
      )
   ),
   10,
   IF(
       OR(BL3&lt;&gt;"No",_xlfn.XLOOKUP(_xlfn.XLOOKUP(B3,'Base stats'!B:B,'Base stats'!E:E),Groups!A:A,Groups!AU:AU)=1),
      1,
      "No"
   )
)</f>
        <v>10</v>
      </c>
      <c r="BQ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stats'!AS:AS) * 1.8) * 2) * 2.5 + 10 + I3 * 2,5)+IF(_xlfn.XLOOKUP(B3,'Base stats'!B:B,'Base stats'!AH:AH)=1,50,0)</f>
        <v>225</v>
      </c>
      <c r="BR3" s="8">
        <f t="shared" ref="BR3:BR66" si="5">MROUND(AO3 * 0.2 + AQ3 * 0.8,0.05)</f>
        <v>1.1000000000000001</v>
      </c>
      <c r="BS3" s="8" t="str">
        <f>_xlfn.XLOOKUP(B3,'Base stats'!B:B,'Base stats'!AD:AD)</f>
        <v>No</v>
      </c>
      <c r="BT3" s="2" t="str">
        <f>IF(AND(J3&lt;=0.95,OR(_xlfn.XLOOKUP(B3,'Base stats'!B:B,'Base stats'!AH:AH)=1,_xlfn.XLOOKUP(B3,'Base stats'!B:B,'Base stats'!Y:Y)="Carnivore",_xlfn.XLOOKUP(B3,'Base stats'!B:B,'Base stats'!Y:Y)="Omnivore",BD3&gt;0.1)),"true","false")</f>
        <v>true</v>
      </c>
      <c r="BU3" s="2" t="str">
        <f>IF(_xlfn.XLOOKUP(B3,'Base stats'!B:B,'Base stats'!AF:AF)=1,"true","false")</f>
        <v>false</v>
      </c>
      <c r="BV3" s="25" t="str">
        <f>IF(E3="BaseInsect","AnimalInsect",
IF(J3&gt;0.95,"AnimalExotic",
_xlfn.TEXTJOIN(", ",TRUE,
IF(OR(_xlfn.XLOOKUP(B3,'Base stats'!B:B,'Base stats'!AJ:AJ)=1,AND(_xlfn.XLOOKUP(B3,'Base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stats'!AH:AH)=1,AND(BH3&lt;&gt;"None",BQ3&gt;=60),ISNUMBER(SEARCH("Attack target",BO3))),"AnimalFighter","")
)))</f>
        <v>AnimalUncommon, AnimalFighter</v>
      </c>
      <c r="BW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),_xlfn.XLOOKUP(B3,B:B,BW:BW))</f>
        <v>BorealForest ColdBog TemperateForest TemperateSwamp GlacialPlain</v>
      </c>
      <c r="BX3" s="25" t="str">
        <f>IF(_xlfn.XLOOKUP(B3,'Base stats'!B:B,'Base stats'!AG:AG)=1,"true","false")</f>
        <v>false</v>
      </c>
      <c r="BY3" s="25">
        <f>IF(_xlfn.XLOOKUP(B3,'Base stats'!B:B,'Base stats'!N:N)=1,"No",MAX(0.01,MIN(MROUND(IF(OR(_xlfn.XLOOKUP(B3,'Base stats'!B:B,'Base stats'!AJ:AJ)=1,AND(BI3="True",CB3="False")),POWER(10,3.47*LOG10(_xlfn.XLOOKUP(B3,'Base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stats'!AH:AH)=1),0.5,1)/100,0.025),1)))</f>
        <v>0.05</v>
      </c>
      <c r="BZ3" s="25" t="str">
        <f>IF(P3="Standard","No",MAX(0.01,IF(_xlfn.XLOOKUP(B3,'Base stats'!B:B,'Base stats'!N:N)=0,MROUND(BY3*P3,0.05),MIN(1,MAX(0.025,MROUND(IF(OR(CB3="true",AND(BI3="false",BN3="false")),POWER(10,4.15*LOG10(_xlfn.XLOOKUP(B3,'Base stats'!B:B,'Base stats'!C:C)*1000)^-0.73),POWER(10,3.47*LOG10(_xlfn.XLOOKUP(B3,'Base stats'!B:B,'Base stats'!C:C)*1000)^-0.96))*IF(_xlfn.XLOOKUP(B3,'Base stats'!B:B,'Base stats'!AH:AH)=1,0.5,1)/100,0.025))))))</f>
        <v>No</v>
      </c>
      <c r="CA3" s="25" t="str">
        <f>IF(_xlfn.XLOOKUP(_xlfn.XLOOKUP(B3,'Base stats'!B:B,'Base stats'!E:E),Groups!A:A,Groups!AJ:AJ)="Mammal","True","False")</f>
        <v>True</v>
      </c>
      <c r="CB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C3" s="25" t="str">
        <f t="shared" ref="CC3:CC66" si="6">IF(J3&gt;0.95,"True","False")</f>
        <v>False</v>
      </c>
      <c r="CD3" s="25" t="str">
        <f>IF(_xlfn.XLOOKUP(_xlfn.XLOOKUP(B3,'Base stats'!B:B,'Base stats'!E:E),Groups!A:A,Groups!AX:AX),"True","False")</f>
        <v>False</v>
      </c>
      <c r="CE3" s="25" t="str">
        <f>IF(_xlfn.XLOOKUP(_xlfn.XLOOKUP(B3,'Base stats'!B:B,'Base stats'!E:E),Groups!A:A,Groups!AY:AY),"True","False")</f>
        <v>False</v>
      </c>
      <c r="CF3" s="25" t="str">
        <f>IF(_xlfn.XLOOKUP(_xlfn.XLOOKUP(B3,'Base stats'!B:B,'Base stats'!E:E),Groups!A:A,Groups!AW:AW),"True","False")</f>
        <v>False</v>
      </c>
      <c r="CG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H3" s="25" t="str">
        <f>IF(_xlfn.XLOOKUP(_xlfn.XLOOKUP(B3,'Base stats'!B:B,'Base stats'!E:E),Groups!A:A,Groups!BB:BB),"True","False")</f>
        <v>True</v>
      </c>
      <c r="CI3" s="25" t="str">
        <f>IF(_xlfn.XLOOKUP(_xlfn.XLOOKUP(B3,'Base stats'!B:B,'Base stats'!E:E),Groups!A:A,Groups!BA:BA),"True","False")</f>
        <v>False</v>
      </c>
      <c r="CN3" s="16"/>
    </row>
    <row r="4" spans="1:92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stats'!AI:AI)=0,BH4="None",_xlfn.XLOOKUP(_xlfn.XLOOKUP(B4,'Base stats'!B:B,'Base stats'!E:E),Groups!A:A,Groups!B:B)=0), (18 + BQ4 * 2.7) * 0.5,
    IF(AND(_xlfn.XLOOKUP(B4,'Base stats'!B:B,'Base stats'!AI:AI)=0,OR(AO4&lt;0.55,AND(BH4="Intermediate",_xlfn.XLOOKUP(_xlfn.XLOOKUP(B4,'Base stats'!B:B,'Base stats'!E:E),Groups!A:A,Groups!B:B)&lt;2))), (18 + BQ4 * 2.7),
      IF(OR(BH4="Advanced",_xlfn.XLOOKUP(B4,'Base stats'!B:B,'Base stats'!AI:AI)=1,_xlfn.XLOOKUP(_xlfn.XLOOKUP(B4,'Base stats'!B:B,'Base stats'!E:E),Groups!A:A,Groups!B:B)=2), (18 + BQ4 * 2.7) + 250, (18 + BQ4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IF(_xlfn.XLOOKUP(B4,'Base stats'!B:B,'Base stats'!AI:AI)=1,0.99,MIN(MROUND((1-0.6282*EXP(-0.459*AO4))*_xlfn.XLOOKUP(_xlfn.XLOOKUP(B4,'Base stats'!B:B,'Base stats'!E:E),Groups!A:A,Groups!C:C)*IF(_xlfn.XLOOKUP(B4,'Base stats'!B:B,'Base stats'!O:O)=1,0.5,IF(_xlfn.XLOOKUP(B4,'Base stats'!B:B,'Base stats'!O:O)=2,0,1)),0.05),0.985))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W4)),ISNUMBER(SEARCH("IceSheet",BW4))),-50,IF(OR(ISNUMBER(SEARCH("GlacialPlain",BW4)),ISNUMBER(SEARCH("Tundra",BW4))),-40,IF(OR(ISNUMBER(SEARCH("Alpine",BW4)),ISNUMBER(SEARCH("BorealForest",BW4)),ISNUMBER(SEARCH("ColdBog",BW4))),-30,IF(OR(ISNUMBER(SEARCH("TemperateForest",BW4)),ISNUMBER(SEARCH("TemperateSwamp",BW4))),-20,IF(_xlfn.XLOOKUP(_xlfn.XLOOKUP(B4,'Base stats'!B:B,'Base stats'!E:E),Groups!A:A,Groups!F:F)=1,-15,IF(OR(ISNUMBER(SEARCH("Desert",BW4)),ISNUMBER(SEARCH("ExtremeDesert",BW4))),-10,IF(OR(ISNUMBER(SEARCH("Grasslands",BW4)),ISNUMBER(SEARCH("TropicalRainforest",BW4)),ISNUMBER(SEARCH("TropicalSwamp",BW4))),10,0)))))))-IF(CB4="False",MIN(IFERROR(MAX(MROUND(LOG10(_xlfn.XLOOKUP(B4,'Base stats'!B:B,'Base stats'!C:C)^(2/3))*10,5),5),5),30))-_xlfn.XLOOKUP(B4,'Base stats'!B:B,'Base stats'!P:P)+IF(CB4="True",5,0)</f>
        <v>-45</v>
      </c>
      <c r="M4" s="2">
        <f>IF(OR(_xlfn.XLOOKUP(_xlfn.XLOOKUP(B4,'Base stats'!B:B,'Base stats'!E:E),Groups!A:A,Groups!G:G)=2,ISNUMBER(SEARCH("Desert",BW4)),ISNUMBER(SEARCH("ExtremeDesert",BW4)),ISNUMBER(SEARCH("LavaField",BW4))),50,IF(ISNUMBER(SEARCH("Grasslands",BW4)),45,IF(OR(_xlfn.XLOOKUP(_xlfn.XLOOKUP(B4,'Base stats'!B:B,'Base stats'!E:E),Groups!A:A,Groups!G:G)=1,ISNUMBER(SEARCH("TropicalRainforest",BW4)),ISNUMBER(SEARCH("TropicalSwamp",BW4))),40,IF(OR(ISNUMBER(SEARCH("TemperateForest",BW4)),ISNUMBER(SEARCH("TemperateSwamp",BW4))),35,IF(OR(ISNUMBER(SEARCH("Alpine",BW4)),ISNUMBER(SEARCH("BorealForest",BW4)),ISNUMBER(SEARCH("ColdBog",BW4))),30,IF(ISNUMBER(OR(ISNUMBER(SEARCH("GlacialPlain",BW4)),SEARCH("Tundra",BW4))),25,IF(OR(ISNUMBER(SEARCH("SeaIce",BW4)),ISNUMBER(SEARCH("IceSheet",BW4)),ISNUMBER(SEARCH("TropicalSwamp",BW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stats'!AO:AO))*(AO4^0.5)+(_xlfn.XLOOKUP(B4,'Base stats'!B:B,'Base stats'!AO:AO)/1000)^(2/3)+_xlfn.XLOOKUP(B4,'Base stats'!B:B,'Base stats'!AX:AX)/2)+0.5,0.5)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stats'!AP:AP))*(AO4^0.5)+(_xlfn.XLOOKUP(B4,'Base stats'!B:B,'Base stats'!AP:AP)/1000)^(2/3)+_xlfn.XLOOKUP(B4,'Base stats'!B:B,'Base stats'!AX:AX))+_xlfn.XLOOKUP(B4,'Base stats'!B:B,'Base stats'!AV:AV)+0.5,0.5))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stats'!AR:AR))*(AO4^0.5)+(_xlfn.XLOOKUP(B4,'Base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stats'!AQ:AQ)="No","No",MROUND((LOG10(_xlfn.XLOOKUP(B4,'Base stats'!B:B,'Base stats'!AQ:AQ))*(AO4^0.75)+(_xlfn.XLOOKUP(B4,'Base stats'!B:B,'Base stats'!AQ:AQ)/1000)^(2/3)+_xlfn.XLOOKUP(B4,'Base stats'!B:B,'Base stats'!AU:AU)+_xlfn.XLOOKUP(B4,'Base stats'!B:B,'Base stats'!AX:AX))+0.5,0.5))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stats'!AP:AP))*(AO4^0.75)+(_xlfn.XLOOKUP(B4,'Base stats'!B:B,'Base stats'!AP:AP)/1000)^(2/3)+_xlfn.XLOOKUP(B4,'Base stats'!B:B,'Base stats'!AV:AV)+_xlfn.XLOOKUP(B4,'Base stats'!B:B,'Base stats'!AX:AX))+0.5,0.5))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MAX(0.01,MROUND(IF(CB4="True",0.196*(AO4*100*1000)^0.889,IF(_xlfn.XLOOKUP(_xlfn.XLOOKUP(B4,'Base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IF(OR(A4="Queen",A4="Larva"),"No",IFERROR(MAX(IF(_xlfn.XLOOKUP(B4,'Base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stats'!AE:AE)</f>
        <v>Leather_Light</v>
      </c>
      <c r="BB4" s="23" t="str">
        <f>_xlfn.XLOOKUP(_xlfn.XLOOKUP(B4,'Base stats'!B:B,'Base stats'!E:E),Groups!A:A,Groups!AL:AL)</f>
        <v>QuadrupedAnimalWithPawsAndTail</v>
      </c>
      <c r="BC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D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E4" s="2" t="str">
        <f>IF(J4&gt;0.3,"No",_xlfn.XLOOKUP(_xlfn.XLOOKUP(Animals!B4,'Base stats'!B:B,'Base stats'!E:E),Groups!A:A,Groups!AP:AP))</f>
        <v>No</v>
      </c>
      <c r="BF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+ 24*(1-IF(BE4="No",0,BE4)) + 16/3, 12),"No")</f>
        <v>36</v>
      </c>
      <c r="BG4" s="2">
        <f>IF(AND(_xlfn.XLOOKUP(_xlfn.XLOOKUP(B4,'Base stats'!B:B,'Base stats'!E:E),Groups!A:A,Groups!AQ:AQ)=1,AO4&lt;=0.35),8,12)</f>
        <v>12</v>
      </c>
      <c r="BH4" s="2" t="str">
        <f>IF(_xlfn.XLOOKUP(_xlfn.XLOOKUP(B4,'Base stats'!B:B,'Base stats'!E:E),Groups!A:A,Groups!D:D)=0,_xlfn.XLOOKUP(_xlfn.XLOOKUP(B4,'Base stats'!B:B,'Base stats'!E:E),Groups!A:A,Groups!AR:AR),"None")</f>
        <v>Advanced</v>
      </c>
      <c r="BI4" s="2" t="str">
        <f>IF(AND(_xlfn.XLOOKUP(_xlfn.XLOOKUP(B4,'Base stats'!B:B,'Base stats'!E:E),Groups!A:A,Groups!AS:AS)=1,OR('Base stats'!Y4="Carnivore",'Base stats'!Y4="Omnivore")),"true","false")</f>
        <v>false</v>
      </c>
      <c r="BJ4" s="2" t="str">
        <f>IF(BI4="true",MROUND(IF(AND(AO4&gt;0.5,OR(_xlfn.XLOOKUP(_xlfn.XLOOKUP(B4,'Base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K4" s="2">
        <f t="shared" si="3"/>
        <v>1</v>
      </c>
      <c r="BL4" s="25" t="str">
        <f>IF(_xlfn.XLOOKUP(B4,'Base stats'!B:B,'Base stats'!AK:AK)="Standard","No",MROUND((_xlfn.XLOOKUP(B4,'Base stats'!B:B,'Base stats'!AK:AK)/3.6)/I4,0.1))</f>
        <v>No</v>
      </c>
      <c r="BM4" s="25" t="str">
        <f t="shared" si="4"/>
        <v>false</v>
      </c>
      <c r="BN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O4" s="25" t="str" cm="1">
        <f t="array" ref="BO4">IF(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 = "",
  "No",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
)</f>
        <v>Forage, Comfort</v>
      </c>
      <c r="BP4" s="25">
        <f>IF(
   AND(
      'Base stats'!AK4="Standard",_xlfn.XLOOKUP(_xlfn.XLOOKUP(B4,'Base stats'!B:B,'Base stats'!E:E),Groups!A:A,Groups!AU:AU)=0,
      OR(
      BN4="True"
      )
   ),
   10,
   IF(
       OR(BL4&lt;&gt;"No",_xlfn.XLOOKUP(_xlfn.XLOOKUP(B4,'Base stats'!B:B,'Base stats'!E:E),Groups!A:A,Groups!AU:AU)=1),
      1,
      "No"
   )
)</f>
        <v>10</v>
      </c>
      <c r="BQ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stats'!AS:AS) * 1.8) * 2) * 2.5 + 10 + I4 * 2,5)+IF(_xlfn.XLOOKUP(B4,'Base stats'!B:B,'Base stats'!AH:AH)=1,50,0)</f>
        <v>45</v>
      </c>
      <c r="BR4" s="8">
        <f t="shared" si="5"/>
        <v>0.30000000000000004</v>
      </c>
      <c r="BS4" s="8" t="str">
        <f>_xlfn.XLOOKUP(B4,'Base stats'!B:B,'Base stats'!AD:AD)</f>
        <v>No</v>
      </c>
      <c r="BT4" s="2" t="str">
        <f>IF(AND(J4&lt;=0.95,OR(_xlfn.XLOOKUP(B4,'Base stats'!B:B,'Base stats'!AH:AH)=1,_xlfn.XLOOKUP(B4,'Base stats'!B:B,'Base stats'!Y:Y)="Carnivore",_xlfn.XLOOKUP(B4,'Base stats'!B:B,'Base stats'!Y:Y)="Omnivore",BD4&gt;0.1)),"true","false")</f>
        <v>true</v>
      </c>
      <c r="BU4" s="2" t="str">
        <f>IF(_xlfn.XLOOKUP(B4,'Base stats'!B:B,'Base stats'!AF:AF)=1,"true","false")</f>
        <v>false</v>
      </c>
      <c r="BV4" s="25" t="str">
        <f>IF(E4="BaseInsect","AnimalInsect",
IF(J4&gt;0.95,"AnimalExotic",
_xlfn.TEXTJOIN(", ",TRUE,
IF(OR(_xlfn.XLOOKUP(B4,'Base stats'!B:B,'Base stats'!AJ:AJ)=1,AND(_xlfn.XLOOKUP(B4,'Base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stats'!AH:AH)=1,AND(BH4&lt;&gt;"None",BQ4&gt;=60),ISNUMBER(SEARCH("Attack target",BO4))),"AnimalFighter","")
)))</f>
        <v>AnimalUncommon</v>
      </c>
      <c r="BW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),_xlfn.XLOOKUP(B4,B:B,BW:BW))</f>
        <v>BorealForest ColdBog TemperateForest TemperateSwamp GlacialPlain Scarlands</v>
      </c>
      <c r="BX4" s="25" t="str">
        <f>IF(_xlfn.XLOOKUP(B4,'Base stats'!B:B,'Base stats'!AG:AG)=1,"true","false")</f>
        <v>false</v>
      </c>
      <c r="BY4" s="25">
        <f>IF(_xlfn.XLOOKUP(B4,'Base stats'!B:B,'Base stats'!N:N)=1,"No",MAX(0.01,MIN(MROUND(IF(OR(_xlfn.XLOOKUP(B4,'Base stats'!B:B,'Base stats'!AJ:AJ)=1,AND(BI4="True",CB4="False")),POWER(10,3.47*LOG10(_xlfn.XLOOKUP(B4,'Base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stats'!AH:AH)=1),0.5,1)/100,0.025),1)))</f>
        <v>0.375</v>
      </c>
      <c r="BZ4" s="25">
        <f>IF(P4="Standard","No",MAX(0.01,IF(_xlfn.XLOOKUP(B4,'Base stats'!B:B,'Base stats'!N:N)=0,MROUND(BY4*P4,0.05),MIN(1,MAX(0.025,MROUND(IF(OR(CB4="true",AND(BI4="false",BN4="false")),POWER(10,4.15*LOG10(_xlfn.XLOOKUP(B4,'Base stats'!B:B,'Base stats'!C:C)*1000)^-0.73),POWER(10,3.47*LOG10(_xlfn.XLOOKUP(B4,'Base stats'!B:B,'Base stats'!C:C)*1000)^-0.96))*IF(_xlfn.XLOOKUP(B4,'Base stats'!B:B,'Base stats'!AH:AH)=1,0.5,1)/100,0.025))))))</f>
        <v>0.30000000000000004</v>
      </c>
      <c r="CA4" s="25" t="str">
        <f>IF(_xlfn.XLOOKUP(_xlfn.XLOOKUP(B4,'Base stats'!B:B,'Base stats'!E:E),Groups!A:A,Groups!AJ:AJ)="Mammal","True","False")</f>
        <v>True</v>
      </c>
      <c r="CB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C4" s="25" t="str">
        <f t="shared" si="6"/>
        <v>False</v>
      </c>
      <c r="CD4" s="25" t="str">
        <f>IF(_xlfn.XLOOKUP(_xlfn.XLOOKUP(B4,'Base stats'!B:B,'Base stats'!E:E),Groups!A:A,Groups!AX:AX),"True","False")</f>
        <v>False</v>
      </c>
      <c r="CE4" s="25" t="str">
        <f>IF(_xlfn.XLOOKUP(_xlfn.XLOOKUP(B4,'Base stats'!B:B,'Base stats'!E:E),Groups!A:A,Groups!AY:AY),"True","False")</f>
        <v>False</v>
      </c>
      <c r="CF4" s="25" t="str">
        <f>IF(_xlfn.XLOOKUP(_xlfn.XLOOKUP(B4,'Base stats'!B:B,'Base stats'!E:E),Groups!A:A,Groups!AW:AW),"True","False")</f>
        <v>False</v>
      </c>
      <c r="CG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H4" s="25" t="str">
        <f>IF(_xlfn.XLOOKUP(_xlfn.XLOOKUP(B4,'Base stats'!B:B,'Base stats'!E:E),Groups!A:A,Groups!BB:BB),"True","False")</f>
        <v>True</v>
      </c>
      <c r="CI4" s="25" t="str">
        <f>IF(_xlfn.XLOOKUP(_xlfn.XLOOKUP(B4,'Base stats'!B:B,'Base stats'!E:E),Groups!A:A,Groups!BA:BA),"True","False")</f>
        <v>False</v>
      </c>
      <c r="CN4" s="16"/>
    </row>
    <row r="5" spans="1:92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stats'!AI:AI)=0,BH5="None",_xlfn.XLOOKUP(_xlfn.XLOOKUP(B5,'Base stats'!B:B,'Base stats'!E:E),Groups!A:A,Groups!B:B)=0), (18 + BQ5 * 2.7) * 0.5,
    IF(AND(_xlfn.XLOOKUP(B5,'Base stats'!B:B,'Base stats'!AI:AI)=0,OR(AO5&lt;0.55,AND(BH5="Intermediate",_xlfn.XLOOKUP(_xlfn.XLOOKUP(B5,'Base stats'!B:B,'Base stats'!E:E),Groups!A:A,Groups!B:B)&lt;2))), (18 + BQ5 * 2.7),
      IF(OR(BH5="Advanced",_xlfn.XLOOKUP(B5,'Base stats'!B:B,'Base stats'!AI:AI)=1,_xlfn.XLOOKUP(_xlfn.XLOOKUP(B5,'Base stats'!B:B,'Base stats'!E:E),Groups!A:A,Groups!B:B)=2), (18 + BQ5 * 2.7) + 250, (18 + BQ5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IF(_xlfn.XLOOKUP(B5,'Base stats'!B:B,'Base stats'!AI:AI)=1,0.99,MIN(MROUND((1-0.6282*EXP(-0.459*AO5))*_xlfn.XLOOKUP(_xlfn.XLOOKUP(B5,'Base stats'!B:B,'Base stats'!E:E),Groups!A:A,Groups!C:C)*IF(_xlfn.XLOOKUP(B5,'Base stats'!B:B,'Base stats'!O:O)=1,0.5,IF(_xlfn.XLOOKUP(B5,'Base stats'!B:B,'Base stats'!O:O)=2,0,1)),0.05),0.985))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W5)),ISNUMBER(SEARCH("IceSheet",BW5))),-50,IF(OR(ISNUMBER(SEARCH("GlacialPlain",BW5)),ISNUMBER(SEARCH("Tundra",BW5))),-40,IF(OR(ISNUMBER(SEARCH("Alpine",BW5)),ISNUMBER(SEARCH("BorealForest",BW5)),ISNUMBER(SEARCH("ColdBog",BW5))),-30,IF(OR(ISNUMBER(SEARCH("TemperateForest",BW5)),ISNUMBER(SEARCH("TemperateSwamp",BW5))),-20,IF(_xlfn.XLOOKUP(_xlfn.XLOOKUP(B5,'Base stats'!B:B,'Base stats'!E:E),Groups!A:A,Groups!F:F)=1,-15,IF(OR(ISNUMBER(SEARCH("Desert",BW5)),ISNUMBER(SEARCH("ExtremeDesert",BW5))),-10,IF(OR(ISNUMBER(SEARCH("Grasslands",BW5)),ISNUMBER(SEARCH("TropicalRainforest",BW5)),ISNUMBER(SEARCH("TropicalSwamp",BW5))),10,0)))))))-IF(CB5="False",MIN(IFERROR(MAX(MROUND(LOG10(_xlfn.XLOOKUP(B5,'Base stats'!B:B,'Base stats'!C:C)^(2/3))*10,5),5),5),30))-_xlfn.XLOOKUP(B5,'Base stats'!B:B,'Base stats'!P:P)+IF(CB5="True",5,0)</f>
        <v>-25</v>
      </c>
      <c r="M5" s="2">
        <f>IF(OR(_xlfn.XLOOKUP(_xlfn.XLOOKUP(B5,'Base stats'!B:B,'Base stats'!E:E),Groups!A:A,Groups!G:G)=2,ISNUMBER(SEARCH("Desert",BW5)),ISNUMBER(SEARCH("ExtremeDesert",BW5)),ISNUMBER(SEARCH("LavaField",BW5))),50,IF(ISNUMBER(SEARCH("Grasslands",BW5)),45,IF(OR(_xlfn.XLOOKUP(_xlfn.XLOOKUP(B5,'Base stats'!B:B,'Base stats'!E:E),Groups!A:A,Groups!G:G)=1,ISNUMBER(SEARCH("TropicalRainforest",BW5)),ISNUMBER(SEARCH("TropicalSwamp",BW5))),40,IF(OR(ISNUMBER(SEARCH("TemperateForest",BW5)),ISNUMBER(SEARCH("TemperateSwamp",BW5))),35,IF(OR(ISNUMBER(SEARCH("Alpine",BW5)),ISNUMBER(SEARCH("BorealForest",BW5)),ISNUMBER(SEARCH("ColdBog",BW5))),30,IF(ISNUMBER(OR(ISNUMBER(SEARCH("GlacialPlain",BW5)),SEARCH("Tundra",BW5))),25,IF(OR(ISNUMBER(SEARCH("SeaIce",BW5)),ISNUMBER(SEARCH("IceSheet",BW5)),ISNUMBER(SEARCH("TropicalSwamp",BW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stats'!AO:AO))*(AO5^0.5)+(_xlfn.XLOOKUP(B5,'Base stats'!B:B,'Base stats'!AO:AO)/1000)^(2/3)+_xlfn.XLOOKUP(B5,'Base stats'!B:B,'Base stats'!AX:AX)/2)+0.5,0.5)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stats'!AP:AP))*(AO5^0.5)+(_xlfn.XLOOKUP(B5,'Base stats'!B:B,'Base stats'!AP:AP)/1000)^(2/3)+_xlfn.XLOOKUP(B5,'Base stats'!B:B,'Base stats'!AX:AX))+_xlfn.XLOOKUP(B5,'Base stats'!B:B,'Base stats'!AV:AV)+0.5,0.5))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stats'!AR:AR))*(AO5^0.5)+(_xlfn.XLOOKUP(B5,'Base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stats'!AQ:AQ)="No","No",MROUND((LOG10(_xlfn.XLOOKUP(B5,'Base stats'!B:B,'Base stats'!AQ:AQ))*(AO5^0.75)+(_xlfn.XLOOKUP(B5,'Base stats'!B:B,'Base stats'!AQ:AQ)/1000)^(2/3)+_xlfn.XLOOKUP(B5,'Base stats'!B:B,'Base stats'!AU:AU)+_xlfn.XLOOKUP(B5,'Base stats'!B:B,'Base stats'!AX:AX))+0.5,0.5))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stats'!AP:AP))*(AO5^0.75)+(_xlfn.XLOOKUP(B5,'Base stats'!B:B,'Base stats'!AP:AP)/1000)^(2/3)+_xlfn.XLOOKUP(B5,'Base stats'!B:B,'Base stats'!AV:AV)+_xlfn.XLOOKUP(B5,'Base stats'!B:B,'Base stats'!AX:AX))+0.5,0.5))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MAX(0.01,MROUND(IF(CB5="True",0.196*(AO5*100*1000)^0.889,IF(_xlfn.XLOOKUP(_xlfn.XLOOKUP(B5,'Base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IF(OR(A5="Queen",A5="Larva"),"No",IFERROR(MAX(IF(_xlfn.XLOOKUP(B5,'Base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stats'!AE:AE)</f>
        <v>Leather_Bird</v>
      </c>
      <c r="BB5" s="23" t="str">
        <f>_xlfn.XLOOKUP(_xlfn.XLOOKUP(B5,'Base stats'!B:B,'Base stats'!E:E),Groups!A:A,Groups!AL:AL)</f>
        <v>Bird</v>
      </c>
      <c r="BC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D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E5" s="2" t="str">
        <f>IF(J5&gt;0.3,"No",_xlfn.XLOOKUP(_xlfn.XLOOKUP(Animals!B5,'Base stats'!B:B,'Base stats'!E:E),Groups!A:A,Groups!AP:AP))</f>
        <v>No</v>
      </c>
      <c r="BF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+ 24*(1-IF(BE5="No",0,BE5)) + 16/3, 12),"No")</f>
        <v>No</v>
      </c>
      <c r="BG5" s="2">
        <f>IF(AND(_xlfn.XLOOKUP(_xlfn.XLOOKUP(B5,'Base stats'!B:B,'Base stats'!E:E),Groups!A:A,Groups!AQ:AQ)=1,AO5&lt;=0.35),8,12)</f>
        <v>12</v>
      </c>
      <c r="BH5" s="2" t="str">
        <f>IF(_xlfn.XLOOKUP(_xlfn.XLOOKUP(B5,'Base stats'!B:B,'Base stats'!E:E),Groups!A:A,Groups!D:D)=0,_xlfn.XLOOKUP(_xlfn.XLOOKUP(B5,'Base stats'!B:B,'Base stats'!E:E),Groups!A:A,Groups!AR:AR),"None")</f>
        <v>None</v>
      </c>
      <c r="BI5" s="2" t="str">
        <f>IF(AND(_xlfn.XLOOKUP(_xlfn.XLOOKUP(B5,'Base stats'!B:B,'Base stats'!E:E),Groups!A:A,Groups!AS:AS)=1,OR('Base stats'!Y5="Carnivore",'Base stats'!Y5="Omnivore")),"true","false")</f>
        <v>false</v>
      </c>
      <c r="BJ5" s="2" t="str">
        <f>IF(BI5="true",MROUND(IF(AND(AO5&gt;0.5,OR(_xlfn.XLOOKUP(_xlfn.XLOOKUP(B5,'Base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K5" s="2">
        <f t="shared" si="3"/>
        <v>0</v>
      </c>
      <c r="BL5" s="25" t="str">
        <f>IF(_xlfn.XLOOKUP(B5,'Base stats'!B:B,'Base stats'!AK:AK)="Standard","No",MROUND((_xlfn.XLOOKUP(B5,'Base stats'!B:B,'Base stats'!AK:AK)/3.6)/I5,0.1))</f>
        <v>No</v>
      </c>
      <c r="BM5" s="25" t="str">
        <f t="shared" si="4"/>
        <v>false</v>
      </c>
      <c r="BN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O5" s="25" t="str" cm="1">
        <f t="array" ref="BO5">IF(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 = "",
  "No",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
)</f>
        <v>No</v>
      </c>
      <c r="BP5" s="25" t="str">
        <f>IF(
   AND(
      'Base stats'!AK5="Standard",_xlfn.XLOOKUP(_xlfn.XLOOKUP(B5,'Base stats'!B:B,'Base stats'!E:E),Groups!A:A,Groups!AU:AU)=0,
      OR(
      BN5="True"
      )
   ),
   10,
   IF(
       OR(BL5&lt;&gt;"No",_xlfn.XLOOKUP(_xlfn.XLOOKUP(B5,'Base stats'!B:B,'Base stats'!E:E),Groups!A:A,Groups!AU:AU)=1),
      1,
      "No"
   )
)</f>
        <v>No</v>
      </c>
      <c r="BQ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stats'!AS:AS) * 1.8) * 2) * 2.5 + 10 + I5 * 2,5)+IF(_xlfn.XLOOKUP(B5,'Base stats'!B:B,'Base stats'!AH:AH)=1,50,0)</f>
        <v>90</v>
      </c>
      <c r="BR5" s="8">
        <f t="shared" si="5"/>
        <v>0.9</v>
      </c>
      <c r="BS5" s="8" t="str">
        <f>_xlfn.XLOOKUP(B5,'Base stats'!B:B,'Base stats'!AD:AD)</f>
        <v>2~6</v>
      </c>
      <c r="BT5" s="2" t="str">
        <f>IF(AND(J5&lt;=0.95,OR(_xlfn.XLOOKUP(B5,'Base stats'!B:B,'Base stats'!AH:AH)=1,_xlfn.XLOOKUP(B5,'Base stats'!B:B,'Base stats'!Y:Y)="Carnivore",_xlfn.XLOOKUP(B5,'Base stats'!B:B,'Base stats'!Y:Y)="Omnivore",BD5&gt;0.1)),"true","false")</f>
        <v>false</v>
      </c>
      <c r="BU5" s="2" t="str">
        <f>IF(_xlfn.XLOOKUP(B5,'Base stats'!B:B,'Base stats'!AF:AF)=1,"true","false")</f>
        <v>false</v>
      </c>
      <c r="BV5" s="25" t="str">
        <f>IF(E5="BaseInsect","AnimalInsect",
IF(J5&gt;0.95,"AnimalExotic",
_xlfn.TEXTJOIN(", ",TRUE,
IF(OR(_xlfn.XLOOKUP(B5,'Base stats'!B:B,'Base stats'!AJ:AJ)=1,AND(_xlfn.XLOOKUP(B5,'Base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stats'!AH:AH)=1,AND(BH5&lt;&gt;"None",BQ5&gt;=60),ISNUMBER(SEARCH("Attack target",BO5))),"AnimalFighter","")
)))</f>
        <v>AnimalCommon</v>
      </c>
      <c r="BW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),_xlfn.XLOOKUP(B5,B:B,BW:BW))</f>
        <v>AridShrubland Desert Grasslands LavaField</v>
      </c>
      <c r="BX5" s="25" t="str">
        <f>IF(_xlfn.XLOOKUP(B5,'Base stats'!B:B,'Base stats'!AG:AG)=1,"true","false")</f>
        <v>false</v>
      </c>
      <c r="BY5" s="25">
        <f>IF(_xlfn.XLOOKUP(B5,'Base stats'!B:B,'Base stats'!N:N)=1,"No",MAX(0.01,MIN(MROUND(IF(OR(_xlfn.XLOOKUP(B5,'Base stats'!B:B,'Base stats'!AJ:AJ)=1,AND(BI5="True",CB5="False")),POWER(10,3.47*LOG10(_xlfn.XLOOKUP(B5,'Base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stats'!AH:AH)=1),0.5,1)/100,0.025),1)))</f>
        <v>0.2</v>
      </c>
      <c r="BZ5" s="25" t="str">
        <f>IF(P5="Standard","No",MAX(0.01,IF(_xlfn.XLOOKUP(B5,'Base stats'!B:B,'Base stats'!N:N)=0,MROUND(BY5*P5,0.05),MIN(1,MAX(0.025,MROUND(IF(OR(CB5="true",AND(BI5="false",BN5="false")),POWER(10,4.15*LOG10(_xlfn.XLOOKUP(B5,'Base stats'!B:B,'Base stats'!C:C)*1000)^-0.73),POWER(10,3.47*LOG10(_xlfn.XLOOKUP(B5,'Base stats'!B:B,'Base stats'!C:C)*1000)^-0.96))*IF(_xlfn.XLOOKUP(B5,'Base stats'!B:B,'Base stats'!AH:AH)=1,0.5,1)/100,0.025))))))</f>
        <v>No</v>
      </c>
      <c r="CA5" s="25" t="str">
        <f>IF(_xlfn.XLOOKUP(_xlfn.XLOOKUP(B5,'Base stats'!B:B,'Base stats'!E:E),Groups!A:A,Groups!AJ:AJ)="Mammal","True","False")</f>
        <v>False</v>
      </c>
      <c r="CB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C5" s="25" t="str">
        <f t="shared" si="6"/>
        <v>False</v>
      </c>
      <c r="CD5" s="25" t="str">
        <f>IF(_xlfn.XLOOKUP(_xlfn.XLOOKUP(B5,'Base stats'!B:B,'Base stats'!E:E),Groups!A:A,Groups!AX:AX),"True","False")</f>
        <v>False</v>
      </c>
      <c r="CE5" s="25" t="str">
        <f>IF(_xlfn.XLOOKUP(_xlfn.XLOOKUP(B5,'Base stats'!B:B,'Base stats'!E:E),Groups!A:A,Groups!AY:AY),"True","False")</f>
        <v>False</v>
      </c>
      <c r="CF5" s="25" t="str">
        <f>IF(_xlfn.XLOOKUP(_xlfn.XLOOKUP(B5,'Base stats'!B:B,'Base stats'!E:E),Groups!A:A,Groups!AW:AW),"True","False")</f>
        <v>False</v>
      </c>
      <c r="CG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H5" s="25" t="str">
        <f>IF(_xlfn.XLOOKUP(_xlfn.XLOOKUP(B5,'Base stats'!B:B,'Base stats'!E:E),Groups!A:A,Groups!BB:BB),"True","False")</f>
        <v>True</v>
      </c>
      <c r="CI5" s="25" t="str">
        <f>IF(_xlfn.XLOOKUP(_xlfn.XLOOKUP(B5,'Base stats'!B:B,'Base stats'!E:E),Groups!A:A,Groups!BA:BA),"True","False")</f>
        <v>False</v>
      </c>
      <c r="CN5" s="16"/>
    </row>
    <row r="6" spans="1:92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stats'!AI:AI)=0,BH6="None",_xlfn.XLOOKUP(_xlfn.XLOOKUP(B6,'Base stats'!B:B,'Base stats'!E:E),Groups!A:A,Groups!B:B)=0), (18 + BQ6 * 2.7) * 0.5,
    IF(AND(_xlfn.XLOOKUP(B6,'Base stats'!B:B,'Base stats'!AI:AI)=0,OR(AO6&lt;0.55,AND(BH6="Intermediate",_xlfn.XLOOKUP(_xlfn.XLOOKUP(B6,'Base stats'!B:B,'Base stats'!E:E),Groups!A:A,Groups!B:B)&lt;2))), (18 + BQ6 * 2.7),
      IF(OR(BH6="Advanced",_xlfn.XLOOKUP(B6,'Base stats'!B:B,'Base stats'!AI:AI)=1,_xlfn.XLOOKUP(_xlfn.XLOOKUP(B6,'Base stats'!B:B,'Base stats'!E:E),Groups!A:A,Groups!B:B)=2), (18 + BQ6 * 2.7) + 250, (18 + BQ6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IF(_xlfn.XLOOKUP(B6,'Base stats'!B:B,'Base stats'!AI:AI)=1,0.99,MIN(MROUND((1-0.6282*EXP(-0.459*AO6))*_xlfn.XLOOKUP(_xlfn.XLOOKUP(B6,'Base stats'!B:B,'Base stats'!E:E),Groups!A:A,Groups!C:C)*IF(_xlfn.XLOOKUP(B6,'Base stats'!B:B,'Base stats'!O:O)=1,0.5,IF(_xlfn.XLOOKUP(B6,'Base stats'!B:B,'Base stats'!O:O)=2,0,1)),0.05),0.985))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W6)),ISNUMBER(SEARCH("IceSheet",BW6))),-50,IF(OR(ISNUMBER(SEARCH("GlacialPlain",BW6)),ISNUMBER(SEARCH("Tundra",BW6))),-40,IF(OR(ISNUMBER(SEARCH("Alpine",BW6)),ISNUMBER(SEARCH("BorealForest",BW6)),ISNUMBER(SEARCH("ColdBog",BW6))),-30,IF(OR(ISNUMBER(SEARCH("TemperateForest",BW6)),ISNUMBER(SEARCH("TemperateSwamp",BW6))),-20,IF(_xlfn.XLOOKUP(_xlfn.XLOOKUP(B6,'Base stats'!B:B,'Base stats'!E:E),Groups!A:A,Groups!F:F)=1,-15,IF(OR(ISNUMBER(SEARCH("Desert",BW6)),ISNUMBER(SEARCH("ExtremeDesert",BW6))),-10,IF(OR(ISNUMBER(SEARCH("Grasslands",BW6)),ISNUMBER(SEARCH("TropicalRainforest",BW6)),ISNUMBER(SEARCH("TropicalSwamp",BW6))),10,0)))))))-IF(CB6="False",MIN(IFERROR(MAX(MROUND(LOG10(_xlfn.XLOOKUP(B6,'Base stats'!B:B,'Base stats'!C:C)^(2/3))*10,5),5),5),30))-_xlfn.XLOOKUP(B6,'Base stats'!B:B,'Base stats'!P:P)+IF(CB6="True",5,0)</f>
        <v>0</v>
      </c>
      <c r="M6" s="2">
        <f>IF(OR(_xlfn.XLOOKUP(_xlfn.XLOOKUP(B6,'Base stats'!B:B,'Base stats'!E:E),Groups!A:A,Groups!G:G)=2,ISNUMBER(SEARCH("Desert",BW6)),ISNUMBER(SEARCH("ExtremeDesert",BW6)),ISNUMBER(SEARCH("LavaField",BW6))),50,IF(ISNUMBER(SEARCH("Grasslands",BW6)),45,IF(OR(_xlfn.XLOOKUP(_xlfn.XLOOKUP(B6,'Base stats'!B:B,'Base stats'!E:E),Groups!A:A,Groups!G:G)=1,ISNUMBER(SEARCH("TropicalRainforest",BW6)),ISNUMBER(SEARCH("TropicalSwamp",BW6))),40,IF(OR(ISNUMBER(SEARCH("TemperateForest",BW6)),ISNUMBER(SEARCH("TemperateSwamp",BW6))),35,IF(OR(ISNUMBER(SEARCH("Alpine",BW6)),ISNUMBER(SEARCH("BorealForest",BW6)),ISNUMBER(SEARCH("ColdBog",BW6))),30,IF(ISNUMBER(OR(ISNUMBER(SEARCH("GlacialPlain",BW6)),SEARCH("Tundra",BW6))),25,IF(OR(ISNUMBER(SEARCH("SeaIce",BW6)),ISNUMBER(SEARCH("IceSheet",BW6)),ISNUMBER(SEARCH("TropicalSwamp",BW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stats'!AO:AO))*(AO6^0.5)+(_xlfn.XLOOKUP(B6,'Base stats'!B:B,'Base stats'!AO:AO)/1000)^(2/3)+_xlfn.XLOOKUP(B6,'Base stats'!B:B,'Base stats'!AX:AX)/2)+0.5,0.5)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stats'!AP:AP))*(AO6^0.5)+(_xlfn.XLOOKUP(B6,'Base stats'!B:B,'Base stats'!AP:AP)/1000)^(2/3)+_xlfn.XLOOKUP(B6,'Base stats'!B:B,'Base stats'!AX:AX))+_xlfn.XLOOKUP(B6,'Base stats'!B:B,'Base stats'!AV:AV)+0.5,0.5))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stats'!AR:AR))*(AO6^0.5)+(_xlfn.XLOOKUP(B6,'Base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stats'!AQ:AQ)="No","No",MROUND((LOG10(_xlfn.XLOOKUP(B6,'Base stats'!B:B,'Base stats'!AQ:AQ))*(AO6^0.75)+(_xlfn.XLOOKUP(B6,'Base stats'!B:B,'Base stats'!AQ:AQ)/1000)^(2/3)+_xlfn.XLOOKUP(B6,'Base stats'!B:B,'Base stats'!AU:AU)+_xlfn.XLOOKUP(B6,'Base stats'!B:B,'Base stats'!AX:AX))+0.5,0.5))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stats'!AP:AP))*(AO6^0.75)+(_xlfn.XLOOKUP(B6,'Base stats'!B:B,'Base stats'!AP:AP)/1000)^(2/3)+_xlfn.XLOOKUP(B6,'Base stats'!B:B,'Base stats'!AV:AV)+_xlfn.XLOOKUP(B6,'Base stats'!B:B,'Base stats'!AX:AX))+0.5,0.5))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MAX(0.01,MROUND(IF(CB6="True",0.196*(AO6*100*1000)^0.889,IF(_xlfn.XLOOKUP(_xlfn.XLOOKUP(B6,'Base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stats'!AE:AE)</f>
        <v>Leather_Bird</v>
      </c>
      <c r="BB6" s="23" t="str">
        <f>_xlfn.XLOOKUP(_xlfn.XLOOKUP(B6,'Base stats'!B:B,'Base stats'!E:E),Groups!A:A,Groups!AL:AL)</f>
        <v>Bird</v>
      </c>
      <c r="BC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D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E6" s="2" t="str">
        <f>IF(J6&gt;0.3,"No",_xlfn.XLOOKUP(_xlfn.XLOOKUP(Animals!B6,'Base stats'!B:B,'Base stats'!E:E),Groups!A:A,Groups!AP:AP))</f>
        <v>No</v>
      </c>
      <c r="BF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+ 24*(1-IF(BE6="No",0,BE6)) + 16/3, 12),"No")</f>
        <v>No</v>
      </c>
      <c r="BG6" s="2">
        <f>IF(AND(_xlfn.XLOOKUP(_xlfn.XLOOKUP(B6,'Base stats'!B:B,'Base stats'!E:E),Groups!A:A,Groups!AQ:AQ)=1,AO6&lt;=0.35),8,12)</f>
        <v>12</v>
      </c>
      <c r="BH6" s="2" t="str">
        <f>IF(_xlfn.XLOOKUP(_xlfn.XLOOKUP(B6,'Base stats'!B:B,'Base stats'!E:E),Groups!A:A,Groups!D:D)=0,_xlfn.XLOOKUP(_xlfn.XLOOKUP(B6,'Base stats'!B:B,'Base stats'!E:E),Groups!A:A,Groups!AR:AR),"None")</f>
        <v>None</v>
      </c>
      <c r="BI6" s="2" t="str">
        <f>IF(AND(_xlfn.XLOOKUP(_xlfn.XLOOKUP(B6,'Base stats'!B:B,'Base stats'!E:E),Groups!A:A,Groups!AS:AS)=1,OR('Base stats'!Y6="Carnivore",'Base stats'!Y6="Omnivore")),"true","false")</f>
        <v>false</v>
      </c>
      <c r="BJ6" s="2" t="str">
        <f>IF(BI6="true",MROUND(IF(AND(AO6&gt;0.5,OR(_xlfn.XLOOKUP(_xlfn.XLOOKUP(B6,'Base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K6" s="2">
        <f t="shared" si="3"/>
        <v>0</v>
      </c>
      <c r="BL6" s="25" t="str">
        <f>IF(_xlfn.XLOOKUP(B6,'Base stats'!B:B,'Base stats'!AK:AK)="Standard","No",MROUND((_xlfn.XLOOKUP(B6,'Base stats'!B:B,'Base stats'!AK:AK)/3.6)/I6,0.1))</f>
        <v>No</v>
      </c>
      <c r="BM6" s="25" t="str">
        <f t="shared" si="4"/>
        <v>false</v>
      </c>
      <c r="BN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O6" s="25" t="str" cm="1">
        <f t="array" ref="BO6">IF(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 = "",
  "No",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
)</f>
        <v>No</v>
      </c>
      <c r="BP6" s="25" t="str">
        <f>IF(
   AND(
      'Base stats'!AK6="Standard",_xlfn.XLOOKUP(_xlfn.XLOOKUP(B6,'Base stats'!B:B,'Base stats'!E:E),Groups!A:A,Groups!AU:AU)=0,
      OR(
      BN6="True"
      )
   ),
   10,
   IF(
       OR(BL6&lt;&gt;"No",_xlfn.XLOOKUP(_xlfn.XLOOKUP(B6,'Base stats'!B:B,'Base stats'!E:E),Groups!A:A,Groups!AU:AU)=1),
      1,
      "No"
   )
)</f>
        <v>No</v>
      </c>
      <c r="BQ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stats'!AS:AS) * 1.8) * 2) * 2.5 + 10 + I6 * 2,5)+IF(_xlfn.XLOOKUP(B6,'Base stats'!B:B,'Base stats'!AH:AH)=1,50,0)</f>
        <v>70</v>
      </c>
      <c r="BR6" s="8">
        <f t="shared" si="5"/>
        <v>0.65</v>
      </c>
      <c r="BS6" s="8" t="str">
        <f>_xlfn.XLOOKUP(B6,'Base stats'!B:B,'Base stats'!AD:AD)</f>
        <v>No</v>
      </c>
      <c r="BT6" s="2" t="str">
        <f>IF(AND(J6&lt;=0.95,OR(_xlfn.XLOOKUP(B6,'Base stats'!B:B,'Base stats'!AH:AH)=1,_xlfn.XLOOKUP(B6,'Base stats'!B:B,'Base stats'!Y:Y)="Carnivore",_xlfn.XLOOKUP(B6,'Base stats'!B:B,'Base stats'!Y:Y)="Omnivore",BD6&gt;0.1)),"true","false")</f>
        <v>false</v>
      </c>
      <c r="BU6" s="2" t="str">
        <f>IF(_xlfn.XLOOKUP(B6,'Base stats'!B:B,'Base stats'!AF:AF)=1,"true","false")</f>
        <v>false</v>
      </c>
      <c r="BV6" s="25" t="str">
        <f>IF(E6="BaseInsect","AnimalInsect",
IF(J6&gt;0.95,"AnimalExotic",
_xlfn.TEXTJOIN(", ",TRUE,
IF(OR(_xlfn.XLOOKUP(B6,'Base stats'!B:B,'Base stats'!AJ:AJ)=1,AND(_xlfn.XLOOKUP(B6,'Base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stats'!AH:AH)=1,AND(BH6&lt;&gt;"None",BQ6&gt;=60),ISNUMBER(SEARCH("Attack target",BO6))),"AnimalFighter","")
)))</f>
        <v>AnimalUncommon</v>
      </c>
      <c r="BW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),_xlfn.XLOOKUP(B6,B:B,BW:BW))</f>
        <v>TropicalRainforest TropicalSwamp Glowforest</v>
      </c>
      <c r="BX6" s="25" t="str">
        <f>IF(_xlfn.XLOOKUP(B6,'Base stats'!B:B,'Base stats'!AG:AG)=1,"true","false")</f>
        <v>false</v>
      </c>
      <c r="BY6" s="25">
        <f>IF(_xlfn.XLOOKUP(B6,'Base stats'!B:B,'Base stats'!N:N)=1,"No",MAX(0.01,MIN(MROUND(IF(OR(_xlfn.XLOOKUP(B6,'Base stats'!B:B,'Base stats'!AJ:AJ)=1,AND(BI6="True",CB6="False")),POWER(10,3.47*LOG10(_xlfn.XLOOKUP(B6,'Base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stats'!AH:AH)=1),0.5,1)/100,0.025),1)))</f>
        <v>0.22500000000000001</v>
      </c>
      <c r="BZ6" s="25" t="str">
        <f>IF(P6="Standard","No",MAX(0.01,IF(_xlfn.XLOOKUP(B6,'Base stats'!B:B,'Base stats'!N:N)=0,MROUND(BY6*P6,0.05),MIN(1,MAX(0.025,MROUND(IF(OR(CB6="true",AND(BI6="false",BN6="false")),POWER(10,4.15*LOG10(_xlfn.XLOOKUP(B6,'Base stats'!B:B,'Base stats'!C:C)*1000)^-0.73),POWER(10,3.47*LOG10(_xlfn.XLOOKUP(B6,'Base stats'!B:B,'Base stats'!C:C)*1000)^-0.96))*IF(_xlfn.XLOOKUP(B6,'Base stats'!B:B,'Base stats'!AH:AH)=1,0.5,1)/100,0.025))))))</f>
        <v>No</v>
      </c>
      <c r="CA6" s="25" t="str">
        <f>IF(_xlfn.XLOOKUP(_xlfn.XLOOKUP(B6,'Base stats'!B:B,'Base stats'!E:E),Groups!A:A,Groups!AJ:AJ)="Mammal","True","False")</f>
        <v>False</v>
      </c>
      <c r="CB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C6" s="25" t="str">
        <f t="shared" si="6"/>
        <v>False</v>
      </c>
      <c r="CD6" s="25" t="str">
        <f>IF(_xlfn.XLOOKUP(_xlfn.XLOOKUP(B6,'Base stats'!B:B,'Base stats'!E:E),Groups!A:A,Groups!AX:AX),"True","False")</f>
        <v>False</v>
      </c>
      <c r="CE6" s="25" t="str">
        <f>IF(_xlfn.XLOOKUP(_xlfn.XLOOKUP(B6,'Base stats'!B:B,'Base stats'!E:E),Groups!A:A,Groups!AY:AY),"True","False")</f>
        <v>False</v>
      </c>
      <c r="CF6" s="25" t="str">
        <f>IF(_xlfn.XLOOKUP(_xlfn.XLOOKUP(B6,'Base stats'!B:B,'Base stats'!E:E),Groups!A:A,Groups!AW:AW),"True","False")</f>
        <v>False</v>
      </c>
      <c r="CG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H6" s="25" t="str">
        <f>IF(_xlfn.XLOOKUP(_xlfn.XLOOKUP(B6,'Base stats'!B:B,'Base stats'!E:E),Groups!A:A,Groups!BB:BB),"True","False")</f>
        <v>True</v>
      </c>
      <c r="CI6" s="25" t="str">
        <f>IF(_xlfn.XLOOKUP(_xlfn.XLOOKUP(B6,'Base stats'!B:B,'Base stats'!E:E),Groups!A:A,Groups!BA:BA),"True","False")</f>
        <v>False</v>
      </c>
      <c r="CN6" s="16"/>
    </row>
    <row r="7" spans="1:92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stats'!AI:AI)=0,BH7="None",_xlfn.XLOOKUP(_xlfn.XLOOKUP(B7,'Base stats'!B:B,'Base stats'!E:E),Groups!A:A,Groups!B:B)=0), (18 + BQ7 * 2.7) * 0.5,
    IF(AND(_xlfn.XLOOKUP(B7,'Base stats'!B:B,'Base stats'!AI:AI)=0,OR(AO7&lt;0.55,AND(BH7="Intermediate",_xlfn.XLOOKUP(_xlfn.XLOOKUP(B7,'Base stats'!B:B,'Base stats'!E:E),Groups!A:A,Groups!B:B)&lt;2))), (18 + BQ7 * 2.7),
      IF(OR(BH7="Advanced",_xlfn.XLOOKUP(B7,'Base stats'!B:B,'Base stats'!AI:AI)=1,_xlfn.XLOOKUP(_xlfn.XLOOKUP(B7,'Base stats'!B:B,'Base stats'!E:E),Groups!A:A,Groups!B:B)=2), (18 + BQ7 * 2.7) + 250, (18 + BQ7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IF(_xlfn.XLOOKUP(B7,'Base stats'!B:B,'Base stats'!AI:AI)=1,0.99,MIN(MROUND((1-0.6282*EXP(-0.459*AO7))*_xlfn.XLOOKUP(_xlfn.XLOOKUP(B7,'Base stats'!B:B,'Base stats'!E:E),Groups!A:A,Groups!C:C)*IF(_xlfn.XLOOKUP(B7,'Base stats'!B:B,'Base stats'!O:O)=1,0.5,IF(_xlfn.XLOOKUP(B7,'Base stats'!B:B,'Base stats'!O:O)=2,0,1)),0.05),0.985))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W7)),ISNUMBER(SEARCH("IceSheet",BW7))),-50,IF(OR(ISNUMBER(SEARCH("GlacialPlain",BW7)),ISNUMBER(SEARCH("Tundra",BW7))),-40,IF(OR(ISNUMBER(SEARCH("Alpine",BW7)),ISNUMBER(SEARCH("BorealForest",BW7)),ISNUMBER(SEARCH("ColdBog",BW7))),-30,IF(OR(ISNUMBER(SEARCH("TemperateForest",BW7)),ISNUMBER(SEARCH("TemperateSwamp",BW7))),-20,IF(_xlfn.XLOOKUP(_xlfn.XLOOKUP(B7,'Base stats'!B:B,'Base stats'!E:E),Groups!A:A,Groups!F:F)=1,-15,IF(OR(ISNUMBER(SEARCH("Desert",BW7)),ISNUMBER(SEARCH("ExtremeDesert",BW7))),-10,IF(OR(ISNUMBER(SEARCH("Grasslands",BW7)),ISNUMBER(SEARCH("TropicalRainforest",BW7)),ISNUMBER(SEARCH("TropicalSwamp",BW7))),10,0)))))))-IF(CB7="False",MIN(IFERROR(MAX(MROUND(LOG10(_xlfn.XLOOKUP(B7,'Base stats'!B:B,'Base stats'!C:C)^(2/3))*10,5),5),5),30))-_xlfn.XLOOKUP(B7,'Base stats'!B:B,'Base stats'!P:P)+IF(CB7="True",5,0)</f>
        <v>-20</v>
      </c>
      <c r="M7" s="2">
        <f>IF(OR(_xlfn.XLOOKUP(_xlfn.XLOOKUP(B7,'Base stats'!B:B,'Base stats'!E:E),Groups!A:A,Groups!G:G)=2,ISNUMBER(SEARCH("Desert",BW7)),ISNUMBER(SEARCH("ExtremeDesert",BW7)),ISNUMBER(SEARCH("LavaField",BW7))),50,IF(ISNUMBER(SEARCH("Grasslands",BW7)),45,IF(OR(_xlfn.XLOOKUP(_xlfn.XLOOKUP(B7,'Base stats'!B:B,'Base stats'!E:E),Groups!A:A,Groups!G:G)=1,ISNUMBER(SEARCH("TropicalRainforest",BW7)),ISNUMBER(SEARCH("TropicalSwamp",BW7))),40,IF(OR(ISNUMBER(SEARCH("TemperateForest",BW7)),ISNUMBER(SEARCH("TemperateSwamp",BW7))),35,IF(OR(ISNUMBER(SEARCH("Alpine",BW7)),ISNUMBER(SEARCH("BorealForest",BW7)),ISNUMBER(SEARCH("ColdBog",BW7))),30,IF(ISNUMBER(OR(ISNUMBER(SEARCH("GlacialPlain",BW7)),SEARCH("Tundra",BW7))),25,IF(OR(ISNUMBER(SEARCH("SeaIce",BW7)),ISNUMBER(SEARCH("IceSheet",BW7)),ISNUMBER(SEARCH("TropicalSwamp",BW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stats'!AO:AO))*(AO7^0.5)+(_xlfn.XLOOKUP(B7,'Base stats'!B:B,'Base stats'!AO:AO)/1000)^(2/3)+_xlfn.XLOOKUP(B7,'Base stats'!B:B,'Base stats'!AX:AX)/2)+0.5,0.5)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stats'!AP:AP))*(AO7^0.5)+(_xlfn.XLOOKUP(B7,'Base stats'!B:B,'Base stats'!AP:AP)/1000)^(2/3)+_xlfn.XLOOKUP(B7,'Base stats'!B:B,'Base stats'!AX:AX))+_xlfn.XLOOKUP(B7,'Base stats'!B:B,'Base stats'!AV:AV)+0.5,0.5))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stats'!AR:AR))*(AO7^0.5)+(_xlfn.XLOOKUP(B7,'Base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stats'!AQ:AQ)="No","No",MROUND((LOG10(_xlfn.XLOOKUP(B7,'Base stats'!B:B,'Base stats'!AQ:AQ))*(AO7^0.75)+(_xlfn.XLOOKUP(B7,'Base stats'!B:B,'Base stats'!AQ:AQ)/1000)^(2/3)+_xlfn.XLOOKUP(B7,'Base stats'!B:B,'Base stats'!AU:AU)+_xlfn.XLOOKUP(B7,'Base stats'!B:B,'Base stats'!AX:AX))+0.5,0.5))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stats'!AP:AP))*(AO7^0.75)+(_xlfn.XLOOKUP(B7,'Base stats'!B:B,'Base stats'!AP:AP)/1000)^(2/3)+_xlfn.XLOOKUP(B7,'Base stats'!B:B,'Base stats'!AV:AV)+_xlfn.XLOOKUP(B7,'Base stats'!B:B,'Base stats'!AX:AX))+0.5,0.5))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MAX(0.01,MROUND(IF(CB7="True",0.196*(AO7*100*1000)^0.889,IF(_xlfn.XLOOKUP(_xlfn.XLOOKUP(B7,'Base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IF(OR(A7="Queen",A7="Larva"),"No",IFERROR(MAX(IF(_xlfn.XLOOKUP(B7,'Base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stats'!AE:AE)</f>
        <v>Leather_Bird</v>
      </c>
      <c r="BB7" s="23" t="str">
        <f>_xlfn.XLOOKUP(_xlfn.XLOOKUP(B7,'Base stats'!B:B,'Base stats'!E:E),Groups!A:A,Groups!AL:AL)</f>
        <v>Bird</v>
      </c>
      <c r="BC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D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E7" s="2" t="str">
        <f>IF(J7&gt;0.3,"No",_xlfn.XLOOKUP(_xlfn.XLOOKUP(Animals!B7,'Base stats'!B:B,'Base stats'!E:E),Groups!A:A,Groups!AP:AP))</f>
        <v>No</v>
      </c>
      <c r="BF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+ 24*(1-IF(BE7="No",0,BE7)) + 16/3, 12),"No")</f>
        <v>No</v>
      </c>
      <c r="BG7" s="2">
        <f>IF(AND(_xlfn.XLOOKUP(_xlfn.XLOOKUP(B7,'Base stats'!B:B,'Base stats'!E:E),Groups!A:A,Groups!AQ:AQ)=1,AO7&lt;=0.35),8,12)</f>
        <v>12</v>
      </c>
      <c r="BH7" s="2" t="str">
        <f>IF(_xlfn.XLOOKUP(_xlfn.XLOOKUP(B7,'Base stats'!B:B,'Base stats'!E:E),Groups!A:A,Groups!D:D)=0,_xlfn.XLOOKUP(_xlfn.XLOOKUP(B7,'Base stats'!B:B,'Base stats'!E:E),Groups!A:A,Groups!AR:AR),"None")</f>
        <v>None</v>
      </c>
      <c r="BI7" s="2" t="str">
        <f>IF(AND(_xlfn.XLOOKUP(_xlfn.XLOOKUP(B7,'Base stats'!B:B,'Base stats'!E:E),Groups!A:A,Groups!AS:AS)=1,OR('Base stats'!Y7="Carnivore",'Base stats'!Y7="Omnivore")),"true","false")</f>
        <v>false</v>
      </c>
      <c r="BJ7" s="2" t="str">
        <f>IF(BI7="true",MROUND(IF(AND(AO7&gt;0.5,OR(_xlfn.XLOOKUP(_xlfn.XLOOKUP(B7,'Base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K7" s="2">
        <f t="shared" si="3"/>
        <v>0</v>
      </c>
      <c r="BL7" s="25" t="str">
        <f>IF(_xlfn.XLOOKUP(B7,'Base stats'!B:B,'Base stats'!AK:AK)="Standard","No",MROUND((_xlfn.XLOOKUP(B7,'Base stats'!B:B,'Base stats'!AK:AK)/3.6)/I7,0.1))</f>
        <v>No</v>
      </c>
      <c r="BM7" s="25" t="str">
        <f t="shared" si="4"/>
        <v>false</v>
      </c>
      <c r="BN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O7" s="25" t="str" cm="1">
        <f t="array" ref="BO7">IF(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 = "",
  "No",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
)</f>
        <v>No</v>
      </c>
      <c r="BP7" s="25" t="str">
        <f>IF(
   AND(
      'Base stats'!AK7="Standard",_xlfn.XLOOKUP(_xlfn.XLOOKUP(B7,'Base stats'!B:B,'Base stats'!E:E),Groups!A:A,Groups!AU:AU)=0,
      OR(
      BN7="True"
      )
   ),
   10,
   IF(
       OR(BL7&lt;&gt;"No",_xlfn.XLOOKUP(_xlfn.XLOOKUP(B7,'Base stats'!B:B,'Base stats'!E:E),Groups!A:A,Groups!AU:AU)=1),
      1,
      "No"
   )
)</f>
        <v>No</v>
      </c>
      <c r="BQ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stats'!AS:AS) * 1.8) * 2) * 2.5 + 10 + I7 * 2,5)+IF(_xlfn.XLOOKUP(B7,'Base stats'!B:B,'Base stats'!AH:AH)=1,50,0)</f>
        <v>60</v>
      </c>
      <c r="BR7" s="8">
        <f t="shared" si="5"/>
        <v>0.60000000000000009</v>
      </c>
      <c r="BS7" s="8" t="str">
        <f>_xlfn.XLOOKUP(B7,'Base stats'!B:B,'Base stats'!AD:AD)</f>
        <v>2~6</v>
      </c>
      <c r="BT7" s="2" t="str">
        <f>IF(AND(J7&lt;=0.95,OR(_xlfn.XLOOKUP(B7,'Base stats'!B:B,'Base stats'!AH:AH)=1,_xlfn.XLOOKUP(B7,'Base stats'!B:B,'Base stats'!Y:Y)="Carnivore",_xlfn.XLOOKUP(B7,'Base stats'!B:B,'Base stats'!Y:Y)="Omnivore",BD7&gt;0.1)),"true","false")</f>
        <v>false</v>
      </c>
      <c r="BU7" s="2" t="str">
        <f>IF(_xlfn.XLOOKUP(B7,'Base stats'!B:B,'Base stats'!AF:AF)=1,"true","false")</f>
        <v>false</v>
      </c>
      <c r="BV7" s="25" t="str">
        <f>IF(E7="BaseInsect","AnimalInsect",
IF(J7&gt;0.95,"AnimalExotic",
_xlfn.TEXTJOIN(", ",TRUE,
IF(OR(_xlfn.XLOOKUP(B7,'Base stats'!B:B,'Base stats'!AJ:AJ)=1,AND(_xlfn.XLOOKUP(B7,'Base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stats'!AH:AH)=1,AND(BH7&lt;&gt;"None",BQ7&gt;=60),ISNUMBER(SEARCH("Attack target",BO7))),"AnimalFighter","")
)))</f>
        <v>AnimalCommon</v>
      </c>
      <c r="BW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),_xlfn.XLOOKUP(B7,B:B,BW:BW))</f>
        <v>AridShrubland Desert Grasslands LavaField</v>
      </c>
      <c r="BX7" s="25" t="str">
        <f>IF(_xlfn.XLOOKUP(B7,'Base stats'!B:B,'Base stats'!AG:AG)=1,"true","false")</f>
        <v>false</v>
      </c>
      <c r="BY7" s="25">
        <f>IF(_xlfn.XLOOKUP(B7,'Base stats'!B:B,'Base stats'!N:N)=1,"No",MAX(0.01,MIN(MROUND(IF(OR(_xlfn.XLOOKUP(B7,'Base stats'!B:B,'Base stats'!AJ:AJ)=1,AND(BI7="True",CB7="False")),POWER(10,3.47*LOG10(_xlfn.XLOOKUP(B7,'Base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stats'!AH:AH)=1),0.5,1)/100,0.025),1)))</f>
        <v>0.22500000000000001</v>
      </c>
      <c r="BZ7" s="25" t="str">
        <f>IF(P7="Standard","No",MAX(0.01,IF(_xlfn.XLOOKUP(B7,'Base stats'!B:B,'Base stats'!N:N)=0,MROUND(BY7*P7,0.05),MIN(1,MAX(0.025,MROUND(IF(OR(CB7="true",AND(BI7="false",BN7="false")),POWER(10,4.15*LOG10(_xlfn.XLOOKUP(B7,'Base stats'!B:B,'Base stats'!C:C)*1000)^-0.73),POWER(10,3.47*LOG10(_xlfn.XLOOKUP(B7,'Base stats'!B:B,'Base stats'!C:C)*1000)^-0.96))*IF(_xlfn.XLOOKUP(B7,'Base stats'!B:B,'Base stats'!AH:AH)=1,0.5,1)/100,0.025))))))</f>
        <v>No</v>
      </c>
      <c r="CA7" s="25" t="str">
        <f>IF(_xlfn.XLOOKUP(_xlfn.XLOOKUP(B7,'Base stats'!B:B,'Base stats'!E:E),Groups!A:A,Groups!AJ:AJ)="Mammal","True","False")</f>
        <v>False</v>
      </c>
      <c r="CB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C7" s="25" t="str">
        <f t="shared" si="6"/>
        <v>False</v>
      </c>
      <c r="CD7" s="25" t="str">
        <f>IF(_xlfn.XLOOKUP(_xlfn.XLOOKUP(B7,'Base stats'!B:B,'Base stats'!E:E),Groups!A:A,Groups!AX:AX),"True","False")</f>
        <v>False</v>
      </c>
      <c r="CE7" s="25" t="str">
        <f>IF(_xlfn.XLOOKUP(_xlfn.XLOOKUP(B7,'Base stats'!B:B,'Base stats'!E:E),Groups!A:A,Groups!AY:AY),"True","False")</f>
        <v>False</v>
      </c>
      <c r="CF7" s="25" t="str">
        <f>IF(_xlfn.XLOOKUP(_xlfn.XLOOKUP(B7,'Base stats'!B:B,'Base stats'!E:E),Groups!A:A,Groups!AW:AW),"True","False")</f>
        <v>False</v>
      </c>
      <c r="CG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H7" s="25" t="str">
        <f>IF(_xlfn.XLOOKUP(_xlfn.XLOOKUP(B7,'Base stats'!B:B,'Base stats'!E:E),Groups!A:A,Groups!BB:BB),"True","False")</f>
        <v>True</v>
      </c>
      <c r="CI7" s="25" t="str">
        <f>IF(_xlfn.XLOOKUP(_xlfn.XLOOKUP(B7,'Base stats'!B:B,'Base stats'!E:E),Groups!A:A,Groups!BA:BA),"True","False")</f>
        <v>False</v>
      </c>
      <c r="CN7" s="16"/>
    </row>
    <row r="8" spans="1:92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stats'!AI:AI)=0,BH8="None",_xlfn.XLOOKUP(_xlfn.XLOOKUP(B8,'Base stats'!B:B,'Base stats'!E:E),Groups!A:A,Groups!B:B)=0), (18 + BQ8 * 2.7) * 0.5,
    IF(AND(_xlfn.XLOOKUP(B8,'Base stats'!B:B,'Base stats'!AI:AI)=0,OR(AO8&lt;0.55,AND(BH8="Intermediate",_xlfn.XLOOKUP(_xlfn.XLOOKUP(B8,'Base stats'!B:B,'Base stats'!E:E),Groups!A:A,Groups!B:B)&lt;2))), (18 + BQ8 * 2.7),
      IF(OR(BH8="Advanced",_xlfn.XLOOKUP(B8,'Base stats'!B:B,'Base stats'!AI:AI)=1,_xlfn.XLOOKUP(_xlfn.XLOOKUP(B8,'Base stats'!B:B,'Base stats'!E:E),Groups!A:A,Groups!B:B)=2), (18 + BQ8 * 2.7) + 250, (18 + BQ8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IF(_xlfn.XLOOKUP(B8,'Base stats'!B:B,'Base stats'!AI:AI)=1,0.99,MIN(MROUND((1-0.6282*EXP(-0.459*AO8))*_xlfn.XLOOKUP(_xlfn.XLOOKUP(B8,'Base stats'!B:B,'Base stats'!E:E),Groups!A:A,Groups!C:C)*IF(_xlfn.XLOOKUP(B8,'Base stats'!B:B,'Base stats'!O:O)=1,0.5,IF(_xlfn.XLOOKUP(B8,'Base stats'!B:B,'Base stats'!O:O)=2,0,1)),0.05),0.985))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W8)),ISNUMBER(SEARCH("IceSheet",BW8))),-50,IF(OR(ISNUMBER(SEARCH("GlacialPlain",BW8)),ISNUMBER(SEARCH("Tundra",BW8))),-40,IF(OR(ISNUMBER(SEARCH("Alpine",BW8)),ISNUMBER(SEARCH("BorealForest",BW8)),ISNUMBER(SEARCH("ColdBog",BW8))),-30,IF(OR(ISNUMBER(SEARCH("TemperateForest",BW8)),ISNUMBER(SEARCH("TemperateSwamp",BW8))),-20,IF(_xlfn.XLOOKUP(_xlfn.XLOOKUP(B8,'Base stats'!B:B,'Base stats'!E:E),Groups!A:A,Groups!F:F)=1,-15,IF(OR(ISNUMBER(SEARCH("Desert",BW8)),ISNUMBER(SEARCH("ExtremeDesert",BW8))),-10,IF(OR(ISNUMBER(SEARCH("Grasslands",BW8)),ISNUMBER(SEARCH("TropicalRainforest",BW8)),ISNUMBER(SEARCH("TropicalSwamp",BW8))),10,0)))))))-IF(CB8="False",MIN(IFERROR(MAX(MROUND(LOG10(_xlfn.XLOOKUP(B8,'Base stats'!B:B,'Base stats'!C:C)^(2/3))*10,5),5),5),30))-_xlfn.XLOOKUP(B8,'Base stats'!B:B,'Base stats'!P:P)+IF(CB8="True",5,0)</f>
        <v>-25</v>
      </c>
      <c r="M8" s="2">
        <f>IF(OR(_xlfn.XLOOKUP(_xlfn.XLOOKUP(B8,'Base stats'!B:B,'Base stats'!E:E),Groups!A:A,Groups!G:G)=2,ISNUMBER(SEARCH("Desert",BW8)),ISNUMBER(SEARCH("ExtremeDesert",BW8)),ISNUMBER(SEARCH("LavaField",BW8))),50,IF(ISNUMBER(SEARCH("Grasslands",BW8)),45,IF(OR(_xlfn.XLOOKUP(_xlfn.XLOOKUP(B8,'Base stats'!B:B,'Base stats'!E:E),Groups!A:A,Groups!G:G)=1,ISNUMBER(SEARCH("TropicalRainforest",BW8)),ISNUMBER(SEARCH("TropicalSwamp",BW8))),40,IF(OR(ISNUMBER(SEARCH("TemperateForest",BW8)),ISNUMBER(SEARCH("TemperateSwamp",BW8))),35,IF(OR(ISNUMBER(SEARCH("Alpine",BW8)),ISNUMBER(SEARCH("BorealForest",BW8)),ISNUMBER(SEARCH("ColdBog",BW8))),30,IF(ISNUMBER(OR(ISNUMBER(SEARCH("GlacialPlain",BW8)),SEARCH("Tundra",BW8))),25,IF(OR(ISNUMBER(SEARCH("SeaIce",BW8)),ISNUMBER(SEARCH("IceSheet",BW8)),ISNUMBER(SEARCH("TropicalSwamp",BW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stats'!AO:AO))*(AO8^0.5)+(_xlfn.XLOOKUP(B8,'Base stats'!B:B,'Base stats'!AO:AO)/1000)^(2/3)+_xlfn.XLOOKUP(B8,'Base stats'!B:B,'Base stats'!AX:AX)/2)+0.5,0.5)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stats'!AP:AP))*(AO8^0.5)+(_xlfn.XLOOKUP(B8,'Base stats'!B:B,'Base stats'!AP:AP)/1000)^(2/3)+_xlfn.XLOOKUP(B8,'Base stats'!B:B,'Base stats'!AX:AX))+_xlfn.XLOOKUP(B8,'Base stats'!B:B,'Base stats'!AV:AV)+0.5,0.5))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stats'!AR:AR))*(AO8^0.5)+(_xlfn.XLOOKUP(B8,'Base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stats'!AQ:AQ)="No","No",MROUND((LOG10(_xlfn.XLOOKUP(B8,'Base stats'!B:B,'Base stats'!AQ:AQ))*(AO8^0.75)+(_xlfn.XLOOKUP(B8,'Base stats'!B:B,'Base stats'!AQ:AQ)/1000)^(2/3)+_xlfn.XLOOKUP(B8,'Base stats'!B:B,'Base stats'!AU:AU)+_xlfn.XLOOKUP(B8,'Base stats'!B:B,'Base stats'!AX:AX))+0.5,0.5))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stats'!AP:AP))*(AO8^0.75)+(_xlfn.XLOOKUP(B8,'Base stats'!B:B,'Base stats'!AP:AP)/1000)^(2/3)+_xlfn.XLOOKUP(B8,'Base stats'!B:B,'Base stats'!AV:AV)+_xlfn.XLOOKUP(B8,'Base stats'!B:B,'Base stats'!AX:AX))+0.5,0.5))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MAX(0.01,MROUND(IF(CB8="True",0.196*(AO8*100*1000)^0.889,IF(_xlfn.XLOOKUP(_xlfn.XLOOKUP(B8,'Base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IF(OR(A8="Queen",A8="Larva"),"No",IFERROR(MAX(IF(_xlfn.XLOOKUP(B8,'Base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stats'!AE:AE)</f>
        <v>No</v>
      </c>
      <c r="BB8" s="23" t="str">
        <f>_xlfn.XLOOKUP(_xlfn.XLOOKUP(B8,'Base stats'!B:B,'Base stats'!E:E),Groups!A:A,Groups!AL:AL)</f>
        <v>Bird</v>
      </c>
      <c r="BC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D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E8" s="2" t="str">
        <f>IF(J8&gt;0.3,"No",_xlfn.XLOOKUP(_xlfn.XLOOKUP(Animals!B8,'Base stats'!B:B,'Base stats'!E:E),Groups!A:A,Groups!AP:AP))</f>
        <v>No</v>
      </c>
      <c r="BF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+ 24*(1-IF(BE8="No",0,BE8)) + 16/3, 12),"No")</f>
        <v>No</v>
      </c>
      <c r="BG8" s="2">
        <f>IF(AND(_xlfn.XLOOKUP(_xlfn.XLOOKUP(B8,'Base stats'!B:B,'Base stats'!E:E),Groups!A:A,Groups!AQ:AQ)=1,AO8&lt;=0.35),8,12)</f>
        <v>8</v>
      </c>
      <c r="BH8" s="2" t="str">
        <f>IF(_xlfn.XLOOKUP(_xlfn.XLOOKUP(B8,'Base stats'!B:B,'Base stats'!E:E),Groups!A:A,Groups!D:D)=0,_xlfn.XLOOKUP(_xlfn.XLOOKUP(B8,'Base stats'!B:B,'Base stats'!E:E),Groups!A:A,Groups!AR:AR),"None")</f>
        <v>None</v>
      </c>
      <c r="BI8" s="2" t="str">
        <f>IF(AND(_xlfn.XLOOKUP(_xlfn.XLOOKUP(B8,'Base stats'!B:B,'Base stats'!E:E),Groups!A:A,Groups!AS:AS)=1,OR('Base stats'!Y8="Carnivore",'Base stats'!Y8="Omnivore")),"true","false")</f>
        <v>false</v>
      </c>
      <c r="BJ8" s="2" t="str">
        <f>IF(BI8="true",MROUND(IF(AND(AO8&gt;0.5,OR(_xlfn.XLOOKUP(_xlfn.XLOOKUP(B8,'Base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K8" s="2">
        <f t="shared" si="3"/>
        <v>0</v>
      </c>
      <c r="BL8" s="25" t="str">
        <f>IF(_xlfn.XLOOKUP(B8,'Base stats'!B:B,'Base stats'!AK:AK)="Standard","No",MROUND((_xlfn.XLOOKUP(B8,'Base stats'!B:B,'Base stats'!AK:AK)/3.6)/I8,0.1))</f>
        <v>No</v>
      </c>
      <c r="BM8" s="25" t="str">
        <f t="shared" si="4"/>
        <v>false</v>
      </c>
      <c r="BN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O8" s="25" t="str" cm="1">
        <f t="array" ref="BO8">IF(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 = "",
  "No",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
)</f>
        <v>No</v>
      </c>
      <c r="BP8" s="25" t="str">
        <f>IF(
   AND(
      'Base stats'!AK8="Standard",_xlfn.XLOOKUP(_xlfn.XLOOKUP(B8,'Base stats'!B:B,'Base stats'!E:E),Groups!A:A,Groups!AU:AU)=0,
      OR(
      BN8="True"
      )
   ),
   10,
   IF(
       OR(BL8&lt;&gt;"No",_xlfn.XLOOKUP(_xlfn.XLOOKUP(B8,'Base stats'!B:B,'Base stats'!E:E),Groups!A:A,Groups!AU:AU)=1),
      1,
      "No"
   )
)</f>
        <v>No</v>
      </c>
      <c r="BQ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stats'!AS:AS) * 1.8) * 2) * 2.5 + 10 + I8 * 2,5)+IF(_xlfn.XLOOKUP(B8,'Base stats'!B:B,'Base stats'!AH:AH)=1,50,0)</f>
        <v>35</v>
      </c>
      <c r="BR8" s="8">
        <f t="shared" si="5"/>
        <v>0.4</v>
      </c>
      <c r="BS8" s="8" t="str">
        <f>_xlfn.XLOOKUP(B8,'Base stats'!B:B,'Base stats'!AD:AD)</f>
        <v>3~10</v>
      </c>
      <c r="BT8" s="2" t="str">
        <f>IF(AND(J8&lt;=0.95,OR(_xlfn.XLOOKUP(B8,'Base stats'!B:B,'Base stats'!AH:AH)=1,_xlfn.XLOOKUP(B8,'Base stats'!B:B,'Base stats'!Y:Y)="Carnivore",_xlfn.XLOOKUP(B8,'Base stats'!B:B,'Base stats'!Y:Y)="Omnivore",BD8&gt;0.1)),"true","false")</f>
        <v>false</v>
      </c>
      <c r="BU8" s="2" t="str">
        <f>IF(_xlfn.XLOOKUP(B8,'Base stats'!B:B,'Base stats'!AF:AF)=1,"true","false")</f>
        <v>false</v>
      </c>
      <c r="BV8" s="25" t="str">
        <f>IF(E8="BaseInsect","AnimalInsect",
IF(J8&gt;0.95,"AnimalExotic",
_xlfn.TEXTJOIN(", ",TRUE,
IF(OR(_xlfn.XLOOKUP(B8,'Base stats'!B:B,'Base stats'!AJ:AJ)=1,AND(_xlfn.XLOOKUP(B8,'Base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stats'!AH:AH)=1,AND(BH8&lt;&gt;"None",BQ8&gt;=60),ISNUMBER(SEARCH("Attack target",BO8))),"AnimalFighter","")
)))</f>
        <v>AnimalCommon</v>
      </c>
      <c r="BW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),_xlfn.XLOOKUP(B8,B:B,BW:BW))</f>
        <v>TemperateForest TemperateSwamp</v>
      </c>
      <c r="BX8" s="25" t="str">
        <f>IF(_xlfn.XLOOKUP(B8,'Base stats'!B:B,'Base stats'!AG:AG)=1,"true","false")</f>
        <v>false</v>
      </c>
      <c r="BY8" s="25">
        <f>IF(_xlfn.XLOOKUP(B8,'Base stats'!B:B,'Base stats'!N:N)=1,"No",MAX(0.01,MIN(MROUND(IF(OR(_xlfn.XLOOKUP(B8,'Base stats'!B:B,'Base stats'!AJ:AJ)=1,AND(BI8="True",CB8="False")),POWER(10,3.47*LOG10(_xlfn.XLOOKUP(B8,'Base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stats'!AH:AH)=1),0.5,1)/100,0.025),1)))</f>
        <v>0.375</v>
      </c>
      <c r="BZ8" s="25" t="str">
        <f>IF(P8="Standard","No",MAX(0.01,IF(_xlfn.XLOOKUP(B8,'Base stats'!B:B,'Base stats'!N:N)=0,MROUND(BY8*P8,0.05),MIN(1,MAX(0.025,MROUND(IF(OR(CB8="true",AND(BI8="false",BN8="false")),POWER(10,4.15*LOG10(_xlfn.XLOOKUP(B8,'Base stats'!B:B,'Base stats'!C:C)*1000)^-0.73),POWER(10,3.47*LOG10(_xlfn.XLOOKUP(B8,'Base stats'!B:B,'Base stats'!C:C)*1000)^-0.96))*IF(_xlfn.XLOOKUP(B8,'Base stats'!B:B,'Base stats'!AH:AH)=1,0.5,1)/100,0.025))))))</f>
        <v>No</v>
      </c>
      <c r="CA8" s="25" t="str">
        <f>IF(_xlfn.XLOOKUP(_xlfn.XLOOKUP(B8,'Base stats'!B:B,'Base stats'!E:E),Groups!A:A,Groups!AJ:AJ)="Mammal","True","False")</f>
        <v>False</v>
      </c>
      <c r="CB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C8" s="25" t="str">
        <f t="shared" si="6"/>
        <v>False</v>
      </c>
      <c r="CD8" s="25" t="str">
        <f>IF(_xlfn.XLOOKUP(_xlfn.XLOOKUP(B8,'Base stats'!B:B,'Base stats'!E:E),Groups!A:A,Groups!AX:AX),"True","False")</f>
        <v>False</v>
      </c>
      <c r="CE8" s="25" t="str">
        <f>IF(_xlfn.XLOOKUP(_xlfn.XLOOKUP(B8,'Base stats'!B:B,'Base stats'!E:E),Groups!A:A,Groups!AY:AY),"True","False")</f>
        <v>False</v>
      </c>
      <c r="CF8" s="25" t="str">
        <f>IF(_xlfn.XLOOKUP(_xlfn.XLOOKUP(B8,'Base stats'!B:B,'Base stats'!E:E),Groups!A:A,Groups!AW:AW),"True","False")</f>
        <v>False</v>
      </c>
      <c r="CG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H8" s="25" t="str">
        <f>IF(_xlfn.XLOOKUP(_xlfn.XLOOKUP(B8,'Base stats'!B:B,'Base stats'!E:E),Groups!A:A,Groups!BB:BB),"True","False")</f>
        <v>True</v>
      </c>
      <c r="CI8" s="25" t="str">
        <f>IF(_xlfn.XLOOKUP(_xlfn.XLOOKUP(B8,'Base stats'!B:B,'Base stats'!E:E),Groups!A:A,Groups!BA:BA),"True","False")</f>
        <v>False</v>
      </c>
      <c r="CN8" s="16"/>
    </row>
    <row r="9" spans="1:92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stats'!AI:AI)=0,BH9="None",_xlfn.XLOOKUP(_xlfn.XLOOKUP(B9,'Base stats'!B:B,'Base stats'!E:E),Groups!A:A,Groups!B:B)=0), (18 + BQ9 * 2.7) * 0.5,
    IF(AND(_xlfn.XLOOKUP(B9,'Base stats'!B:B,'Base stats'!AI:AI)=0,OR(AO9&lt;0.55,AND(BH9="Intermediate",_xlfn.XLOOKUP(_xlfn.XLOOKUP(B9,'Base stats'!B:B,'Base stats'!E:E),Groups!A:A,Groups!B:B)&lt;2))), (18 + BQ9 * 2.7),
      IF(OR(BH9="Advanced",_xlfn.XLOOKUP(B9,'Base stats'!B:B,'Base stats'!AI:AI)=1,_xlfn.XLOOKUP(_xlfn.XLOOKUP(B9,'Base stats'!B:B,'Base stats'!E:E),Groups!A:A,Groups!B:B)=2), (18 + BQ9 * 2.7) + 250, (18 + BQ9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IF(_xlfn.XLOOKUP(B9,'Base stats'!B:B,'Base stats'!AI:AI)=1,0.99,MIN(MROUND((1-0.6282*EXP(-0.459*AO9))*_xlfn.XLOOKUP(_xlfn.XLOOKUP(B9,'Base stats'!B:B,'Base stats'!E:E),Groups!A:A,Groups!C:C)*IF(_xlfn.XLOOKUP(B9,'Base stats'!B:B,'Base stats'!O:O)=1,0.5,IF(_xlfn.XLOOKUP(B9,'Base stats'!B:B,'Base stats'!O:O)=2,0,1)),0.05),0.985))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W9)),ISNUMBER(SEARCH("IceSheet",BW9))),-50,IF(OR(ISNUMBER(SEARCH("GlacialPlain",BW9)),ISNUMBER(SEARCH("Tundra",BW9))),-40,IF(OR(ISNUMBER(SEARCH("Alpine",BW9)),ISNUMBER(SEARCH("BorealForest",BW9)),ISNUMBER(SEARCH("ColdBog",BW9))),-30,IF(OR(ISNUMBER(SEARCH("TemperateForest",BW9)),ISNUMBER(SEARCH("TemperateSwamp",BW9))),-20,IF(_xlfn.XLOOKUP(_xlfn.XLOOKUP(B9,'Base stats'!B:B,'Base stats'!E:E),Groups!A:A,Groups!F:F)=1,-15,IF(OR(ISNUMBER(SEARCH("Desert",BW9)),ISNUMBER(SEARCH("ExtremeDesert",BW9))),-10,IF(OR(ISNUMBER(SEARCH("Grasslands",BW9)),ISNUMBER(SEARCH("TropicalRainforest",BW9)),ISNUMBER(SEARCH("TropicalSwamp",BW9))),10,0)))))))-IF(CB9="False",MIN(IFERROR(MAX(MROUND(LOG10(_xlfn.XLOOKUP(B9,'Base stats'!B:B,'Base stats'!C:C)^(2/3))*10,5),5),5),30))-_xlfn.XLOOKUP(B9,'Base stats'!B:B,'Base stats'!P:P)+IF(CB9="True",5,0)</f>
        <v>-5</v>
      </c>
      <c r="M9" s="2">
        <f>IF(OR(_xlfn.XLOOKUP(_xlfn.XLOOKUP(B9,'Base stats'!B:B,'Base stats'!E:E),Groups!A:A,Groups!G:G)=2,ISNUMBER(SEARCH("Desert",BW9)),ISNUMBER(SEARCH("ExtremeDesert",BW9)),ISNUMBER(SEARCH("LavaField",BW9))),50,IF(ISNUMBER(SEARCH("Grasslands",BW9)),45,IF(OR(_xlfn.XLOOKUP(_xlfn.XLOOKUP(B9,'Base stats'!B:B,'Base stats'!E:E),Groups!A:A,Groups!G:G)=1,ISNUMBER(SEARCH("TropicalRainforest",BW9)),ISNUMBER(SEARCH("TropicalSwamp",BW9))),40,IF(OR(ISNUMBER(SEARCH("TemperateForest",BW9)),ISNUMBER(SEARCH("TemperateSwamp",BW9))),35,IF(OR(ISNUMBER(SEARCH("Alpine",BW9)),ISNUMBER(SEARCH("BorealForest",BW9)),ISNUMBER(SEARCH("ColdBog",BW9))),30,IF(ISNUMBER(OR(ISNUMBER(SEARCH("GlacialPlain",BW9)),SEARCH("Tundra",BW9))),25,IF(OR(ISNUMBER(SEARCH("SeaIce",BW9)),ISNUMBER(SEARCH("IceSheet",BW9)),ISNUMBER(SEARCH("TropicalSwamp",BW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stats'!AO:AO))*(AO9^0.5)+(_xlfn.XLOOKUP(B9,'Base stats'!B:B,'Base stats'!AO:AO)/1000)^(2/3)+_xlfn.XLOOKUP(B9,'Base stats'!B:B,'Base stats'!AX:AX)/2)+0.5,0.5)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stats'!AP:AP))*(AO9^0.5)+(_xlfn.XLOOKUP(B9,'Base stats'!B:B,'Base stats'!AP:AP)/1000)^(2/3)+_xlfn.XLOOKUP(B9,'Base stats'!B:B,'Base stats'!AX:AX))+_xlfn.XLOOKUP(B9,'Base stats'!B:B,'Base stats'!AV:AV)+0.5,0.5))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stats'!AR:AR))*(AO9^0.5)+(_xlfn.XLOOKUP(B9,'Base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stats'!AQ:AQ)="No","No",MROUND((LOG10(_xlfn.XLOOKUP(B9,'Base stats'!B:B,'Base stats'!AQ:AQ))*(AO9^0.75)+(_xlfn.XLOOKUP(B9,'Base stats'!B:B,'Base stats'!AQ:AQ)/1000)^(2/3)+_xlfn.XLOOKUP(B9,'Base stats'!B:B,'Base stats'!AU:AU)+_xlfn.XLOOKUP(B9,'Base stats'!B:B,'Base stats'!AX:AX))+0.5,0.5))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stats'!AP:AP))*(AO9^0.75)+(_xlfn.XLOOKUP(B9,'Base stats'!B:B,'Base stats'!AP:AP)/1000)^(2/3)+_xlfn.XLOOKUP(B9,'Base stats'!B:B,'Base stats'!AV:AV)+_xlfn.XLOOKUP(B9,'Base stats'!B:B,'Base stats'!AX:AX))+0.5,0.5))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MAX(0.01,MROUND(IF(CB9="True",0.196*(AO9*100*1000)^0.889,IF(_xlfn.XLOOKUP(_xlfn.XLOOKUP(B9,'Base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IF(OR(A9="Queen",A9="Larva"),"No",IFERROR(MAX(IF(_xlfn.XLOOKUP(B9,'Base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stats'!AE:AE)</f>
        <v>No</v>
      </c>
      <c r="BB9" s="23" t="str">
        <f>_xlfn.XLOOKUP(_xlfn.XLOOKUP(B9,'Base stats'!B:B,'Base stats'!E:E),Groups!A:A,Groups!AL:AL)</f>
        <v>Bird</v>
      </c>
      <c r="BC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D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E9" s="2" t="str">
        <f>IF(J9&gt;0.3,"No",_xlfn.XLOOKUP(_xlfn.XLOOKUP(Animals!B9,'Base stats'!B:B,'Base stats'!E:E),Groups!A:A,Groups!AP:AP))</f>
        <v>No</v>
      </c>
      <c r="BF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+ 24*(1-IF(BE9="No",0,BE9)) + 16/3, 12),"No")</f>
        <v>No</v>
      </c>
      <c r="BG9" s="2">
        <f>IF(AND(_xlfn.XLOOKUP(_xlfn.XLOOKUP(B9,'Base stats'!B:B,'Base stats'!E:E),Groups!A:A,Groups!AQ:AQ)=1,AO9&lt;=0.35),8,12)</f>
        <v>8</v>
      </c>
      <c r="BH9" s="2" t="str">
        <f>IF(_xlfn.XLOOKUP(_xlfn.XLOOKUP(B9,'Base stats'!B:B,'Base stats'!E:E),Groups!A:A,Groups!D:D)=0,_xlfn.XLOOKUP(_xlfn.XLOOKUP(B9,'Base stats'!B:B,'Base stats'!E:E),Groups!A:A,Groups!AR:AR),"None")</f>
        <v>None</v>
      </c>
      <c r="BI9" s="2" t="str">
        <f>IF(AND(_xlfn.XLOOKUP(_xlfn.XLOOKUP(B9,'Base stats'!B:B,'Base stats'!E:E),Groups!A:A,Groups!AS:AS)=1,OR('Base stats'!Y9="Carnivore",'Base stats'!Y9="Omnivore")),"true","false")</f>
        <v>false</v>
      </c>
      <c r="BJ9" s="2" t="str">
        <f>IF(BI9="true",MROUND(IF(AND(AO9&gt;0.5,OR(_xlfn.XLOOKUP(_xlfn.XLOOKUP(B9,'Base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K9" s="2">
        <f t="shared" si="3"/>
        <v>0</v>
      </c>
      <c r="BL9" s="25" t="str">
        <f>IF(_xlfn.XLOOKUP(B9,'Base stats'!B:B,'Base stats'!AK:AK)="Standard","No",MROUND((_xlfn.XLOOKUP(B9,'Base stats'!B:B,'Base stats'!AK:AK)/3.6)/I9,0.1))</f>
        <v>No</v>
      </c>
      <c r="BM9" s="25" t="str">
        <f t="shared" si="4"/>
        <v>true</v>
      </c>
      <c r="BN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O9" s="25" t="str" cm="1">
        <f t="array" ref="BO9">IF(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 = "",
  "No",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
)</f>
        <v>No</v>
      </c>
      <c r="BP9" s="25">
        <f>IF(
   AND(
      'Base stats'!AK9="Standard",_xlfn.XLOOKUP(_xlfn.XLOOKUP(B9,'Base stats'!B:B,'Base stats'!E:E),Groups!A:A,Groups!AU:AU)=0,
      OR(
      BN9="True"
      )
   ),
   10,
   IF(
       OR(BL9&lt;&gt;"No",_xlfn.XLOOKUP(_xlfn.XLOOKUP(B9,'Base stats'!B:B,'Base stats'!E:E),Groups!A:A,Groups!AU:AU)=1),
      1,
      "No"
   )
)</f>
        <v>1</v>
      </c>
      <c r="BQ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stats'!AS:AS) * 1.8) * 2) * 2.5 + 10 + I9 * 2,5)+IF(_xlfn.XLOOKUP(B9,'Base stats'!B:B,'Base stats'!AH:AH)=1,50,0)</f>
        <v>30</v>
      </c>
      <c r="BR9" s="8">
        <f t="shared" si="5"/>
        <v>0.4</v>
      </c>
      <c r="BS9" s="8" t="str">
        <f>_xlfn.XLOOKUP(B9,'Base stats'!B:B,'Base stats'!AD:AD)</f>
        <v>3~10</v>
      </c>
      <c r="BT9" s="2" t="str">
        <f>IF(AND(J9&lt;=0.95,OR(_xlfn.XLOOKUP(B9,'Base stats'!B:B,'Base stats'!AH:AH)=1,_xlfn.XLOOKUP(B9,'Base stats'!B:B,'Base stats'!Y:Y)="Carnivore",_xlfn.XLOOKUP(B9,'Base stats'!B:B,'Base stats'!Y:Y)="Omnivore",BD9&gt;0.1)),"true","false")</f>
        <v>false</v>
      </c>
      <c r="BU9" s="2" t="str">
        <f>IF(_xlfn.XLOOKUP(B9,'Base stats'!B:B,'Base stats'!AF:AF)=1,"true","false")</f>
        <v>false</v>
      </c>
      <c r="BV9" s="25" t="str">
        <f>IF(E9="BaseInsect","AnimalInsect",
IF(J9&gt;0.95,"AnimalExotic",
_xlfn.TEXTJOIN(", ",TRUE,
IF(OR(_xlfn.XLOOKUP(B9,'Base stats'!B:B,'Base stats'!AJ:AJ)=1,AND(_xlfn.XLOOKUP(B9,'Base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stats'!AH:AH)=1,AND(BH9&lt;&gt;"None",BQ9&gt;=60),ISNUMBER(SEARCH("Attack target",BO9))),"AnimalFighter","")
)))</f>
        <v>AnimalCommon, AnimalFarm</v>
      </c>
      <c r="BW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),_xlfn.XLOOKUP(B9,B:B,BW:BW))</f>
        <v/>
      </c>
      <c r="BX9" s="25" t="str">
        <f>IF(_xlfn.XLOOKUP(B9,'Base stats'!B:B,'Base stats'!AG:AG)=1,"true","false")</f>
        <v>false</v>
      </c>
      <c r="BY9" s="25">
        <f>IF(_xlfn.XLOOKUP(B9,'Base stats'!B:B,'Base stats'!N:N)=1,"No",MAX(0.01,MIN(MROUND(IF(OR(_xlfn.XLOOKUP(B9,'Base stats'!B:B,'Base stats'!AJ:AJ)=1,AND(BI9="True",CB9="False")),POWER(10,3.47*LOG10(_xlfn.XLOOKUP(B9,'Base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stats'!AH:AH)=1),0.5,1)/100,0.025),1)))</f>
        <v>0.35000000000000003</v>
      </c>
      <c r="BZ9" s="25" t="str">
        <f>IF(P9="Standard","No",MAX(0.01,IF(_xlfn.XLOOKUP(B9,'Base stats'!B:B,'Base stats'!N:N)=0,MROUND(BY9*P9,0.05),MIN(1,MAX(0.025,MROUND(IF(OR(CB9="true",AND(BI9="false",BN9="false")),POWER(10,4.15*LOG10(_xlfn.XLOOKUP(B9,'Base stats'!B:B,'Base stats'!C:C)*1000)^-0.73),POWER(10,3.47*LOG10(_xlfn.XLOOKUP(B9,'Base stats'!B:B,'Base stats'!C:C)*1000)^-0.96))*IF(_xlfn.XLOOKUP(B9,'Base stats'!B:B,'Base stats'!AH:AH)=1,0.5,1)/100,0.025))))))</f>
        <v>No</v>
      </c>
      <c r="CA9" s="25" t="str">
        <f>IF(_xlfn.XLOOKUP(_xlfn.XLOOKUP(B9,'Base stats'!B:B,'Base stats'!E:E),Groups!A:A,Groups!AJ:AJ)="Mammal","True","False")</f>
        <v>False</v>
      </c>
      <c r="CB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C9" s="25" t="str">
        <f t="shared" si="6"/>
        <v>False</v>
      </c>
      <c r="CD9" s="25" t="str">
        <f>IF(_xlfn.XLOOKUP(_xlfn.XLOOKUP(B9,'Base stats'!B:B,'Base stats'!E:E),Groups!A:A,Groups!AX:AX),"True","False")</f>
        <v>False</v>
      </c>
      <c r="CE9" s="25" t="str">
        <f>IF(_xlfn.XLOOKUP(_xlfn.XLOOKUP(B9,'Base stats'!B:B,'Base stats'!E:E),Groups!A:A,Groups!AY:AY),"True","False")</f>
        <v>False</v>
      </c>
      <c r="CF9" s="25" t="str">
        <f>IF(_xlfn.XLOOKUP(_xlfn.XLOOKUP(B9,'Base stats'!B:B,'Base stats'!E:E),Groups!A:A,Groups!AW:AW),"True","False")</f>
        <v>False</v>
      </c>
      <c r="CG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H9" s="25" t="str">
        <f>IF(_xlfn.XLOOKUP(_xlfn.XLOOKUP(B9,'Base stats'!B:B,'Base stats'!E:E),Groups!A:A,Groups!BB:BB),"True","False")</f>
        <v>True</v>
      </c>
      <c r="CI9" s="25" t="str">
        <f>IF(_xlfn.XLOOKUP(_xlfn.XLOOKUP(B9,'Base stats'!B:B,'Base stats'!E:E),Groups!A:A,Groups!BA:BA),"True","False")</f>
        <v>False</v>
      </c>
      <c r="CN9" s="16"/>
    </row>
    <row r="10" spans="1:92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stats'!AI:AI)=0,BH10="None",_xlfn.XLOOKUP(_xlfn.XLOOKUP(B10,'Base stats'!B:B,'Base stats'!E:E),Groups!A:A,Groups!B:B)=0), (18 + BQ10 * 2.7) * 0.5,
    IF(AND(_xlfn.XLOOKUP(B10,'Base stats'!B:B,'Base stats'!AI:AI)=0,OR(AO10&lt;0.55,AND(BH10="Intermediate",_xlfn.XLOOKUP(_xlfn.XLOOKUP(B10,'Base stats'!B:B,'Base stats'!E:E),Groups!A:A,Groups!B:B)&lt;2))), (18 + BQ10 * 2.7),
      IF(OR(BH10="Advanced",_xlfn.XLOOKUP(B10,'Base stats'!B:B,'Base stats'!AI:AI)=1,_xlfn.XLOOKUP(_xlfn.XLOOKUP(B10,'Base stats'!B:B,'Base stats'!E:E),Groups!A:A,Groups!B:B)=2), (18 + BQ10 * 2.7) + 250, (18 + BQ10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IF(_xlfn.XLOOKUP(B10,'Base stats'!B:B,'Base stats'!AI:AI)=1,0.99,MIN(MROUND((1-0.6282*EXP(-0.459*AO10))*_xlfn.XLOOKUP(_xlfn.XLOOKUP(B10,'Base stats'!B:B,'Base stats'!E:E),Groups!A:A,Groups!C:C)*IF(_xlfn.XLOOKUP(B10,'Base stats'!B:B,'Base stats'!O:O)=1,0.5,IF(_xlfn.XLOOKUP(B10,'Base stats'!B:B,'Base stats'!O:O)=2,0,1)),0.05),0.985))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W10)),ISNUMBER(SEARCH("IceSheet",BW10))),-50,IF(OR(ISNUMBER(SEARCH("GlacialPlain",BW10)),ISNUMBER(SEARCH("Tundra",BW10))),-40,IF(OR(ISNUMBER(SEARCH("Alpine",BW10)),ISNUMBER(SEARCH("BorealForest",BW10)),ISNUMBER(SEARCH("ColdBog",BW10))),-30,IF(OR(ISNUMBER(SEARCH("TemperateForest",BW10)),ISNUMBER(SEARCH("TemperateSwamp",BW10))),-20,IF(_xlfn.XLOOKUP(_xlfn.XLOOKUP(B10,'Base stats'!B:B,'Base stats'!E:E),Groups!A:A,Groups!F:F)=1,-15,IF(OR(ISNUMBER(SEARCH("Desert",BW10)),ISNUMBER(SEARCH("ExtremeDesert",BW10))),-10,IF(OR(ISNUMBER(SEARCH("Grasslands",BW10)),ISNUMBER(SEARCH("TropicalRainforest",BW10)),ISNUMBER(SEARCH("TropicalSwamp",BW10))),10,0)))))))-IF(CB10="False",MIN(IFERROR(MAX(MROUND(LOG10(_xlfn.XLOOKUP(B10,'Base stats'!B:B,'Base stats'!C:C)^(2/3))*10,5),5),5),30))-_xlfn.XLOOKUP(B10,'Base stats'!B:B,'Base stats'!P:P)+IF(CB10="True",5,0)</f>
        <v>-35</v>
      </c>
      <c r="M10" s="2">
        <f>IF(OR(_xlfn.XLOOKUP(_xlfn.XLOOKUP(B10,'Base stats'!B:B,'Base stats'!E:E),Groups!A:A,Groups!G:G)=2,ISNUMBER(SEARCH("Desert",BW10)),ISNUMBER(SEARCH("ExtremeDesert",BW10)),ISNUMBER(SEARCH("LavaField",BW10))),50,IF(ISNUMBER(SEARCH("Grasslands",BW10)),45,IF(OR(_xlfn.XLOOKUP(_xlfn.XLOOKUP(B10,'Base stats'!B:B,'Base stats'!E:E),Groups!A:A,Groups!G:G)=1,ISNUMBER(SEARCH("TropicalRainforest",BW10)),ISNUMBER(SEARCH("TropicalSwamp",BW10))),40,IF(OR(ISNUMBER(SEARCH("TemperateForest",BW10)),ISNUMBER(SEARCH("TemperateSwamp",BW10))),35,IF(OR(ISNUMBER(SEARCH("Alpine",BW10)),ISNUMBER(SEARCH("BorealForest",BW10)),ISNUMBER(SEARCH("ColdBog",BW10))),30,IF(ISNUMBER(OR(ISNUMBER(SEARCH("GlacialPlain",BW10)),SEARCH("Tundra",BW10))),25,IF(OR(ISNUMBER(SEARCH("SeaIce",BW10)),ISNUMBER(SEARCH("IceSheet",BW10)),ISNUMBER(SEARCH("TropicalSwamp",BW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stats'!AO:AO))*(AO10^0.5)+(_xlfn.XLOOKUP(B10,'Base stats'!B:B,'Base stats'!AO:AO)/1000)^(2/3)+_xlfn.XLOOKUP(B10,'Base stats'!B:B,'Base stats'!AX:AX)/2)+0.5,0.5)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stats'!AP:AP))*(AO10^0.5)+(_xlfn.XLOOKUP(B10,'Base stats'!B:B,'Base stats'!AP:AP)/1000)^(2/3)+_xlfn.XLOOKUP(B10,'Base stats'!B:B,'Base stats'!AX:AX))+_xlfn.XLOOKUP(B10,'Base stats'!B:B,'Base stats'!AV:AV)+0.5,0.5))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stats'!AR:AR))*(AO10^0.5)+(_xlfn.XLOOKUP(B10,'Base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stats'!AQ:AQ)="No","No",MROUND((LOG10(_xlfn.XLOOKUP(B10,'Base stats'!B:B,'Base stats'!AQ:AQ))*(AO10^0.75)+(_xlfn.XLOOKUP(B10,'Base stats'!B:B,'Base stats'!AQ:AQ)/1000)^(2/3)+_xlfn.XLOOKUP(B10,'Base stats'!B:B,'Base stats'!AU:AU)+_xlfn.XLOOKUP(B10,'Base stats'!B:B,'Base stats'!AX:AX))+0.5,0.5))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stats'!AP:AP))*(AO10^0.75)+(_xlfn.XLOOKUP(B10,'Base stats'!B:B,'Base stats'!AP:AP)/1000)^(2/3)+_xlfn.XLOOKUP(B10,'Base stats'!B:B,'Base stats'!AV:AV)+_xlfn.XLOOKUP(B10,'Base stats'!B:B,'Base stats'!AX:AX))+0.5,0.5))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MAX(0.01,MROUND(IF(CB10="True",0.196*(AO10*100*1000)^0.889,IF(_xlfn.XLOOKUP(_xlfn.XLOOKUP(B10,'Base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IF(OR(A10="Queen",A10="Larva"),"No",IFERROR(MAX(IF(_xlfn.XLOOKUP(B10,'Base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stats'!AE:AE)</f>
        <v>No</v>
      </c>
      <c r="BB10" s="23" t="str">
        <f>_xlfn.XLOOKUP(_xlfn.XLOOKUP(B10,'Base stats'!B:B,'Base stats'!E:E),Groups!A:A,Groups!AL:AL)</f>
        <v>Bird</v>
      </c>
      <c r="BC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D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E10" s="2" t="str">
        <f>IF(J10&gt;0.3,"No",_xlfn.XLOOKUP(_xlfn.XLOOKUP(Animals!B10,'Base stats'!B:B,'Base stats'!E:E),Groups!A:A,Groups!AP:AP))</f>
        <v>No</v>
      </c>
      <c r="BF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+ 24*(1-IF(BE10="No",0,BE10)) + 16/3, 12),"No")</f>
        <v>No</v>
      </c>
      <c r="BG10" s="2">
        <f>IF(AND(_xlfn.XLOOKUP(_xlfn.XLOOKUP(B10,'Base stats'!B:B,'Base stats'!E:E),Groups!A:A,Groups!AQ:AQ)=1,AO10&lt;=0.35),8,12)</f>
        <v>8</v>
      </c>
      <c r="BH10" s="2" t="str">
        <f>IF(_xlfn.XLOOKUP(_xlfn.XLOOKUP(B10,'Base stats'!B:B,'Base stats'!E:E),Groups!A:A,Groups!D:D)=0,_xlfn.XLOOKUP(_xlfn.XLOOKUP(B10,'Base stats'!B:B,'Base stats'!E:E),Groups!A:A,Groups!AR:AR),"None")</f>
        <v>None</v>
      </c>
      <c r="BI10" s="2" t="str">
        <f>IF(AND(_xlfn.XLOOKUP(_xlfn.XLOOKUP(B10,'Base stats'!B:B,'Base stats'!E:E),Groups!A:A,Groups!AS:AS)=1,OR('Base stats'!Y10="Carnivore",'Base stats'!Y10="Omnivore")),"true","false")</f>
        <v>false</v>
      </c>
      <c r="BJ10" s="2" t="str">
        <f>IF(BI10="true",MROUND(IF(AND(AO10&gt;0.5,OR(_xlfn.XLOOKUP(_xlfn.XLOOKUP(B10,'Base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K10" s="2">
        <f t="shared" si="3"/>
        <v>0</v>
      </c>
      <c r="BL10" s="25" t="str">
        <f>IF(_xlfn.XLOOKUP(B10,'Base stats'!B:B,'Base stats'!AK:AK)="Standard","No",MROUND((_xlfn.XLOOKUP(B10,'Base stats'!B:B,'Base stats'!AK:AK)/3.6)/I10,0.1))</f>
        <v>No</v>
      </c>
      <c r="BM10" s="25" t="str">
        <f t="shared" si="4"/>
        <v>true</v>
      </c>
      <c r="BN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O10" s="25" t="str" cm="1">
        <f t="array" ref="BO10">IF(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 = "",
  "No",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
)</f>
        <v>No</v>
      </c>
      <c r="BP10" s="25">
        <f>IF(
   AND(
      'Base stats'!AK10="Standard",_xlfn.XLOOKUP(_xlfn.XLOOKUP(B10,'Base stats'!B:B,'Base stats'!E:E),Groups!A:A,Groups!AU:AU)=0,
      OR(
      BN10="True"
      )
   ),
   10,
   IF(
       OR(BL10&lt;&gt;"No",_xlfn.XLOOKUP(_xlfn.XLOOKUP(B10,'Base stats'!B:B,'Base stats'!E:E),Groups!A:A,Groups!AU:AU)=1),
      1,
      "No"
   )
)</f>
        <v>1</v>
      </c>
      <c r="BQ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stats'!AS:AS) * 1.8) * 2) * 2.5 + 10 + I10 * 2,5)+IF(_xlfn.XLOOKUP(B10,'Base stats'!B:B,'Base stats'!AH:AH)=1,50,0)</f>
        <v>25</v>
      </c>
      <c r="BR10" s="8">
        <f t="shared" si="5"/>
        <v>0.25</v>
      </c>
      <c r="BS10" s="8" t="str">
        <f>_xlfn.XLOOKUP(B10,'Base stats'!B:B,'Base stats'!AD:AD)</f>
        <v>3~10</v>
      </c>
      <c r="BT10" s="2" t="str">
        <f>IF(AND(J10&lt;=0.95,OR(_xlfn.XLOOKUP(B10,'Base stats'!B:B,'Base stats'!AH:AH)=1,_xlfn.XLOOKUP(B10,'Base stats'!B:B,'Base stats'!Y:Y)="Carnivore",_xlfn.XLOOKUP(B10,'Base stats'!B:B,'Base stats'!Y:Y)="Omnivore",BD10&gt;0.1)),"true","false")</f>
        <v>false</v>
      </c>
      <c r="BU10" s="2" t="str">
        <f>IF(_xlfn.XLOOKUP(B10,'Base stats'!B:B,'Base stats'!AF:AF)=1,"true","false")</f>
        <v>false</v>
      </c>
      <c r="BV10" s="25" t="str">
        <f>IF(E10="BaseInsect","AnimalInsect",
IF(J10&gt;0.95,"AnimalExotic",
_xlfn.TEXTJOIN(", ",TRUE,
IF(OR(_xlfn.XLOOKUP(B10,'Base stats'!B:B,'Base stats'!AJ:AJ)=1,AND(_xlfn.XLOOKUP(B10,'Base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stats'!AH:AH)=1,AND(BH10&lt;&gt;"None",BQ10&gt;=60),ISNUMBER(SEARCH("Attack target",BO10))),"AnimalFighter","")
)))</f>
        <v>AnimalUncommon</v>
      </c>
      <c r="BW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),_xlfn.XLOOKUP(B10,B:B,BW:BW))</f>
        <v>ColdBog TemperateSwamp</v>
      </c>
      <c r="BX10" s="25" t="str">
        <f>IF(_xlfn.XLOOKUP(B10,'Base stats'!B:B,'Base stats'!AG:AG)=1,"true","false")</f>
        <v>false</v>
      </c>
      <c r="BY10" s="25">
        <f>IF(_xlfn.XLOOKUP(B10,'Base stats'!B:B,'Base stats'!N:N)=1,"No",MAX(0.01,MIN(MROUND(IF(OR(_xlfn.XLOOKUP(B10,'Base stats'!B:B,'Base stats'!AJ:AJ)=1,AND(BI10="True",CB10="False")),POWER(10,3.47*LOG10(_xlfn.XLOOKUP(B10,'Base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stats'!AH:AH)=1),0.5,1)/100,0.025),1)))</f>
        <v>0.70000000000000007</v>
      </c>
      <c r="BZ10" s="25" t="str">
        <f>IF(P10="Standard","No",MAX(0.01,IF(_xlfn.XLOOKUP(B10,'Base stats'!B:B,'Base stats'!N:N)=0,MROUND(BY10*P10,0.05),MIN(1,MAX(0.025,MROUND(IF(OR(CB10="true",AND(BI10="false",BN10="false")),POWER(10,4.15*LOG10(_xlfn.XLOOKUP(B10,'Base stats'!B:B,'Base stats'!C:C)*1000)^-0.73),POWER(10,3.47*LOG10(_xlfn.XLOOKUP(B10,'Base stats'!B:B,'Base stats'!C:C)*1000)^-0.96))*IF(_xlfn.XLOOKUP(B10,'Base stats'!B:B,'Base stats'!AH:AH)=1,0.5,1)/100,0.025))))))</f>
        <v>No</v>
      </c>
      <c r="CA10" s="25" t="str">
        <f>IF(_xlfn.XLOOKUP(_xlfn.XLOOKUP(B10,'Base stats'!B:B,'Base stats'!E:E),Groups!A:A,Groups!AJ:AJ)="Mammal","True","False")</f>
        <v>False</v>
      </c>
      <c r="CB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C10" s="25" t="str">
        <f t="shared" si="6"/>
        <v>False</v>
      </c>
      <c r="CD10" s="25" t="str">
        <f>IF(_xlfn.XLOOKUP(_xlfn.XLOOKUP(B10,'Base stats'!B:B,'Base stats'!E:E),Groups!A:A,Groups!AX:AX),"True","False")</f>
        <v>False</v>
      </c>
      <c r="CE10" s="25" t="str">
        <f>IF(_xlfn.XLOOKUP(_xlfn.XLOOKUP(B10,'Base stats'!B:B,'Base stats'!E:E),Groups!A:A,Groups!AY:AY),"True","False")</f>
        <v>False</v>
      </c>
      <c r="CF10" s="25" t="str">
        <f>IF(_xlfn.XLOOKUP(_xlfn.XLOOKUP(B10,'Base stats'!B:B,'Base stats'!E:E),Groups!A:A,Groups!AW:AW),"True","False")</f>
        <v>False</v>
      </c>
      <c r="CG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H10" s="25" t="str">
        <f>IF(_xlfn.XLOOKUP(_xlfn.XLOOKUP(B10,'Base stats'!B:B,'Base stats'!E:E),Groups!A:A,Groups!BB:BB),"True","False")</f>
        <v>True</v>
      </c>
      <c r="CI10" s="25" t="str">
        <f>IF(_xlfn.XLOOKUP(_xlfn.XLOOKUP(B10,'Base stats'!B:B,'Base stats'!E:E),Groups!A:A,Groups!BA:BA),"True","False")</f>
        <v>False</v>
      </c>
      <c r="CN10" s="16"/>
    </row>
    <row r="11" spans="1:92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stats'!AI:AI)=0,BH11="None",_xlfn.XLOOKUP(_xlfn.XLOOKUP(B11,'Base stats'!B:B,'Base stats'!E:E),Groups!A:A,Groups!B:B)=0), (18 + BQ11 * 2.7) * 0.5,
    IF(AND(_xlfn.XLOOKUP(B11,'Base stats'!B:B,'Base stats'!AI:AI)=0,OR(AO11&lt;0.55,AND(BH11="Intermediate",_xlfn.XLOOKUP(_xlfn.XLOOKUP(B11,'Base stats'!B:B,'Base stats'!E:E),Groups!A:A,Groups!B:B)&lt;2))), (18 + BQ11 * 2.7),
      IF(OR(BH11="Advanced",_xlfn.XLOOKUP(B11,'Base stats'!B:B,'Base stats'!AI:AI)=1,_xlfn.XLOOKUP(_xlfn.XLOOKUP(B11,'Base stats'!B:B,'Base stats'!E:E),Groups!A:A,Groups!B:B)=2), (18 + BQ11 * 2.7) + 250, (18 + BQ11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IF(_xlfn.XLOOKUP(B11,'Base stats'!B:B,'Base stats'!AI:AI)=1,0.99,MIN(MROUND((1-0.6282*EXP(-0.459*AO11))*_xlfn.XLOOKUP(_xlfn.XLOOKUP(B11,'Base stats'!B:B,'Base stats'!E:E),Groups!A:A,Groups!C:C)*IF(_xlfn.XLOOKUP(B11,'Base stats'!B:B,'Base stats'!O:O)=1,0.5,IF(_xlfn.XLOOKUP(B11,'Base stats'!B:B,'Base stats'!O:O)=2,0,1)),0.05),0.985))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W11)),ISNUMBER(SEARCH("IceSheet",BW11))),-50,IF(OR(ISNUMBER(SEARCH("GlacialPlain",BW11)),ISNUMBER(SEARCH("Tundra",BW11))),-40,IF(OR(ISNUMBER(SEARCH("Alpine",BW11)),ISNUMBER(SEARCH("BorealForest",BW11)),ISNUMBER(SEARCH("ColdBog",BW11))),-30,IF(OR(ISNUMBER(SEARCH("TemperateForest",BW11)),ISNUMBER(SEARCH("TemperateSwamp",BW11))),-20,IF(_xlfn.XLOOKUP(_xlfn.XLOOKUP(B11,'Base stats'!B:B,'Base stats'!E:E),Groups!A:A,Groups!F:F)=1,-15,IF(OR(ISNUMBER(SEARCH("Desert",BW11)),ISNUMBER(SEARCH("ExtremeDesert",BW11))),-10,IF(OR(ISNUMBER(SEARCH("Grasslands",BW11)),ISNUMBER(SEARCH("TropicalRainforest",BW11)),ISNUMBER(SEARCH("TropicalSwamp",BW11))),10,0)))))))-IF(CB11="False",MIN(IFERROR(MAX(MROUND(LOG10(_xlfn.XLOOKUP(B11,'Base stats'!B:B,'Base stats'!C:C)^(2/3))*10,5),5),5),30))-_xlfn.XLOOKUP(B11,'Base stats'!B:B,'Base stats'!P:P)+IF(CB11="True",5,0)</f>
        <v>-5</v>
      </c>
      <c r="M11" s="2">
        <f>IF(OR(_xlfn.XLOOKUP(_xlfn.XLOOKUP(B11,'Base stats'!B:B,'Base stats'!E:E),Groups!A:A,Groups!G:G)=2,ISNUMBER(SEARCH("Desert",BW11)),ISNUMBER(SEARCH("ExtremeDesert",BW11)),ISNUMBER(SEARCH("LavaField",BW11))),50,IF(ISNUMBER(SEARCH("Grasslands",BW11)),45,IF(OR(_xlfn.XLOOKUP(_xlfn.XLOOKUP(B11,'Base stats'!B:B,'Base stats'!E:E),Groups!A:A,Groups!G:G)=1,ISNUMBER(SEARCH("TropicalRainforest",BW11)),ISNUMBER(SEARCH("TropicalSwamp",BW11))),40,IF(OR(ISNUMBER(SEARCH("TemperateForest",BW11)),ISNUMBER(SEARCH("TemperateSwamp",BW11))),35,IF(OR(ISNUMBER(SEARCH("Alpine",BW11)),ISNUMBER(SEARCH("BorealForest",BW11)),ISNUMBER(SEARCH("ColdBog",BW11))),30,IF(ISNUMBER(OR(ISNUMBER(SEARCH("GlacialPlain",BW11)),SEARCH("Tundra",BW11))),25,IF(OR(ISNUMBER(SEARCH("SeaIce",BW11)),ISNUMBER(SEARCH("IceSheet",BW11)),ISNUMBER(SEARCH("TropicalSwamp",BW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stats'!AO:AO))*(AO11^0.5)+(_xlfn.XLOOKUP(B11,'Base stats'!B:B,'Base stats'!AO:AO)/1000)^(2/3)+_xlfn.XLOOKUP(B11,'Base stats'!B:B,'Base stats'!AX:AX)/2)+0.5,0.5)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stats'!AP:AP))*(AO11^0.5)+(_xlfn.XLOOKUP(B11,'Base stats'!B:B,'Base stats'!AP:AP)/1000)^(2/3)+_xlfn.XLOOKUP(B11,'Base stats'!B:B,'Base stats'!AX:AX))+_xlfn.XLOOKUP(B11,'Base stats'!B:B,'Base stats'!AV:AV)+0.5,0.5))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stats'!AR:AR))*(AO11^0.5)+(_xlfn.XLOOKUP(B11,'Base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stats'!AQ:AQ)="No","No",MROUND((LOG10(_xlfn.XLOOKUP(B11,'Base stats'!B:B,'Base stats'!AQ:AQ))*(AO11^0.75)+(_xlfn.XLOOKUP(B11,'Base stats'!B:B,'Base stats'!AQ:AQ)/1000)^(2/3)+_xlfn.XLOOKUP(B11,'Base stats'!B:B,'Base stats'!AU:AU)+_xlfn.XLOOKUP(B11,'Base stats'!B:B,'Base stats'!AX:AX))+0.5,0.5))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stats'!AP:AP))*(AO11^0.75)+(_xlfn.XLOOKUP(B11,'Base stats'!B:B,'Base stats'!AP:AP)/1000)^(2/3)+_xlfn.XLOOKUP(B11,'Base stats'!B:B,'Base stats'!AV:AV)+_xlfn.XLOOKUP(B11,'Base stats'!B:B,'Base stats'!AX:AX))+0.5,0.5))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MAX(0.01,MROUND(IF(CB11="True",0.196*(AO11*100*1000)^0.889,IF(_xlfn.XLOOKUP(_xlfn.XLOOKUP(B11,'Base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IF(OR(A11="Queen",A11="Larva"),"No",IFERROR(MAX(IF(_xlfn.XLOOKUP(B11,'Base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stats'!AE:AE)</f>
        <v>No</v>
      </c>
      <c r="BB11" s="23" t="str">
        <f>_xlfn.XLOOKUP(_xlfn.XLOOKUP(B11,'Base stats'!B:B,'Base stats'!E:E),Groups!A:A,Groups!AL:AL)</f>
        <v>Bird</v>
      </c>
      <c r="BC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D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E11" s="2" t="str">
        <f>IF(J11&gt;0.3,"No",_xlfn.XLOOKUP(_xlfn.XLOOKUP(Animals!B11,'Base stats'!B:B,'Base stats'!E:E),Groups!A:A,Groups!AP:AP))</f>
        <v>No</v>
      </c>
      <c r="BF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+ 24*(1-IF(BE11="No",0,BE11)) + 16/3, 12),"No")</f>
        <v>No</v>
      </c>
      <c r="BG11" s="2">
        <f>IF(AND(_xlfn.XLOOKUP(_xlfn.XLOOKUP(B11,'Base stats'!B:B,'Base stats'!E:E),Groups!A:A,Groups!AQ:AQ)=1,AO11&lt;=0.35),8,12)</f>
        <v>8</v>
      </c>
      <c r="BH11" s="2" t="str">
        <f>IF(_xlfn.XLOOKUP(_xlfn.XLOOKUP(B11,'Base stats'!B:B,'Base stats'!E:E),Groups!A:A,Groups!D:D)=0,_xlfn.XLOOKUP(_xlfn.XLOOKUP(B11,'Base stats'!B:B,'Base stats'!E:E),Groups!A:A,Groups!AR:AR),"None")</f>
        <v>None</v>
      </c>
      <c r="BI11" s="2" t="str">
        <f>IF(AND(_xlfn.XLOOKUP(_xlfn.XLOOKUP(B11,'Base stats'!B:B,'Base stats'!E:E),Groups!A:A,Groups!AS:AS)=1,OR('Base stats'!Y11="Carnivore",'Base stats'!Y11="Omnivore")),"true","false")</f>
        <v>false</v>
      </c>
      <c r="BJ11" s="2" t="str">
        <f>IF(BI11="true",MROUND(IF(AND(AO11&gt;0.5,OR(_xlfn.XLOOKUP(_xlfn.XLOOKUP(B11,'Base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K11" s="2">
        <f t="shared" si="3"/>
        <v>0</v>
      </c>
      <c r="BL11" s="25" t="str">
        <f>IF(_xlfn.XLOOKUP(B11,'Base stats'!B:B,'Base stats'!AK:AK)="Standard","No",MROUND((_xlfn.XLOOKUP(B11,'Base stats'!B:B,'Base stats'!AK:AK)/3.6)/I11,0.1))</f>
        <v>No</v>
      </c>
      <c r="BM11" s="25" t="str">
        <f t="shared" si="4"/>
        <v>false</v>
      </c>
      <c r="BN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O11" s="25" t="str" cm="1">
        <f t="array" ref="BO11">IF(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 = "",
  "No",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
)</f>
        <v>No</v>
      </c>
      <c r="BP11" s="25" t="str">
        <f>IF(
   AND(
      'Base stats'!AK11="Standard",_xlfn.XLOOKUP(_xlfn.XLOOKUP(B11,'Base stats'!B:B,'Base stats'!E:E),Groups!A:A,Groups!AU:AU)=0,
      OR(
      BN11="True"
      )
   ),
   10,
   IF(
       OR(BL11&lt;&gt;"No",_xlfn.XLOOKUP(_xlfn.XLOOKUP(B11,'Base stats'!B:B,'Base stats'!E:E),Groups!A:A,Groups!AU:AU)=1),
      1,
      "No"
   )
)</f>
        <v>No</v>
      </c>
      <c r="BQ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stats'!AS:AS) * 1.8) * 2) * 2.5 + 10 + I11 * 2,5)+IF(_xlfn.XLOOKUP(B11,'Base stats'!B:B,'Base stats'!AH:AH)=1,50,0)</f>
        <v>30</v>
      </c>
      <c r="BR11" s="8">
        <f t="shared" si="5"/>
        <v>0.30000000000000004</v>
      </c>
      <c r="BS11" s="8" t="str">
        <f>_xlfn.XLOOKUP(B11,'Base stats'!B:B,'Base stats'!AD:AD)</f>
        <v>3~10</v>
      </c>
      <c r="BT11" s="2" t="str">
        <f>IF(AND(J11&lt;=0.95,OR(_xlfn.XLOOKUP(B11,'Base stats'!B:B,'Base stats'!AH:AH)=1,_xlfn.XLOOKUP(B11,'Base stats'!B:B,'Base stats'!Y:Y)="Carnivore",_xlfn.XLOOKUP(B11,'Base stats'!B:B,'Base stats'!Y:Y)="Omnivore",BD11&gt;0.1)),"true","false")</f>
        <v>false</v>
      </c>
      <c r="BU11" s="2" t="str">
        <f>IF(_xlfn.XLOOKUP(B11,'Base stats'!B:B,'Base stats'!AF:AF)=1,"true","false")</f>
        <v>false</v>
      </c>
      <c r="BV11" s="25" t="str">
        <f>IF(E11="BaseInsect","AnimalInsect",
IF(J11&gt;0.95,"AnimalExotic",
_xlfn.TEXTJOIN(", ",TRUE,
IF(OR(_xlfn.XLOOKUP(B11,'Base stats'!B:B,'Base stats'!AJ:AJ)=1,AND(_xlfn.XLOOKUP(B11,'Base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stats'!AH:AH)=1,AND(BH11&lt;&gt;"None",BQ11&gt;=60),ISNUMBER(SEARCH("Attack target",BO11))),"AnimalFighter","")
)))</f>
        <v>AnimalCommon, AnimalFarm</v>
      </c>
      <c r="BW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),_xlfn.XLOOKUP(B11,B:B,BW:BW))</f>
        <v/>
      </c>
      <c r="BX11" s="25" t="str">
        <f>IF(_xlfn.XLOOKUP(B11,'Base stats'!B:B,'Base stats'!AG:AG)=1,"true","false")</f>
        <v>false</v>
      </c>
      <c r="BY11" s="25">
        <f>IF(_xlfn.XLOOKUP(B11,'Base stats'!B:B,'Base stats'!N:N)=1,"No",MAX(0.01,MIN(MROUND(IF(OR(_xlfn.XLOOKUP(B11,'Base stats'!B:B,'Base stats'!AJ:AJ)=1,AND(BI11="True",CB11="False")),POWER(10,3.47*LOG10(_xlfn.XLOOKUP(B11,'Base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stats'!AH:AH)=1),0.5,1)/100,0.025),1)))</f>
        <v>0.5</v>
      </c>
      <c r="BZ11" s="25" t="str">
        <f>IF(P11="Standard","No",MAX(0.01,IF(_xlfn.XLOOKUP(B11,'Base stats'!B:B,'Base stats'!N:N)=0,MROUND(BY11*P11,0.05),MIN(1,MAX(0.025,MROUND(IF(OR(CB11="true",AND(BI11="false",BN11="false")),POWER(10,4.15*LOG10(_xlfn.XLOOKUP(B11,'Base stats'!B:B,'Base stats'!C:C)*1000)^-0.73),POWER(10,3.47*LOG10(_xlfn.XLOOKUP(B11,'Base stats'!B:B,'Base stats'!C:C)*1000)^-0.96))*IF(_xlfn.XLOOKUP(B11,'Base stats'!B:B,'Base stats'!AH:AH)=1,0.5,1)/100,0.025))))))</f>
        <v>No</v>
      </c>
      <c r="CA11" s="25" t="str">
        <f>IF(_xlfn.XLOOKUP(_xlfn.XLOOKUP(B11,'Base stats'!B:B,'Base stats'!E:E),Groups!A:A,Groups!AJ:AJ)="Mammal","True","False")</f>
        <v>False</v>
      </c>
      <c r="CB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C11" s="25" t="str">
        <f t="shared" si="6"/>
        <v>False</v>
      </c>
      <c r="CD11" s="25" t="str">
        <f>IF(_xlfn.XLOOKUP(_xlfn.XLOOKUP(B11,'Base stats'!B:B,'Base stats'!E:E),Groups!A:A,Groups!AX:AX),"True","False")</f>
        <v>False</v>
      </c>
      <c r="CE11" s="25" t="str">
        <f>IF(_xlfn.XLOOKUP(_xlfn.XLOOKUP(B11,'Base stats'!B:B,'Base stats'!E:E),Groups!A:A,Groups!AY:AY),"True","False")</f>
        <v>False</v>
      </c>
      <c r="CF11" s="25" t="str">
        <f>IF(_xlfn.XLOOKUP(_xlfn.XLOOKUP(B11,'Base stats'!B:B,'Base stats'!E:E),Groups!A:A,Groups!AW:AW),"True","False")</f>
        <v>False</v>
      </c>
      <c r="CG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H11" s="25" t="str">
        <f>IF(_xlfn.XLOOKUP(_xlfn.XLOOKUP(B11,'Base stats'!B:B,'Base stats'!E:E),Groups!A:A,Groups!BB:BB),"True","False")</f>
        <v>True</v>
      </c>
      <c r="CI11" s="25" t="str">
        <f>IF(_xlfn.XLOOKUP(_xlfn.XLOOKUP(B11,'Base stats'!B:B,'Base stats'!E:E),Groups!A:A,Groups!BA:BA),"True","False")</f>
        <v>False</v>
      </c>
      <c r="CN11" s="16"/>
    </row>
    <row r="12" spans="1:92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stats'!AI:AI)=0,BH12="None",_xlfn.XLOOKUP(_xlfn.XLOOKUP(B12,'Base stats'!B:B,'Base stats'!E:E),Groups!A:A,Groups!B:B)=0), (18 + BQ12 * 2.7) * 0.5,
    IF(AND(_xlfn.XLOOKUP(B12,'Base stats'!B:B,'Base stats'!AI:AI)=0,OR(AO12&lt;0.55,AND(BH12="Intermediate",_xlfn.XLOOKUP(_xlfn.XLOOKUP(B12,'Base stats'!B:B,'Base stats'!E:E),Groups!A:A,Groups!B:B)&lt;2))), (18 + BQ12 * 2.7),
      IF(OR(BH12="Advanced",_xlfn.XLOOKUP(B12,'Base stats'!B:B,'Base stats'!AI:AI)=1,_xlfn.XLOOKUP(_xlfn.XLOOKUP(B12,'Base stats'!B:B,'Base stats'!E:E),Groups!A:A,Groups!B:B)=2), (18 + BQ12 * 2.7) + 250, (18 + BQ12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IF(_xlfn.XLOOKUP(B12,'Base stats'!B:B,'Base stats'!AI:AI)=1,0.99,MIN(MROUND((1-0.6282*EXP(-0.459*AO12))*_xlfn.XLOOKUP(_xlfn.XLOOKUP(B12,'Base stats'!B:B,'Base stats'!E:E),Groups!A:A,Groups!C:C)*IF(_xlfn.XLOOKUP(B12,'Base stats'!B:B,'Base stats'!O:O)=1,0.5,IF(_xlfn.XLOOKUP(B12,'Base stats'!B:B,'Base stats'!O:O)=2,0,1)),0.05),0.985))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W12)),ISNUMBER(SEARCH("IceSheet",BW12))),-50,IF(OR(ISNUMBER(SEARCH("GlacialPlain",BW12)),ISNUMBER(SEARCH("Tundra",BW12))),-40,IF(OR(ISNUMBER(SEARCH("Alpine",BW12)),ISNUMBER(SEARCH("BorealForest",BW12)),ISNUMBER(SEARCH("ColdBog",BW12))),-30,IF(OR(ISNUMBER(SEARCH("TemperateForest",BW12)),ISNUMBER(SEARCH("TemperateSwamp",BW12))),-20,IF(_xlfn.XLOOKUP(_xlfn.XLOOKUP(B12,'Base stats'!B:B,'Base stats'!E:E),Groups!A:A,Groups!F:F)=1,-15,IF(OR(ISNUMBER(SEARCH("Desert",BW12)),ISNUMBER(SEARCH("ExtremeDesert",BW12))),-10,IF(OR(ISNUMBER(SEARCH("Grasslands",BW12)),ISNUMBER(SEARCH("TropicalRainforest",BW12)),ISNUMBER(SEARCH("TropicalSwamp",BW12))),10,0)))))))-IF(CB12="False",MIN(IFERROR(MAX(MROUND(LOG10(_xlfn.XLOOKUP(B12,'Base stats'!B:B,'Base stats'!C:C)^(2/3))*10,5),5),5),30))-_xlfn.XLOOKUP(B12,'Base stats'!B:B,'Base stats'!P:P)+IF(CB12="True",5,0)</f>
        <v>-35</v>
      </c>
      <c r="M12" s="2">
        <f>IF(OR(_xlfn.XLOOKUP(_xlfn.XLOOKUP(B12,'Base stats'!B:B,'Base stats'!E:E),Groups!A:A,Groups!G:G)=2,ISNUMBER(SEARCH("Desert",BW12)),ISNUMBER(SEARCH("ExtremeDesert",BW12)),ISNUMBER(SEARCH("LavaField",BW12))),50,IF(ISNUMBER(SEARCH("Grasslands",BW12)),45,IF(OR(_xlfn.XLOOKUP(_xlfn.XLOOKUP(B12,'Base stats'!B:B,'Base stats'!E:E),Groups!A:A,Groups!G:G)=1,ISNUMBER(SEARCH("TropicalRainforest",BW12)),ISNUMBER(SEARCH("TropicalSwamp",BW12))),40,IF(OR(ISNUMBER(SEARCH("TemperateForest",BW12)),ISNUMBER(SEARCH("TemperateSwamp",BW12))),35,IF(OR(ISNUMBER(SEARCH("Alpine",BW12)),ISNUMBER(SEARCH("BorealForest",BW12)),ISNUMBER(SEARCH("ColdBog",BW12))),30,IF(ISNUMBER(OR(ISNUMBER(SEARCH("GlacialPlain",BW12)),SEARCH("Tundra",BW12))),25,IF(OR(ISNUMBER(SEARCH("SeaIce",BW12)),ISNUMBER(SEARCH("IceSheet",BW12)),ISNUMBER(SEARCH("TropicalSwamp",BW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stats'!AO:AO))*(AO12^0.5)+(_xlfn.XLOOKUP(B12,'Base stats'!B:B,'Base stats'!AO:AO)/1000)^(2/3)+_xlfn.XLOOKUP(B12,'Base stats'!B:B,'Base stats'!AX:AX)/2)+0.5,0.5)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stats'!AP:AP))*(AO12^0.5)+(_xlfn.XLOOKUP(B12,'Base stats'!B:B,'Base stats'!AP:AP)/1000)^(2/3)+_xlfn.XLOOKUP(B12,'Base stats'!B:B,'Base stats'!AX:AX))+_xlfn.XLOOKUP(B12,'Base stats'!B:B,'Base stats'!AV:AV)+0.5,0.5))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stats'!AR:AR))*(AO12^0.5)+(_xlfn.XLOOKUP(B12,'Base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stats'!AQ:AQ)="No","No",MROUND((LOG10(_xlfn.XLOOKUP(B12,'Base stats'!B:B,'Base stats'!AQ:AQ))*(AO12^0.75)+(_xlfn.XLOOKUP(B12,'Base stats'!B:B,'Base stats'!AQ:AQ)/1000)^(2/3)+_xlfn.XLOOKUP(B12,'Base stats'!B:B,'Base stats'!AU:AU)+_xlfn.XLOOKUP(B12,'Base stats'!B:B,'Base stats'!AX:AX))+0.5,0.5))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stats'!AP:AP))*(AO12^0.75)+(_xlfn.XLOOKUP(B12,'Base stats'!B:B,'Base stats'!AP:AP)/1000)^(2/3)+_xlfn.XLOOKUP(B12,'Base stats'!B:B,'Base stats'!AV:AV)+_xlfn.XLOOKUP(B12,'Base stats'!B:B,'Base stats'!AX:AX))+0.5,0.5))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MAX(0.01,MROUND(IF(CB12="True",0.196*(AO12*100*1000)^0.889,IF(_xlfn.XLOOKUP(_xlfn.XLOOKUP(B12,'Base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IF(OR(A12="Queen",A12="Larva"),"No",IFERROR(MAX(IF(_xlfn.XLOOKUP(B12,'Base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stats'!AE:AE)</f>
        <v>Leather_Camel</v>
      </c>
      <c r="BB12" s="23" t="str">
        <f>_xlfn.XLOOKUP(_xlfn.XLOOKUP(B12,'Base stats'!B:B,'Base stats'!E:E),Groups!A:A,Groups!AL:AL)</f>
        <v>QuadrupedAnimalWithHoovesAndHump</v>
      </c>
      <c r="BC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D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E12" s="2" t="str">
        <f>IF(J12&gt;0.3,"No",_xlfn.XLOOKUP(_xlfn.XLOOKUP(Animals!B12,'Base stats'!B:B,'Base stats'!E:E),Groups!A:A,Groups!AP:AP))</f>
        <v>No</v>
      </c>
      <c r="BF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+ 24*(1-IF(BE12="No",0,BE12)) + 16/3, 12),"No")</f>
        <v>No</v>
      </c>
      <c r="BG12" s="2">
        <f>IF(AND(_xlfn.XLOOKUP(_xlfn.XLOOKUP(B12,'Base stats'!B:B,'Base stats'!E:E),Groups!A:A,Groups!AQ:AQ)=1,AO12&lt;=0.35),8,12)</f>
        <v>12</v>
      </c>
      <c r="BH12" s="2" t="str">
        <f>IF(_xlfn.XLOOKUP(_xlfn.XLOOKUP(B12,'Base stats'!B:B,'Base stats'!E:E),Groups!A:A,Groups!D:D)=0,_xlfn.XLOOKUP(_xlfn.XLOOKUP(B12,'Base stats'!B:B,'Base stats'!E:E),Groups!A:A,Groups!AR:AR),"None")</f>
        <v>None</v>
      </c>
      <c r="BI12" s="2" t="str">
        <f>IF(AND(_xlfn.XLOOKUP(_xlfn.XLOOKUP(B12,'Base stats'!B:B,'Base stats'!E:E),Groups!A:A,Groups!AS:AS)=1,OR('Base stats'!Y12="Carnivore",'Base stats'!Y12="Omnivore")),"true","false")</f>
        <v>false</v>
      </c>
      <c r="BJ12" s="2" t="str">
        <f>IF(BI12="true",MROUND(IF(AND(AO12&gt;0.5,OR(_xlfn.XLOOKUP(_xlfn.XLOOKUP(B12,'Base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K12" s="2">
        <f t="shared" si="3"/>
        <v>0</v>
      </c>
      <c r="BL12" s="25" t="str">
        <f>IF(_xlfn.XLOOKUP(B12,'Base stats'!B:B,'Base stats'!AK:AK)="Standard","No",MROUND((_xlfn.XLOOKUP(B12,'Base stats'!B:B,'Base stats'!AK:AK)/3.6)/I12,0.1))</f>
        <v>No</v>
      </c>
      <c r="BM12" s="25" t="str">
        <f t="shared" si="4"/>
        <v>false</v>
      </c>
      <c r="BN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O12" s="25" t="str" cm="1">
        <f t="array" ref="BO12">IF(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 = "",
  "No",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
)</f>
        <v>No</v>
      </c>
      <c r="BP12" s="25" t="str">
        <f>IF(
   AND(
      'Base stats'!AK12="Standard",_xlfn.XLOOKUP(_xlfn.XLOOKUP(B12,'Base stats'!B:B,'Base stats'!E:E),Groups!A:A,Groups!AU:AU)=0,
      OR(
      BN12="True"
      )
   ),
   10,
   IF(
       OR(BL12&lt;&gt;"No",_xlfn.XLOOKUP(_xlfn.XLOOKUP(B12,'Base stats'!B:B,'Base stats'!E:E),Groups!A:A,Groups!AU:AU)=1),
      1,
      "No"
   )
)</f>
        <v>No</v>
      </c>
      <c r="BQ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stats'!AS:AS) * 1.8) * 2) * 2.5 + 10 + I12 * 2,5)+IF(_xlfn.XLOOKUP(B12,'Base stats'!B:B,'Base stats'!AH:AH)=1,50,0)</f>
        <v>180</v>
      </c>
      <c r="BR12" s="8">
        <f t="shared" si="5"/>
        <v>1.4500000000000002</v>
      </c>
      <c r="BS12" s="8" t="str">
        <f>_xlfn.XLOOKUP(B12,'Base stats'!B:B,'Base stats'!AD:AD)</f>
        <v>3~10</v>
      </c>
      <c r="BT12" s="2" t="str">
        <f>IF(AND(J12&lt;=0.95,OR(_xlfn.XLOOKUP(B12,'Base stats'!B:B,'Base stats'!AH:AH)=1,_xlfn.XLOOKUP(B12,'Base stats'!B:B,'Base stats'!Y:Y)="Carnivore",_xlfn.XLOOKUP(B12,'Base stats'!B:B,'Base stats'!Y:Y)="Omnivore",BD12&gt;0.1)),"true","false")</f>
        <v>false</v>
      </c>
      <c r="BU12" s="2" t="str">
        <f>IF(_xlfn.XLOOKUP(B12,'Base stats'!B:B,'Base stats'!AF:AF)=1,"true","false")</f>
        <v>true</v>
      </c>
      <c r="BV12" s="25" t="str">
        <f>IF(E12="BaseInsect","AnimalInsect",
IF(J12&gt;0.95,"AnimalExotic",
_xlfn.TEXTJOIN(", ",TRUE,
IF(OR(_xlfn.XLOOKUP(B12,'Base stats'!B:B,'Base stats'!AJ:AJ)=1,AND(_xlfn.XLOOKUP(B12,'Base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stats'!AH:AH)=1,AND(BH12&lt;&gt;"None",BQ12&gt;=60),ISNUMBER(SEARCH("Attack target",BO12))),"AnimalFighter","")
)))</f>
        <v>AnimalCommon, AnimalFarm</v>
      </c>
      <c r="BW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),_xlfn.XLOOKUP(B12,B:B,BW:BW))</f>
        <v>AridShrubland Desert ExtremeDesert LavaField Scarlands</v>
      </c>
      <c r="BX12" s="25" t="str">
        <f>IF(_xlfn.XLOOKUP(B12,'Base stats'!B:B,'Base stats'!AG:AG)=1,"true","false")</f>
        <v>false</v>
      </c>
      <c r="BY12" s="25">
        <f>IF(_xlfn.XLOOKUP(B12,'Base stats'!B:B,'Base stats'!N:N)=1,"No",MAX(0.01,MIN(MROUND(IF(OR(_xlfn.XLOOKUP(B12,'Base stats'!B:B,'Base stats'!AJ:AJ)=1,AND(BI12="True",CB12="False")),POWER(10,3.47*LOG10(_xlfn.XLOOKUP(B12,'Base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stats'!AH:AH)=1),0.5,1)/100,0.025),1)))</f>
        <v>0.15000000000000002</v>
      </c>
      <c r="BZ12" s="25" t="str">
        <f>IF(P12="Standard","No",MAX(0.01,IF(_xlfn.XLOOKUP(B12,'Base stats'!B:B,'Base stats'!N:N)=0,MROUND(BY12*P12,0.05),MIN(1,MAX(0.025,MROUND(IF(OR(CB12="true",AND(BI12="false",BN12="false")),POWER(10,4.15*LOG10(_xlfn.XLOOKUP(B12,'Base stats'!B:B,'Base stats'!C:C)*1000)^-0.73),POWER(10,3.47*LOG10(_xlfn.XLOOKUP(B12,'Base stats'!B:B,'Base stats'!C:C)*1000)^-0.96))*IF(_xlfn.XLOOKUP(B12,'Base stats'!B:B,'Base stats'!AH:AH)=1,0.5,1)/100,0.025))))))</f>
        <v>No</v>
      </c>
      <c r="CA12" s="25" t="str">
        <f>IF(_xlfn.XLOOKUP(_xlfn.XLOOKUP(B12,'Base stats'!B:B,'Base stats'!E:E),Groups!A:A,Groups!AJ:AJ)="Mammal","True","False")</f>
        <v>True</v>
      </c>
      <c r="CB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C12" s="25" t="str">
        <f t="shared" si="6"/>
        <v>False</v>
      </c>
      <c r="CD12" s="25" t="str">
        <f>IF(_xlfn.XLOOKUP(_xlfn.XLOOKUP(B12,'Base stats'!B:B,'Base stats'!E:E),Groups!A:A,Groups!AX:AX),"True","False")</f>
        <v>False</v>
      </c>
      <c r="CE12" s="25" t="str">
        <f>IF(_xlfn.XLOOKUP(_xlfn.XLOOKUP(B12,'Base stats'!B:B,'Base stats'!E:E),Groups!A:A,Groups!AY:AY),"True","False")</f>
        <v>False</v>
      </c>
      <c r="CF12" s="25" t="str">
        <f>IF(_xlfn.XLOOKUP(_xlfn.XLOOKUP(B12,'Base stats'!B:B,'Base stats'!E:E),Groups!A:A,Groups!AW:AW),"True","False")</f>
        <v>False</v>
      </c>
      <c r="CG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H12" s="25" t="str">
        <f>IF(_xlfn.XLOOKUP(_xlfn.XLOOKUP(B12,'Base stats'!B:B,'Base stats'!E:E),Groups!A:A,Groups!BB:BB),"True","False")</f>
        <v>True</v>
      </c>
      <c r="CI12" s="25" t="str">
        <f>IF(_xlfn.XLOOKUP(_xlfn.XLOOKUP(B12,'Base stats'!B:B,'Base stats'!E:E),Groups!A:A,Groups!BA:BA),"True","False")</f>
        <v>False</v>
      </c>
      <c r="CN12" s="16"/>
    </row>
    <row r="13" spans="1:92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stats'!AI:AI)=0,BH13="None",_xlfn.XLOOKUP(_xlfn.XLOOKUP(B13,'Base stats'!B:B,'Base stats'!E:E),Groups!A:A,Groups!B:B)=0), (18 + BQ13 * 2.7) * 0.5,
    IF(AND(_xlfn.XLOOKUP(B13,'Base stats'!B:B,'Base stats'!AI:AI)=0,OR(AO13&lt;0.55,AND(BH13="Intermediate",_xlfn.XLOOKUP(_xlfn.XLOOKUP(B13,'Base stats'!B:B,'Base stats'!E:E),Groups!A:A,Groups!B:B)&lt;2))), (18 + BQ13 * 2.7),
      IF(OR(BH13="Advanced",_xlfn.XLOOKUP(B13,'Base stats'!B:B,'Base stats'!AI:AI)=1,_xlfn.XLOOKUP(_xlfn.XLOOKUP(B13,'Base stats'!B:B,'Base stats'!E:E),Groups!A:A,Groups!B:B)=2), (18 + BQ13 * 2.7) + 250, (18 + BQ13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IF(_xlfn.XLOOKUP(B13,'Base stats'!B:B,'Base stats'!AI:AI)=1,0.99,MIN(MROUND((1-0.6282*EXP(-0.459*AO13))*_xlfn.XLOOKUP(_xlfn.XLOOKUP(B13,'Base stats'!B:B,'Base stats'!E:E),Groups!A:A,Groups!C:C)*IF(_xlfn.XLOOKUP(B13,'Base stats'!B:B,'Base stats'!O:O)=1,0.5,IF(_xlfn.XLOOKUP(B13,'Base stats'!B:B,'Base stats'!O:O)=2,0,1)),0.05),0.985))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W13)),ISNUMBER(SEARCH("IceSheet",BW13))),-50,IF(OR(ISNUMBER(SEARCH("GlacialPlain",BW13)),ISNUMBER(SEARCH("Tundra",BW13))),-40,IF(OR(ISNUMBER(SEARCH("Alpine",BW13)),ISNUMBER(SEARCH("BorealForest",BW13)),ISNUMBER(SEARCH("ColdBog",BW13))),-30,IF(OR(ISNUMBER(SEARCH("TemperateForest",BW13)),ISNUMBER(SEARCH("TemperateSwamp",BW13))),-20,IF(_xlfn.XLOOKUP(_xlfn.XLOOKUP(B13,'Base stats'!B:B,'Base stats'!E:E),Groups!A:A,Groups!F:F)=1,-15,IF(OR(ISNUMBER(SEARCH("Desert",BW13)),ISNUMBER(SEARCH("ExtremeDesert",BW13))),-10,IF(OR(ISNUMBER(SEARCH("Grasslands",BW13)),ISNUMBER(SEARCH("TropicalRainforest",BW13)),ISNUMBER(SEARCH("TropicalSwamp",BW13))),10,0)))))))-IF(CB13="False",MIN(IFERROR(MAX(MROUND(LOG10(_xlfn.XLOOKUP(B13,'Base stats'!B:B,'Base stats'!C:C)^(2/3))*10,5),5),5),30))-_xlfn.XLOOKUP(B13,'Base stats'!B:B,'Base stats'!P:P)+IF(CB13="True",5,0)</f>
        <v>-30</v>
      </c>
      <c r="M13" s="2">
        <f>IF(OR(_xlfn.XLOOKUP(_xlfn.XLOOKUP(B13,'Base stats'!B:B,'Base stats'!E:E),Groups!A:A,Groups!G:G)=2,ISNUMBER(SEARCH("Desert",BW13)),ISNUMBER(SEARCH("ExtremeDesert",BW13)),ISNUMBER(SEARCH("LavaField",BW13))),50,IF(ISNUMBER(SEARCH("Grasslands",BW13)),45,IF(OR(_xlfn.XLOOKUP(_xlfn.XLOOKUP(B13,'Base stats'!B:B,'Base stats'!E:E),Groups!A:A,Groups!G:G)=1,ISNUMBER(SEARCH("TropicalRainforest",BW13)),ISNUMBER(SEARCH("TropicalSwamp",BW13))),40,IF(OR(ISNUMBER(SEARCH("TemperateForest",BW13)),ISNUMBER(SEARCH("TemperateSwamp",BW13))),35,IF(OR(ISNUMBER(SEARCH("Alpine",BW13)),ISNUMBER(SEARCH("BorealForest",BW13)),ISNUMBER(SEARCH("ColdBog",BW13))),30,IF(ISNUMBER(OR(ISNUMBER(SEARCH("GlacialPlain",BW13)),SEARCH("Tundra",BW13))),25,IF(OR(ISNUMBER(SEARCH("SeaIce",BW13)),ISNUMBER(SEARCH("IceSheet",BW13)),ISNUMBER(SEARCH("TropicalSwamp",BW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stats'!AO:AO))*(AO13^0.5)+(_xlfn.XLOOKUP(B13,'Base stats'!B:B,'Base stats'!AO:AO)/1000)^(2/3)+_xlfn.XLOOKUP(B13,'Base stats'!B:B,'Base stats'!AX:AX)/2)+0.5,0.5)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stats'!AP:AP))*(AO13^0.5)+(_xlfn.XLOOKUP(B13,'Base stats'!B:B,'Base stats'!AP:AP)/1000)^(2/3)+_xlfn.XLOOKUP(B13,'Base stats'!B:B,'Base stats'!AX:AX))+_xlfn.XLOOKUP(B13,'Base stats'!B:B,'Base stats'!AV:AV)+0.5,0.5))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stats'!AR:AR))*(AO13^0.5)+(_xlfn.XLOOKUP(B13,'Base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stats'!AQ:AQ)="No","No",MROUND((LOG10(_xlfn.XLOOKUP(B13,'Base stats'!B:B,'Base stats'!AQ:AQ))*(AO13^0.75)+(_xlfn.XLOOKUP(B13,'Base stats'!B:B,'Base stats'!AQ:AQ)/1000)^(2/3)+_xlfn.XLOOKUP(B13,'Base stats'!B:B,'Base stats'!AU:AU)+_xlfn.XLOOKUP(B13,'Base stats'!B:B,'Base stats'!AX:AX))+0.5,0.5))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stats'!AP:AP))*(AO13^0.75)+(_xlfn.XLOOKUP(B13,'Base stats'!B:B,'Base stats'!AP:AP)/1000)^(2/3)+_xlfn.XLOOKUP(B13,'Base stats'!B:B,'Base stats'!AV:AV)+_xlfn.XLOOKUP(B13,'Base stats'!B:B,'Base stats'!AX:AX))+0.5,0.5))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MAX(0.01,MROUND(IF(CB13="True",0.196*(AO13*100*1000)^0.889,IF(_xlfn.XLOOKUP(_xlfn.XLOOKUP(B13,'Base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IF(OR(A13="Queen",A13="Larva"),"No",IFERROR(MAX(IF(_xlfn.XLOOKUP(B13,'Base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stats'!AE:AE)</f>
        <v>Leather_Camel</v>
      </c>
      <c r="BB13" s="23" t="str">
        <f>_xlfn.XLOOKUP(_xlfn.XLOOKUP(B13,'Base stats'!B:B,'Base stats'!E:E),Groups!A:A,Groups!AL:AL)</f>
        <v>QuadrupedAnimalWithHooves</v>
      </c>
      <c r="BC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D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E13" s="2" t="str">
        <f>IF(J13&gt;0.3,"No",_xlfn.XLOOKUP(_xlfn.XLOOKUP(Animals!B13,'Base stats'!B:B,'Base stats'!E:E),Groups!A:A,Groups!AP:AP))</f>
        <v>No</v>
      </c>
      <c r="BF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+ 24*(1-IF(BE13="No",0,BE13)) + 16/3, 12),"No")</f>
        <v>No</v>
      </c>
      <c r="BG13" s="2">
        <f>IF(AND(_xlfn.XLOOKUP(_xlfn.XLOOKUP(B13,'Base stats'!B:B,'Base stats'!E:E),Groups!A:A,Groups!AQ:AQ)=1,AO13&lt;=0.35),8,12)</f>
        <v>12</v>
      </c>
      <c r="BH13" s="2" t="str">
        <f>IF(_xlfn.XLOOKUP(_xlfn.XLOOKUP(B13,'Base stats'!B:B,'Base stats'!E:E),Groups!A:A,Groups!D:D)=0,_xlfn.XLOOKUP(_xlfn.XLOOKUP(B13,'Base stats'!B:B,'Base stats'!E:E),Groups!A:A,Groups!AR:AR),"None")</f>
        <v>None</v>
      </c>
      <c r="BI13" s="2" t="str">
        <f>IF(AND(_xlfn.XLOOKUP(_xlfn.XLOOKUP(B13,'Base stats'!B:B,'Base stats'!E:E),Groups!A:A,Groups!AS:AS)=1,OR('Base stats'!Y13="Carnivore",'Base stats'!Y13="Omnivore")),"true","false")</f>
        <v>false</v>
      </c>
      <c r="BJ13" s="2" t="str">
        <f>IF(BI13="true",MROUND(IF(AND(AO13&gt;0.5,OR(_xlfn.XLOOKUP(_xlfn.XLOOKUP(B13,'Base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K13" s="2">
        <f t="shared" si="3"/>
        <v>0</v>
      </c>
      <c r="BL13" s="25" t="str">
        <f>IF(_xlfn.XLOOKUP(B13,'Base stats'!B:B,'Base stats'!AK:AK)="Standard","No",MROUND((_xlfn.XLOOKUP(B13,'Base stats'!B:B,'Base stats'!AK:AK)/3.6)/I13,0.1))</f>
        <v>No</v>
      </c>
      <c r="BM13" s="25" t="str">
        <f t="shared" si="4"/>
        <v>false</v>
      </c>
      <c r="BN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O13" s="25" t="str" cm="1">
        <f t="array" ref="BO13">IF(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 = "",
  "No",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
)</f>
        <v>No</v>
      </c>
      <c r="BP13" s="25" t="str">
        <f>IF(
   AND(
      'Base stats'!AK13="Standard",_xlfn.XLOOKUP(_xlfn.XLOOKUP(B13,'Base stats'!B:B,'Base stats'!E:E),Groups!A:A,Groups!AU:AU)=0,
      OR(
      BN13="True"
      )
   ),
   10,
   IF(
       OR(BL13&lt;&gt;"No",_xlfn.XLOOKUP(_xlfn.XLOOKUP(B13,'Base stats'!B:B,'Base stats'!E:E),Groups!A:A,Groups!AU:AU)=1),
      1,
      "No"
   )
)</f>
        <v>No</v>
      </c>
      <c r="BQ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stats'!AS:AS) * 1.8) * 2) * 2.5 + 10 + I13 * 2,5)+IF(_xlfn.XLOOKUP(B13,'Base stats'!B:B,'Base stats'!AH:AH)=1,50,0)</f>
        <v>80</v>
      </c>
      <c r="BR13" s="8">
        <f t="shared" si="5"/>
        <v>0.70000000000000007</v>
      </c>
      <c r="BS13" s="8" t="str">
        <f>_xlfn.XLOOKUP(B13,'Base stats'!B:B,'Base stats'!AD:AD)</f>
        <v>3~8</v>
      </c>
      <c r="BT13" s="2" t="str">
        <f>IF(AND(J13&lt;=0.95,OR(_xlfn.XLOOKUP(B13,'Base stats'!B:B,'Base stats'!AH:AH)=1,_xlfn.XLOOKUP(B13,'Base stats'!B:B,'Base stats'!Y:Y)="Carnivore",_xlfn.XLOOKUP(B13,'Base stats'!B:B,'Base stats'!Y:Y)="Omnivore",BD13&gt;0.1)),"true","false")</f>
        <v>false</v>
      </c>
      <c r="BU13" s="2" t="str">
        <f>IF(_xlfn.XLOOKUP(B13,'Base stats'!B:B,'Base stats'!AF:AF)=1,"true","false")</f>
        <v>true</v>
      </c>
      <c r="BV13" s="25" t="str">
        <f>IF(E13="BaseInsect","AnimalInsect",
IF(J13&gt;0.95,"AnimalExotic",
_xlfn.TEXTJOIN(", ",TRUE,
IF(OR(_xlfn.XLOOKUP(B13,'Base stats'!B:B,'Base stats'!AJ:AJ)=1,AND(_xlfn.XLOOKUP(B13,'Base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stats'!AH:AH)=1,AND(BH13&lt;&gt;"None",BQ13&gt;=60),ISNUMBER(SEARCH("Attack target",BO13))),"AnimalFighter","")
)))</f>
        <v>AnimalCommon, AnimalFarm</v>
      </c>
      <c r="BW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),_xlfn.XLOOKUP(B13,B:B,BW:BW))</f>
        <v/>
      </c>
      <c r="BX13" s="25" t="str">
        <f>IF(_xlfn.XLOOKUP(B13,'Base stats'!B:B,'Base stats'!AG:AG)=1,"true","false")</f>
        <v>false</v>
      </c>
      <c r="BY13" s="25">
        <f>IF(_xlfn.XLOOKUP(B13,'Base stats'!B:B,'Base stats'!N:N)=1,"No",MAX(0.01,MIN(MROUND(IF(OR(_xlfn.XLOOKUP(B13,'Base stats'!B:B,'Base stats'!AJ:AJ)=1,AND(BI13="True",CB13="False")),POWER(10,3.47*LOG10(_xlfn.XLOOKUP(B13,'Base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stats'!AH:AH)=1),0.5,1)/100,0.025),1)))</f>
        <v>0.2</v>
      </c>
      <c r="BZ13" s="25" t="str">
        <f>IF(P13="Standard","No",MAX(0.01,IF(_xlfn.XLOOKUP(B13,'Base stats'!B:B,'Base stats'!N:N)=0,MROUND(BY13*P13,0.05),MIN(1,MAX(0.025,MROUND(IF(OR(CB13="true",AND(BI13="false",BN13="false")),POWER(10,4.15*LOG10(_xlfn.XLOOKUP(B13,'Base stats'!B:B,'Base stats'!C:C)*1000)^-0.73),POWER(10,3.47*LOG10(_xlfn.XLOOKUP(B13,'Base stats'!B:B,'Base stats'!C:C)*1000)^-0.96))*IF(_xlfn.XLOOKUP(B13,'Base stats'!B:B,'Base stats'!AH:AH)=1,0.5,1)/100,0.025))))))</f>
        <v>No</v>
      </c>
      <c r="CA13" s="25" t="str">
        <f>IF(_xlfn.XLOOKUP(_xlfn.XLOOKUP(B13,'Base stats'!B:B,'Base stats'!E:E),Groups!A:A,Groups!AJ:AJ)="Mammal","True","False")</f>
        <v>True</v>
      </c>
      <c r="CB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C13" s="25" t="str">
        <f t="shared" si="6"/>
        <v>False</v>
      </c>
      <c r="CD13" s="25" t="str">
        <f>IF(_xlfn.XLOOKUP(_xlfn.XLOOKUP(B13,'Base stats'!B:B,'Base stats'!E:E),Groups!A:A,Groups!AX:AX),"True","False")</f>
        <v>False</v>
      </c>
      <c r="CE13" s="25" t="str">
        <f>IF(_xlfn.XLOOKUP(_xlfn.XLOOKUP(B13,'Base stats'!B:B,'Base stats'!E:E),Groups!A:A,Groups!AY:AY),"True","False")</f>
        <v>False</v>
      </c>
      <c r="CF13" s="25" t="str">
        <f>IF(_xlfn.XLOOKUP(_xlfn.XLOOKUP(B13,'Base stats'!B:B,'Base stats'!E:E),Groups!A:A,Groups!AW:AW),"True","False")</f>
        <v>False</v>
      </c>
      <c r="CG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H13" s="25" t="str">
        <f>IF(_xlfn.XLOOKUP(_xlfn.XLOOKUP(B13,'Base stats'!B:B,'Base stats'!E:E),Groups!A:A,Groups!BB:BB),"True","False")</f>
        <v>True</v>
      </c>
      <c r="CI13" s="25" t="str">
        <f>IF(_xlfn.XLOOKUP(_xlfn.XLOOKUP(B13,'Base stats'!B:B,'Base stats'!E:E),Groups!A:A,Groups!BA:BA),"True","False")</f>
        <v>False</v>
      </c>
      <c r="CN13" s="16"/>
    </row>
    <row r="14" spans="1:92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stats'!AI:AI)=0,BH14="None",_xlfn.XLOOKUP(_xlfn.XLOOKUP(B14,'Base stats'!B:B,'Base stats'!E:E),Groups!A:A,Groups!B:B)=0), (18 + BQ14 * 2.7) * 0.5,
    IF(AND(_xlfn.XLOOKUP(B14,'Base stats'!B:B,'Base stats'!AI:AI)=0,OR(AO14&lt;0.55,AND(BH14="Intermediate",_xlfn.XLOOKUP(_xlfn.XLOOKUP(B14,'Base stats'!B:B,'Base stats'!E:E),Groups!A:A,Groups!B:B)&lt;2))), (18 + BQ14 * 2.7),
      IF(OR(BH14="Advanced",_xlfn.XLOOKUP(B14,'Base stats'!B:B,'Base stats'!AI:AI)=1,_xlfn.XLOOKUP(_xlfn.XLOOKUP(B14,'Base stats'!B:B,'Base stats'!E:E),Groups!A:A,Groups!B:B)=2), (18 + BQ14 * 2.7) + 250, (18 + BQ14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IF(_xlfn.XLOOKUP(B14,'Base stats'!B:B,'Base stats'!AI:AI)=1,0.99,MIN(MROUND((1-0.6282*EXP(-0.459*AO14))*_xlfn.XLOOKUP(_xlfn.XLOOKUP(B14,'Base stats'!B:B,'Base stats'!E:E),Groups!A:A,Groups!C:C)*IF(_xlfn.XLOOKUP(B14,'Base stats'!B:B,'Base stats'!O:O)=1,0.5,IF(_xlfn.XLOOKUP(B14,'Base stats'!B:B,'Base stats'!O:O)=2,0,1)),0.05),0.985))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W14)),ISNUMBER(SEARCH("IceSheet",BW14))),-50,IF(OR(ISNUMBER(SEARCH("GlacialPlain",BW14)),ISNUMBER(SEARCH("Tundra",BW14))),-40,IF(OR(ISNUMBER(SEARCH("Alpine",BW14)),ISNUMBER(SEARCH("BorealForest",BW14)),ISNUMBER(SEARCH("ColdBog",BW14))),-30,IF(OR(ISNUMBER(SEARCH("TemperateForest",BW14)),ISNUMBER(SEARCH("TemperateSwamp",BW14))),-20,IF(_xlfn.XLOOKUP(_xlfn.XLOOKUP(B14,'Base stats'!B:B,'Base stats'!E:E),Groups!A:A,Groups!F:F)=1,-15,IF(OR(ISNUMBER(SEARCH("Desert",BW14)),ISNUMBER(SEARCH("ExtremeDesert",BW14))),-10,IF(OR(ISNUMBER(SEARCH("Grasslands",BW14)),ISNUMBER(SEARCH("TropicalRainforest",BW14)),ISNUMBER(SEARCH("TropicalSwamp",BW14))),10,0)))))))-IF(CB14="False",MIN(IFERROR(MAX(MROUND(LOG10(_xlfn.XLOOKUP(B14,'Base stats'!B:B,'Base stats'!C:C)^(2/3))*10,5),5),5),30))-_xlfn.XLOOKUP(B14,'Base stats'!B:B,'Base stats'!P:P)+IF(CB14="True",5,0)</f>
        <v>-20</v>
      </c>
      <c r="M14" s="2">
        <f>IF(OR(_xlfn.XLOOKUP(_xlfn.XLOOKUP(B14,'Base stats'!B:B,'Base stats'!E:E),Groups!A:A,Groups!G:G)=2,ISNUMBER(SEARCH("Desert",BW14)),ISNUMBER(SEARCH("ExtremeDesert",BW14)),ISNUMBER(SEARCH("LavaField",BW14))),50,IF(ISNUMBER(SEARCH("Grasslands",BW14)),45,IF(OR(_xlfn.XLOOKUP(_xlfn.XLOOKUP(B14,'Base stats'!B:B,'Base stats'!E:E),Groups!A:A,Groups!G:G)=1,ISNUMBER(SEARCH("TropicalRainforest",BW14)),ISNUMBER(SEARCH("TropicalSwamp",BW14))),40,IF(OR(ISNUMBER(SEARCH("TemperateForest",BW14)),ISNUMBER(SEARCH("TemperateSwamp",BW14))),35,IF(OR(ISNUMBER(SEARCH("Alpine",BW14)),ISNUMBER(SEARCH("BorealForest",BW14)),ISNUMBER(SEARCH("ColdBog",BW14))),30,IF(ISNUMBER(OR(ISNUMBER(SEARCH("GlacialPlain",BW14)),SEARCH("Tundra",BW14))),25,IF(OR(ISNUMBER(SEARCH("SeaIce",BW14)),ISNUMBER(SEARCH("IceSheet",BW14)),ISNUMBER(SEARCH("TropicalSwamp",BW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stats'!AO:AO))*(AO14^0.5)+(_xlfn.XLOOKUP(B14,'Base stats'!B:B,'Base stats'!AO:AO)/1000)^(2/3)+_xlfn.XLOOKUP(B14,'Base stats'!B:B,'Base stats'!AX:AX)/2)+0.5,0.5)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stats'!AP:AP))*(AO14^0.5)+(_xlfn.XLOOKUP(B14,'Base stats'!B:B,'Base stats'!AP:AP)/1000)^(2/3)+_xlfn.XLOOKUP(B14,'Base stats'!B:B,'Base stats'!AX:AX))+_xlfn.XLOOKUP(B14,'Base stats'!B:B,'Base stats'!AV:AV)+0.5,0.5))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stats'!AR:AR))*(AO14^0.5)+(_xlfn.XLOOKUP(B14,'Base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stats'!AQ:AQ)="No","No",MROUND((LOG10(_xlfn.XLOOKUP(B14,'Base stats'!B:B,'Base stats'!AQ:AQ))*(AO14^0.75)+(_xlfn.XLOOKUP(B14,'Base stats'!B:B,'Base stats'!AQ:AQ)/1000)^(2/3)+_xlfn.XLOOKUP(B14,'Base stats'!B:B,'Base stats'!AU:AU)+_xlfn.XLOOKUP(B14,'Base stats'!B:B,'Base stats'!AX:AX))+0.5,0.5))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stats'!AP:AP))*(AO14^0.75)+(_xlfn.XLOOKUP(B14,'Base stats'!B:B,'Base stats'!AP:AP)/1000)^(2/3)+_xlfn.XLOOKUP(B14,'Base stats'!B:B,'Base stats'!AV:AV)+_xlfn.XLOOKUP(B14,'Base stats'!B:B,'Base stats'!AX:AX))+0.5,0.5))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MAX(0.01,MROUND(IF(CB14="True",0.196*(AO14*100*1000)^0.889,IF(_xlfn.XLOOKUP(_xlfn.XLOOKUP(B14,'Base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IF(OR(A14="Queen",A14="Larva"),"No",IFERROR(MAX(IF(_xlfn.XLOOKUP(B14,'Base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stats'!AE:AE)</f>
        <v>Leather_Dog</v>
      </c>
      <c r="BB14" s="23" t="str">
        <f>_xlfn.XLOOKUP(_xlfn.XLOOKUP(B14,'Base stats'!B:B,'Base stats'!E:E),Groups!A:A,Groups!AL:AL)</f>
        <v>QuadrupedAnimalWithPawsAndTail</v>
      </c>
      <c r="BC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D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E14" s="2">
        <f>IF(J14&gt;0.3,"No",_xlfn.XLOOKUP(_xlfn.XLOOKUP(Animals!B14,'Base stats'!B:B,'Base stats'!E:E),Groups!A:A,Groups!AP:AP))</f>
        <v>1</v>
      </c>
      <c r="BF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+ 24*(1-IF(BE14="No",0,BE14)) + 16/3, 12),"No")</f>
        <v>12</v>
      </c>
      <c r="BG14" s="2">
        <f>IF(AND(_xlfn.XLOOKUP(_xlfn.XLOOKUP(B14,'Base stats'!B:B,'Base stats'!E:E),Groups!A:A,Groups!AQ:AQ)=1,AO14&lt;=0.35),8,12)</f>
        <v>12</v>
      </c>
      <c r="BH14" s="2" t="str">
        <f>IF(_xlfn.XLOOKUP(_xlfn.XLOOKUP(B14,'Base stats'!B:B,'Base stats'!E:E),Groups!A:A,Groups!D:D)=0,_xlfn.XLOOKUP(_xlfn.XLOOKUP(B14,'Base stats'!B:B,'Base stats'!E:E),Groups!A:A,Groups!AR:AR),"None")</f>
        <v>Advanced</v>
      </c>
      <c r="BI14" s="2" t="str">
        <f>IF(AND(_xlfn.XLOOKUP(_xlfn.XLOOKUP(B14,'Base stats'!B:B,'Base stats'!E:E),Groups!A:A,Groups!AS:AS)=1,OR('Base stats'!Y14="Carnivore",'Base stats'!Y14="Omnivore")),"true","false")</f>
        <v>true</v>
      </c>
      <c r="BJ14" s="2">
        <f>IF(BI14="true",MROUND(IF(AND(AO14&gt;0.5,OR(_xlfn.XLOOKUP(_xlfn.XLOOKUP(B14,'Base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K14" s="2">
        <f t="shared" si="3"/>
        <v>1</v>
      </c>
      <c r="BL14" s="25" t="str">
        <f>IF(_xlfn.XLOOKUP(B14,'Base stats'!B:B,'Base stats'!AK:AK)="Standard","No",MROUND((_xlfn.XLOOKUP(B14,'Base stats'!B:B,'Base stats'!AK:AK)/3.6)/I14,0.1))</f>
        <v>No</v>
      </c>
      <c r="BM14" s="25" t="str">
        <f t="shared" si="4"/>
        <v>false</v>
      </c>
      <c r="BN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O14" s="25" t="str" cm="1">
        <f t="array" ref="BO14">IF(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 = "",
  "No",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
)</f>
        <v>Forage, Comfort</v>
      </c>
      <c r="BP14" s="25" t="str">
        <f>IF(
   AND(
      'Base stats'!AK14="Standard",_xlfn.XLOOKUP(_xlfn.XLOOKUP(B14,'Base stats'!B:B,'Base stats'!E:E),Groups!A:A,Groups!AU:AU)=0,
      OR(
      BN14="True"
      )
   ),
   10,
   IF(
       OR(BL14&lt;&gt;"No",_xlfn.XLOOKUP(_xlfn.XLOOKUP(B14,'Base stats'!B:B,'Base stats'!E:E),Groups!A:A,Groups!AU:AU)=1),
      1,
      "No"
   )
)</f>
        <v>No</v>
      </c>
      <c r="BQ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stats'!AS:AS) * 1.8) * 2) * 2.5 + 10 + I14 * 2,5)+IF(_xlfn.XLOOKUP(B14,'Base stats'!B:B,'Base stats'!AH:AH)=1,50,0)</f>
        <v>35</v>
      </c>
      <c r="BR14" s="8">
        <f t="shared" si="5"/>
        <v>0.25</v>
      </c>
      <c r="BS14" s="8" t="str">
        <f>_xlfn.XLOOKUP(B14,'Base stats'!B:B,'Base stats'!AD:AD)</f>
        <v>2~6</v>
      </c>
      <c r="BT14" s="2" t="str">
        <f>IF(AND(J14&lt;=0.95,OR(_xlfn.XLOOKUP(B14,'Base stats'!B:B,'Base stats'!AH:AH)=1,_xlfn.XLOOKUP(B14,'Base stats'!B:B,'Base stats'!Y:Y)="Carnivore",_xlfn.XLOOKUP(B14,'Base stats'!B:B,'Base stats'!Y:Y)="Omnivore",BD14&gt;0.1)),"true","false")</f>
        <v>true</v>
      </c>
      <c r="BU14" s="2" t="str">
        <f>IF(_xlfn.XLOOKUP(B14,'Base stats'!B:B,'Base stats'!AF:AF)=1,"true","false")</f>
        <v>false</v>
      </c>
      <c r="BV14" s="25" t="str">
        <f>IF(E14="BaseInsect","AnimalInsect",
IF(J14&gt;0.95,"AnimalExotic",
_xlfn.TEXTJOIN(", ",TRUE,
IF(OR(_xlfn.XLOOKUP(B14,'Base stats'!B:B,'Base stats'!AJ:AJ)=1,AND(_xlfn.XLOOKUP(B14,'Base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stats'!AH:AH)=1,AND(BH14&lt;&gt;"None",BQ14&gt;=60),ISNUMBER(SEARCH("Attack target",BO14))),"AnimalFighter","")
)))</f>
        <v>AnimalCommon, AnimalPet</v>
      </c>
      <c r="BW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),_xlfn.XLOOKUP(B14,B:B,BW:BW))</f>
        <v/>
      </c>
      <c r="BX14" s="25" t="str">
        <f>IF(_xlfn.XLOOKUP(B14,'Base stats'!B:B,'Base stats'!AG:AG)=1,"true","false")</f>
        <v>false</v>
      </c>
      <c r="BY14" s="25">
        <f>IF(_xlfn.XLOOKUP(B14,'Base stats'!B:B,'Base stats'!N:N)=1,"No",MAX(0.01,MIN(MROUND(IF(OR(_xlfn.XLOOKUP(B14,'Base stats'!B:B,'Base stats'!AJ:AJ)=1,AND(BI14="True",CB14="False")),POWER(10,3.47*LOG10(_xlfn.XLOOKUP(B14,'Base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stats'!AH:AH)=1),0.5,1)/100,0.025),1)))</f>
        <v>0.125</v>
      </c>
      <c r="BZ14" s="25" t="str">
        <f>IF(P14="Standard","No",MAX(0.01,IF(_xlfn.XLOOKUP(B14,'Base stats'!B:B,'Base stats'!N:N)=0,MROUND(BY14*P14,0.05),MIN(1,MAX(0.025,MROUND(IF(OR(CB14="true",AND(BI14="false",BN14="false")),POWER(10,4.15*LOG10(_xlfn.XLOOKUP(B14,'Base stats'!B:B,'Base stats'!C:C)*1000)^-0.73),POWER(10,3.47*LOG10(_xlfn.XLOOKUP(B14,'Base stats'!B:B,'Base stats'!C:C)*1000)^-0.96))*IF(_xlfn.XLOOKUP(B14,'Base stats'!B:B,'Base stats'!AH:AH)=1,0.5,1)/100,0.025))))))</f>
        <v>No</v>
      </c>
      <c r="CA14" s="25" t="str">
        <f>IF(_xlfn.XLOOKUP(_xlfn.XLOOKUP(B14,'Base stats'!B:B,'Base stats'!E:E),Groups!A:A,Groups!AJ:AJ)="Mammal","True","False")</f>
        <v>True</v>
      </c>
      <c r="CB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C14" s="25" t="str">
        <f t="shared" si="6"/>
        <v>False</v>
      </c>
      <c r="CD14" s="25" t="str">
        <f>IF(_xlfn.XLOOKUP(_xlfn.XLOOKUP(B14,'Base stats'!B:B,'Base stats'!E:E),Groups!A:A,Groups!AX:AX),"True","False")</f>
        <v>False</v>
      </c>
      <c r="CE14" s="25" t="str">
        <f>IF(_xlfn.XLOOKUP(_xlfn.XLOOKUP(B14,'Base stats'!B:B,'Base stats'!E:E),Groups!A:A,Groups!AY:AY),"True","False")</f>
        <v>False</v>
      </c>
      <c r="CF14" s="25" t="str">
        <f>IF(_xlfn.XLOOKUP(_xlfn.XLOOKUP(B14,'Base stats'!B:B,'Base stats'!E:E),Groups!A:A,Groups!AW:AW),"True","False")</f>
        <v>False</v>
      </c>
      <c r="CG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H14" s="25" t="str">
        <f>IF(_xlfn.XLOOKUP(_xlfn.XLOOKUP(B14,'Base stats'!B:B,'Base stats'!E:E),Groups!A:A,Groups!BB:BB),"True","False")</f>
        <v>True</v>
      </c>
      <c r="CI14" s="25" t="str">
        <f>IF(_xlfn.XLOOKUP(_xlfn.XLOOKUP(B14,'Base stats'!B:B,'Base stats'!E:E),Groups!A:A,Groups!BA:BA),"True","False")</f>
        <v>False</v>
      </c>
      <c r="CN14" s="16"/>
    </row>
    <row r="15" spans="1:92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stats'!AI:AI)=0,BH15="None",_xlfn.XLOOKUP(_xlfn.XLOOKUP(B15,'Base stats'!B:B,'Base stats'!E:E),Groups!A:A,Groups!B:B)=0), (18 + BQ15 * 2.7) * 0.5,
    IF(AND(_xlfn.XLOOKUP(B15,'Base stats'!B:B,'Base stats'!AI:AI)=0,OR(AO15&lt;0.55,AND(BH15="Intermediate",_xlfn.XLOOKUP(_xlfn.XLOOKUP(B15,'Base stats'!B:B,'Base stats'!E:E),Groups!A:A,Groups!B:B)&lt;2))), (18 + BQ15 * 2.7),
      IF(OR(BH15="Advanced",_xlfn.XLOOKUP(B15,'Base stats'!B:B,'Base stats'!AI:AI)=1,_xlfn.XLOOKUP(_xlfn.XLOOKUP(B15,'Base stats'!B:B,'Base stats'!E:E),Groups!A:A,Groups!B:B)=2), (18 + BQ15 * 2.7) + 250, (18 + BQ15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IF(_xlfn.XLOOKUP(B15,'Base stats'!B:B,'Base stats'!AI:AI)=1,0.99,MIN(MROUND((1-0.6282*EXP(-0.459*AO15))*_xlfn.XLOOKUP(_xlfn.XLOOKUP(B15,'Base stats'!B:B,'Base stats'!E:E),Groups!A:A,Groups!C:C)*IF(_xlfn.XLOOKUP(B15,'Base stats'!B:B,'Base stats'!O:O)=1,0.5,IF(_xlfn.XLOOKUP(B15,'Base stats'!B:B,'Base stats'!O:O)=2,0,1)),0.05),0.985))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W15)),ISNUMBER(SEARCH("IceSheet",BW15))),-50,IF(OR(ISNUMBER(SEARCH("GlacialPlain",BW15)),ISNUMBER(SEARCH("Tundra",BW15))),-40,IF(OR(ISNUMBER(SEARCH("Alpine",BW15)),ISNUMBER(SEARCH("BorealForest",BW15)),ISNUMBER(SEARCH("ColdBog",BW15))),-30,IF(OR(ISNUMBER(SEARCH("TemperateForest",BW15)),ISNUMBER(SEARCH("TemperateSwamp",BW15))),-20,IF(_xlfn.XLOOKUP(_xlfn.XLOOKUP(B15,'Base stats'!B:B,'Base stats'!E:E),Groups!A:A,Groups!F:F)=1,-15,IF(OR(ISNUMBER(SEARCH("Desert",BW15)),ISNUMBER(SEARCH("ExtremeDesert",BW15))),-10,IF(OR(ISNUMBER(SEARCH("Grasslands",BW15)),ISNUMBER(SEARCH("TropicalRainforest",BW15)),ISNUMBER(SEARCH("TropicalSwamp",BW15))),10,0)))))))-IF(CB15="False",MIN(IFERROR(MAX(MROUND(LOG10(_xlfn.XLOOKUP(B15,'Base stats'!B:B,'Base stats'!C:C)^(2/3))*10,5),5),5),30))-_xlfn.XLOOKUP(B15,'Base stats'!B:B,'Base stats'!P:P)+IF(CB15="True",5,0)</f>
        <v>-25</v>
      </c>
      <c r="M15" s="2">
        <f>IF(OR(_xlfn.XLOOKUP(_xlfn.XLOOKUP(B15,'Base stats'!B:B,'Base stats'!E:E),Groups!A:A,Groups!G:G)=2,ISNUMBER(SEARCH("Desert",BW15)),ISNUMBER(SEARCH("ExtremeDesert",BW15)),ISNUMBER(SEARCH("LavaField",BW15))),50,IF(ISNUMBER(SEARCH("Grasslands",BW15)),45,IF(OR(_xlfn.XLOOKUP(_xlfn.XLOOKUP(B15,'Base stats'!B:B,'Base stats'!E:E),Groups!A:A,Groups!G:G)=1,ISNUMBER(SEARCH("TropicalRainforest",BW15)),ISNUMBER(SEARCH("TropicalSwamp",BW15))),40,IF(OR(ISNUMBER(SEARCH("TemperateForest",BW15)),ISNUMBER(SEARCH("TemperateSwamp",BW15))),35,IF(OR(ISNUMBER(SEARCH("Alpine",BW15)),ISNUMBER(SEARCH("BorealForest",BW15)),ISNUMBER(SEARCH("ColdBog",BW15))),30,IF(ISNUMBER(OR(ISNUMBER(SEARCH("GlacialPlain",BW15)),SEARCH("Tundra",BW15))),25,IF(OR(ISNUMBER(SEARCH("SeaIce",BW15)),ISNUMBER(SEARCH("IceSheet",BW15)),ISNUMBER(SEARCH("TropicalSwamp",BW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stats'!AO:AO))*(AO15^0.5)+(_xlfn.XLOOKUP(B15,'Base stats'!B:B,'Base stats'!AO:AO)/1000)^(2/3)+_xlfn.XLOOKUP(B15,'Base stats'!B:B,'Base stats'!AX:AX)/2)+0.5,0.5)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stats'!AP:AP))*(AO15^0.5)+(_xlfn.XLOOKUP(B15,'Base stats'!B:B,'Base stats'!AP:AP)/1000)^(2/3)+_xlfn.XLOOKUP(B15,'Base stats'!B:B,'Base stats'!AX:AX))+_xlfn.XLOOKUP(B15,'Base stats'!B:B,'Base stats'!AV:AV)+0.5,0.5))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stats'!AR:AR))*(AO15^0.5)+(_xlfn.XLOOKUP(B15,'Base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stats'!AQ:AQ)="No","No",MROUND((LOG10(_xlfn.XLOOKUP(B15,'Base stats'!B:B,'Base stats'!AQ:AQ))*(AO15^0.75)+(_xlfn.XLOOKUP(B15,'Base stats'!B:B,'Base stats'!AQ:AQ)/1000)^(2/3)+_xlfn.XLOOKUP(B15,'Base stats'!B:B,'Base stats'!AU:AU)+_xlfn.XLOOKUP(B15,'Base stats'!B:B,'Base stats'!AX:AX))+0.5,0.5))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stats'!AP:AP))*(AO15^0.75)+(_xlfn.XLOOKUP(B15,'Base stats'!B:B,'Base stats'!AP:AP)/1000)^(2/3)+_xlfn.XLOOKUP(B15,'Base stats'!B:B,'Base stats'!AV:AV)+_xlfn.XLOOKUP(B15,'Base stats'!B:B,'Base stats'!AX:AX))+0.5,0.5))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MAX(0.01,MROUND(IF(CB15="True",0.196*(AO15*100*1000)^0.889,IF(_xlfn.XLOOKUP(_xlfn.XLOOKUP(B15,'Base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IF(OR(A15="Queen",A15="Larva"),"No",IFERROR(MAX(IF(_xlfn.XLOOKUP(B15,'Base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stats'!AE:AE)</f>
        <v>Leather_Dog</v>
      </c>
      <c r="BB15" s="23" t="str">
        <f>_xlfn.XLOOKUP(_xlfn.XLOOKUP(B15,'Base stats'!B:B,'Base stats'!E:E),Groups!A:A,Groups!AL:AL)</f>
        <v>QuadrupedAnimalWithPawsAndTail</v>
      </c>
      <c r="BC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D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E15" s="2">
        <f>IF(J15&gt;0.3,"No",_xlfn.XLOOKUP(_xlfn.XLOOKUP(Animals!B15,'Base stats'!B:B,'Base stats'!E:E),Groups!A:A,Groups!AP:AP))</f>
        <v>1</v>
      </c>
      <c r="BF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+ 24*(1-IF(BE15="No",0,BE15)) + 16/3, 12),"No")</f>
        <v>12</v>
      </c>
      <c r="BG15" s="2">
        <f>IF(AND(_xlfn.XLOOKUP(_xlfn.XLOOKUP(B15,'Base stats'!B:B,'Base stats'!E:E),Groups!A:A,Groups!AQ:AQ)=1,AO15&lt;=0.35),8,12)</f>
        <v>12</v>
      </c>
      <c r="BH15" s="2" t="str">
        <f>IF(_xlfn.XLOOKUP(_xlfn.XLOOKUP(B15,'Base stats'!B:B,'Base stats'!E:E),Groups!A:A,Groups!D:D)=0,_xlfn.XLOOKUP(_xlfn.XLOOKUP(B15,'Base stats'!B:B,'Base stats'!E:E),Groups!A:A,Groups!AR:AR),"None")</f>
        <v>Advanced</v>
      </c>
      <c r="BI15" s="2" t="str">
        <f>IF(AND(_xlfn.XLOOKUP(_xlfn.XLOOKUP(B15,'Base stats'!B:B,'Base stats'!E:E),Groups!A:A,Groups!AS:AS)=1,OR('Base stats'!Y15="Carnivore",'Base stats'!Y15="Omnivore")),"true","false")</f>
        <v>true</v>
      </c>
      <c r="BJ15" s="2">
        <f>IF(BI15="true",MROUND(IF(AND(AO15&gt;0.5,OR(_xlfn.XLOOKUP(_xlfn.XLOOKUP(B15,'Base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K15" s="2">
        <f t="shared" si="3"/>
        <v>1</v>
      </c>
      <c r="BL15" s="25" t="str">
        <f>IF(_xlfn.XLOOKUP(B15,'Base stats'!B:B,'Base stats'!AK:AK)="Standard","No",MROUND((_xlfn.XLOOKUP(B15,'Base stats'!B:B,'Base stats'!AK:AK)/3.6)/I15,0.1))</f>
        <v>No</v>
      </c>
      <c r="BM15" s="25" t="str">
        <f t="shared" si="4"/>
        <v>false</v>
      </c>
      <c r="BN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O15" s="25" t="str" cm="1">
        <f t="array" ref="BO15">IF(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 = "",
  "No",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
)</f>
        <v>AttackTarget, Forage, Comfort</v>
      </c>
      <c r="BP15" s="25" t="str">
        <f>IF(
   AND(
      'Base stats'!AK15="Standard",_xlfn.XLOOKUP(_xlfn.XLOOKUP(B15,'Base stats'!B:B,'Base stats'!E:E),Groups!A:A,Groups!AU:AU)=0,
      OR(
      BN15="True"
      )
   ),
   10,
   IF(
       OR(BL15&lt;&gt;"No",_xlfn.XLOOKUP(_xlfn.XLOOKUP(B15,'Base stats'!B:B,'Base stats'!E:E),Groups!A:A,Groups!AU:AU)=1),
      1,
      "No"
   )
)</f>
        <v>No</v>
      </c>
      <c r="BQ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stats'!AS:AS) * 1.8) * 2) * 2.5 + 10 + I15 * 2,5)+IF(_xlfn.XLOOKUP(B15,'Base stats'!B:B,'Base stats'!AH:AH)=1,50,0)</f>
        <v>80</v>
      </c>
      <c r="BR15" s="8">
        <f t="shared" si="5"/>
        <v>0.5</v>
      </c>
      <c r="BS15" s="8" t="str">
        <f>_xlfn.XLOOKUP(B15,'Base stats'!B:B,'Base stats'!AD:AD)</f>
        <v>2~6</v>
      </c>
      <c r="BT15" s="2" t="str">
        <f>IF(AND(J15&lt;=0.95,OR(_xlfn.XLOOKUP(B15,'Base stats'!B:B,'Base stats'!AH:AH)=1,_xlfn.XLOOKUP(B15,'Base stats'!B:B,'Base stats'!Y:Y)="Carnivore",_xlfn.XLOOKUP(B15,'Base stats'!B:B,'Base stats'!Y:Y)="Omnivore",BD15&gt;0.1)),"true","false")</f>
        <v>true</v>
      </c>
      <c r="BU15" s="2" t="str">
        <f>IF(_xlfn.XLOOKUP(B15,'Base stats'!B:B,'Base stats'!AF:AF)=1,"true","false")</f>
        <v>false</v>
      </c>
      <c r="BV15" s="25" t="str">
        <f>IF(E15="BaseInsect","AnimalInsect",
IF(J15&gt;0.95,"AnimalExotic",
_xlfn.TEXTJOIN(", ",TRUE,
IF(OR(_xlfn.XLOOKUP(B15,'Base stats'!B:B,'Base stats'!AJ:AJ)=1,AND(_xlfn.XLOOKUP(B15,'Base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stats'!AH:AH)=1,AND(BH15&lt;&gt;"None",BQ15&gt;=60),ISNUMBER(SEARCH("Attack target",BO15))),"AnimalFighter","")
)))</f>
        <v>AnimalCommon, AnimalPet, AnimalFighter</v>
      </c>
      <c r="BW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),_xlfn.XLOOKUP(B15,B:B,BW:BW))</f>
        <v/>
      </c>
      <c r="BX15" s="25" t="str">
        <f>IF(_xlfn.XLOOKUP(B15,'Base stats'!B:B,'Base stats'!AG:AG)=1,"true","false")</f>
        <v>false</v>
      </c>
      <c r="BY15" s="25">
        <f>IF(_xlfn.XLOOKUP(B15,'Base stats'!B:B,'Base stats'!N:N)=1,"No",MAX(0.01,MIN(MROUND(IF(OR(_xlfn.XLOOKUP(B15,'Base stats'!B:B,'Base stats'!AJ:AJ)=1,AND(BI15="True",CB15="False")),POWER(10,3.47*LOG10(_xlfn.XLOOKUP(B15,'Base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stats'!AH:AH)=1),0.5,1)/100,0.025),1)))</f>
        <v>7.5000000000000011E-2</v>
      </c>
      <c r="BZ15" s="25" t="str">
        <f>IF(P15="Standard","No",MAX(0.01,IF(_xlfn.XLOOKUP(B15,'Base stats'!B:B,'Base stats'!N:N)=0,MROUND(BY15*P15,0.05),MIN(1,MAX(0.025,MROUND(IF(OR(CB15="true",AND(BI15="false",BN15="false")),POWER(10,4.15*LOG10(_xlfn.XLOOKUP(B15,'Base stats'!B:B,'Base stats'!C:C)*1000)^-0.73),POWER(10,3.47*LOG10(_xlfn.XLOOKUP(B15,'Base stats'!B:B,'Base stats'!C:C)*1000)^-0.96))*IF(_xlfn.XLOOKUP(B15,'Base stats'!B:B,'Base stats'!AH:AH)=1,0.5,1)/100,0.025))))))</f>
        <v>No</v>
      </c>
      <c r="CA15" s="25" t="str">
        <f>IF(_xlfn.XLOOKUP(_xlfn.XLOOKUP(B15,'Base stats'!B:B,'Base stats'!E:E),Groups!A:A,Groups!AJ:AJ)="Mammal","True","False")</f>
        <v>True</v>
      </c>
      <c r="CB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C15" s="25" t="str">
        <f t="shared" si="6"/>
        <v>False</v>
      </c>
      <c r="CD15" s="25" t="str">
        <f>IF(_xlfn.XLOOKUP(_xlfn.XLOOKUP(B15,'Base stats'!B:B,'Base stats'!E:E),Groups!A:A,Groups!AX:AX),"True","False")</f>
        <v>False</v>
      </c>
      <c r="CE15" s="25" t="str">
        <f>IF(_xlfn.XLOOKUP(_xlfn.XLOOKUP(B15,'Base stats'!B:B,'Base stats'!E:E),Groups!A:A,Groups!AY:AY),"True","False")</f>
        <v>False</v>
      </c>
      <c r="CF15" s="25" t="str">
        <f>IF(_xlfn.XLOOKUP(_xlfn.XLOOKUP(B15,'Base stats'!B:B,'Base stats'!E:E),Groups!A:A,Groups!AW:AW),"True","False")</f>
        <v>False</v>
      </c>
      <c r="CG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H15" s="25" t="str">
        <f>IF(_xlfn.XLOOKUP(_xlfn.XLOOKUP(B15,'Base stats'!B:B,'Base stats'!E:E),Groups!A:A,Groups!BB:BB),"True","False")</f>
        <v>True</v>
      </c>
      <c r="CI15" s="25" t="str">
        <f>IF(_xlfn.XLOOKUP(_xlfn.XLOOKUP(B15,'Base stats'!B:B,'Base stats'!E:E),Groups!A:A,Groups!BA:BA),"True","False")</f>
        <v>False</v>
      </c>
      <c r="CN15" s="16"/>
    </row>
    <row r="16" spans="1:92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stats'!AI:AI)=0,BH16="None",_xlfn.XLOOKUP(_xlfn.XLOOKUP(B16,'Base stats'!B:B,'Base stats'!E:E),Groups!A:A,Groups!B:B)=0), (18 + BQ16 * 2.7) * 0.5,
    IF(AND(_xlfn.XLOOKUP(B16,'Base stats'!B:B,'Base stats'!AI:AI)=0,OR(AO16&lt;0.55,AND(BH16="Intermediate",_xlfn.XLOOKUP(_xlfn.XLOOKUP(B16,'Base stats'!B:B,'Base stats'!E:E),Groups!A:A,Groups!B:B)&lt;2))), (18 + BQ16 * 2.7),
      IF(OR(BH16="Advanced",_xlfn.XLOOKUP(B16,'Base stats'!B:B,'Base stats'!AI:AI)=1,_xlfn.XLOOKUP(_xlfn.XLOOKUP(B16,'Base stats'!B:B,'Base stats'!E:E),Groups!A:A,Groups!B:B)=2), (18 + BQ16 * 2.7) + 250, (18 + BQ16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IF(_xlfn.XLOOKUP(B16,'Base stats'!B:B,'Base stats'!AI:AI)=1,0.99,MIN(MROUND((1-0.6282*EXP(-0.459*AO16))*_xlfn.XLOOKUP(_xlfn.XLOOKUP(B16,'Base stats'!B:B,'Base stats'!E:E),Groups!A:A,Groups!C:C)*IF(_xlfn.XLOOKUP(B16,'Base stats'!B:B,'Base stats'!O:O)=1,0.5,IF(_xlfn.XLOOKUP(B16,'Base stats'!B:B,'Base stats'!O:O)=2,0,1)),0.05),0.985))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W16)),ISNUMBER(SEARCH("IceSheet",BW16))),-50,IF(OR(ISNUMBER(SEARCH("GlacialPlain",BW16)),ISNUMBER(SEARCH("Tundra",BW16))),-40,IF(OR(ISNUMBER(SEARCH("Alpine",BW16)),ISNUMBER(SEARCH("BorealForest",BW16)),ISNUMBER(SEARCH("ColdBog",BW16))),-30,IF(OR(ISNUMBER(SEARCH("TemperateForest",BW16)),ISNUMBER(SEARCH("TemperateSwamp",BW16))),-20,IF(_xlfn.XLOOKUP(_xlfn.XLOOKUP(B16,'Base stats'!B:B,'Base stats'!E:E),Groups!A:A,Groups!F:F)=1,-15,IF(OR(ISNUMBER(SEARCH("Desert",BW16)),ISNUMBER(SEARCH("ExtremeDesert",BW16))),-10,IF(OR(ISNUMBER(SEARCH("Grasslands",BW16)),ISNUMBER(SEARCH("TropicalRainforest",BW16)),ISNUMBER(SEARCH("TropicalSwamp",BW16))),10,0)))))))-IF(CB16="False",MIN(IFERROR(MAX(MROUND(LOG10(_xlfn.XLOOKUP(B16,'Base stats'!B:B,'Base stats'!C:C)^(2/3))*10,5),5),5),30))-_xlfn.XLOOKUP(B16,'Base stats'!B:B,'Base stats'!P:P)+IF(CB16="True",5,0)</f>
        <v>-45</v>
      </c>
      <c r="M16" s="2">
        <f>IF(OR(_xlfn.XLOOKUP(_xlfn.XLOOKUP(B16,'Base stats'!B:B,'Base stats'!E:E),Groups!A:A,Groups!G:G)=2,ISNUMBER(SEARCH("Desert",BW16)),ISNUMBER(SEARCH("ExtremeDesert",BW16)),ISNUMBER(SEARCH("LavaField",BW16))),50,IF(ISNUMBER(SEARCH("Grasslands",BW16)),45,IF(OR(_xlfn.XLOOKUP(_xlfn.XLOOKUP(B16,'Base stats'!B:B,'Base stats'!E:E),Groups!A:A,Groups!G:G)=1,ISNUMBER(SEARCH("TropicalRainforest",BW16)),ISNUMBER(SEARCH("TropicalSwamp",BW16))),40,IF(OR(ISNUMBER(SEARCH("TemperateForest",BW16)),ISNUMBER(SEARCH("TemperateSwamp",BW16))),35,IF(OR(ISNUMBER(SEARCH("Alpine",BW16)),ISNUMBER(SEARCH("BorealForest",BW16)),ISNUMBER(SEARCH("ColdBog",BW16))),30,IF(ISNUMBER(OR(ISNUMBER(SEARCH("GlacialPlain",BW16)),SEARCH("Tundra",BW16))),25,IF(OR(ISNUMBER(SEARCH("SeaIce",BW16)),ISNUMBER(SEARCH("IceSheet",BW16)),ISNUMBER(SEARCH("TropicalSwamp",BW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stats'!AO:AO))*(AO16^0.5)+(_xlfn.XLOOKUP(B16,'Base stats'!B:B,'Base stats'!AO:AO)/1000)^(2/3)+_xlfn.XLOOKUP(B16,'Base stats'!B:B,'Base stats'!AX:AX)/2)+0.5,0.5)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stats'!AP:AP))*(AO16^0.5)+(_xlfn.XLOOKUP(B16,'Base stats'!B:B,'Base stats'!AP:AP)/1000)^(2/3)+_xlfn.XLOOKUP(B16,'Base stats'!B:B,'Base stats'!AX:AX))+_xlfn.XLOOKUP(B16,'Base stats'!B:B,'Base stats'!AV:AV)+0.5,0.5))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stats'!AR:AR))*(AO16^0.5)+(_xlfn.XLOOKUP(B16,'Base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stats'!AQ:AQ)="No","No",MROUND((LOG10(_xlfn.XLOOKUP(B16,'Base stats'!B:B,'Base stats'!AQ:AQ))*(AO16^0.75)+(_xlfn.XLOOKUP(B16,'Base stats'!B:B,'Base stats'!AQ:AQ)/1000)^(2/3)+_xlfn.XLOOKUP(B16,'Base stats'!B:B,'Base stats'!AU:AU)+_xlfn.XLOOKUP(B16,'Base stats'!B:B,'Base stats'!AX:AX))+0.5,0.5))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stats'!AP:AP))*(AO16^0.75)+(_xlfn.XLOOKUP(B16,'Base stats'!B:B,'Base stats'!AP:AP)/1000)^(2/3)+_xlfn.XLOOKUP(B16,'Base stats'!B:B,'Base stats'!AV:AV)+_xlfn.XLOOKUP(B16,'Base stats'!B:B,'Base stats'!AX:AX))+0.5,0.5))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MAX(0.01,MROUND(IF(CB16="True",0.196*(AO16*100*1000)^0.889,IF(_xlfn.XLOOKUP(_xlfn.XLOOKUP(B16,'Base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IF(OR(A16="Queen",A16="Larva"),"No",IFERROR(MAX(IF(_xlfn.XLOOKUP(B16,'Base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stats'!AE:AE)</f>
        <v>Leather_Dog</v>
      </c>
      <c r="BB16" s="23" t="str">
        <f>_xlfn.XLOOKUP(_xlfn.XLOOKUP(B16,'Base stats'!B:B,'Base stats'!E:E),Groups!A:A,Groups!AL:AL)</f>
        <v>QuadrupedAnimalWithPawsAndTail</v>
      </c>
      <c r="BC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D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E16" s="2">
        <f>IF(J16&gt;0.3,"No",_xlfn.XLOOKUP(_xlfn.XLOOKUP(Animals!B16,'Base stats'!B:B,'Base stats'!E:E),Groups!A:A,Groups!AP:AP))</f>
        <v>1</v>
      </c>
      <c r="BF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+ 24*(1-IF(BE16="No",0,BE16)) + 16/3, 12),"No")</f>
        <v>12</v>
      </c>
      <c r="BG16" s="2">
        <f>IF(AND(_xlfn.XLOOKUP(_xlfn.XLOOKUP(B16,'Base stats'!B:B,'Base stats'!E:E),Groups!A:A,Groups!AQ:AQ)=1,AO16&lt;=0.35),8,12)</f>
        <v>12</v>
      </c>
      <c r="BH16" s="2" t="str">
        <f>IF(_xlfn.XLOOKUP(_xlfn.XLOOKUP(B16,'Base stats'!B:B,'Base stats'!E:E),Groups!A:A,Groups!D:D)=0,_xlfn.XLOOKUP(_xlfn.XLOOKUP(B16,'Base stats'!B:B,'Base stats'!E:E),Groups!A:A,Groups!AR:AR),"None")</f>
        <v>Advanced</v>
      </c>
      <c r="BI16" s="2" t="str">
        <f>IF(AND(_xlfn.XLOOKUP(_xlfn.XLOOKUP(B16,'Base stats'!B:B,'Base stats'!E:E),Groups!A:A,Groups!AS:AS)=1,OR('Base stats'!Y16="Carnivore",'Base stats'!Y16="Omnivore")),"true","false")</f>
        <v>true</v>
      </c>
      <c r="BJ16" s="2">
        <f>IF(BI16="true",MROUND(IF(AND(AO16&gt;0.5,OR(_xlfn.XLOOKUP(_xlfn.XLOOKUP(B16,'Base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K16" s="2">
        <f t="shared" si="3"/>
        <v>1</v>
      </c>
      <c r="BL16" s="25" t="str">
        <f>IF(_xlfn.XLOOKUP(B16,'Base stats'!B:B,'Base stats'!AK:AK)="Standard","No",MROUND((_xlfn.XLOOKUP(B16,'Base stats'!B:B,'Base stats'!AK:AK)/3.6)/I16,0.1))</f>
        <v>No</v>
      </c>
      <c r="BM16" s="25" t="str">
        <f t="shared" si="4"/>
        <v>false</v>
      </c>
      <c r="BN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O16" s="25" t="str" cm="1">
        <f t="array" ref="BO16">IF(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 = "",
  "No",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
)</f>
        <v>AttackTarget, Forage, Comfort</v>
      </c>
      <c r="BP16" s="25" t="str">
        <f>IF(
   AND(
      'Base stats'!AK16="Standard",_xlfn.XLOOKUP(_xlfn.XLOOKUP(B16,'Base stats'!B:B,'Base stats'!E:E),Groups!A:A,Groups!AU:AU)=0,
      OR(
      BN16="True"
      )
   ),
   10,
   IF(
       OR(BL16&lt;&gt;"No",_xlfn.XLOOKUP(_xlfn.XLOOKUP(B16,'Base stats'!B:B,'Base stats'!E:E),Groups!A:A,Groups!AU:AU)=1),
      1,
      "No"
   )
)</f>
        <v>No</v>
      </c>
      <c r="BQ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stats'!AS:AS) * 1.8) * 2) * 2.5 + 10 + I16 * 2,5)+IF(_xlfn.XLOOKUP(B16,'Base stats'!B:B,'Base stats'!AH:AH)=1,50,0)</f>
        <v>85</v>
      </c>
      <c r="BR16" s="8">
        <f t="shared" si="5"/>
        <v>0.55000000000000004</v>
      </c>
      <c r="BS16" s="8" t="str">
        <f>_xlfn.XLOOKUP(B16,'Base stats'!B:B,'Base stats'!AD:AD)</f>
        <v>2~6</v>
      </c>
      <c r="BT16" s="2" t="str">
        <f>IF(AND(J16&lt;=0.95,OR(_xlfn.XLOOKUP(B16,'Base stats'!B:B,'Base stats'!AH:AH)=1,_xlfn.XLOOKUP(B16,'Base stats'!B:B,'Base stats'!Y:Y)="Carnivore",_xlfn.XLOOKUP(B16,'Base stats'!B:B,'Base stats'!Y:Y)="Omnivore",BD16&gt;0.1)),"true","false")</f>
        <v>true</v>
      </c>
      <c r="BU16" s="2" t="str">
        <f>IF(_xlfn.XLOOKUP(B16,'Base stats'!B:B,'Base stats'!AF:AF)=1,"true","false")</f>
        <v>false</v>
      </c>
      <c r="BV16" s="25" t="str">
        <f>IF(E16="BaseInsect","AnimalInsect",
IF(J16&gt;0.95,"AnimalExotic",
_xlfn.TEXTJOIN(", ",TRUE,
IF(OR(_xlfn.XLOOKUP(B16,'Base stats'!B:B,'Base stats'!AJ:AJ)=1,AND(_xlfn.XLOOKUP(B16,'Base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stats'!AH:AH)=1,AND(BH16&lt;&gt;"None",BQ16&gt;=60),ISNUMBER(SEARCH("Attack target",BO16))),"AnimalFighter","")
)))</f>
        <v>AnimalCommon, AnimalPet, AnimalFighter</v>
      </c>
      <c r="BW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),_xlfn.XLOOKUP(B16,B:B,BW:BW))</f>
        <v/>
      </c>
      <c r="BX16" s="25" t="str">
        <f>IF(_xlfn.XLOOKUP(B16,'Base stats'!B:B,'Base stats'!AG:AG)=1,"true","false")</f>
        <v>false</v>
      </c>
      <c r="BY16" s="25">
        <f>IF(_xlfn.XLOOKUP(B16,'Base stats'!B:B,'Base stats'!N:N)=1,"No",MAX(0.01,MIN(MROUND(IF(OR(_xlfn.XLOOKUP(B16,'Base stats'!B:B,'Base stats'!AJ:AJ)=1,AND(BI16="True",CB16="False")),POWER(10,3.47*LOG10(_xlfn.XLOOKUP(B16,'Base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stats'!AH:AH)=1),0.5,1)/100,0.025),1)))</f>
        <v>7.5000000000000011E-2</v>
      </c>
      <c r="BZ16" s="25" t="str">
        <f>IF(P16="Standard","No",MAX(0.01,IF(_xlfn.XLOOKUP(B16,'Base stats'!B:B,'Base stats'!N:N)=0,MROUND(BY16*P16,0.05),MIN(1,MAX(0.025,MROUND(IF(OR(CB16="true",AND(BI16="false",BN16="false")),POWER(10,4.15*LOG10(_xlfn.XLOOKUP(B16,'Base stats'!B:B,'Base stats'!C:C)*1000)^-0.73),POWER(10,3.47*LOG10(_xlfn.XLOOKUP(B16,'Base stats'!B:B,'Base stats'!C:C)*1000)^-0.96))*IF(_xlfn.XLOOKUP(B16,'Base stats'!B:B,'Base stats'!AH:AH)=1,0.5,1)/100,0.025))))))</f>
        <v>No</v>
      </c>
      <c r="CA16" s="25" t="str">
        <f>IF(_xlfn.XLOOKUP(_xlfn.XLOOKUP(B16,'Base stats'!B:B,'Base stats'!E:E),Groups!A:A,Groups!AJ:AJ)="Mammal","True","False")</f>
        <v>True</v>
      </c>
      <c r="CB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C16" s="25" t="str">
        <f t="shared" si="6"/>
        <v>False</v>
      </c>
      <c r="CD16" s="25" t="str">
        <f>IF(_xlfn.XLOOKUP(_xlfn.XLOOKUP(B16,'Base stats'!B:B,'Base stats'!E:E),Groups!A:A,Groups!AX:AX),"True","False")</f>
        <v>False</v>
      </c>
      <c r="CE16" s="25" t="str">
        <f>IF(_xlfn.XLOOKUP(_xlfn.XLOOKUP(B16,'Base stats'!B:B,'Base stats'!E:E),Groups!A:A,Groups!AY:AY),"True","False")</f>
        <v>False</v>
      </c>
      <c r="CF16" s="25" t="str">
        <f>IF(_xlfn.XLOOKUP(_xlfn.XLOOKUP(B16,'Base stats'!B:B,'Base stats'!E:E),Groups!A:A,Groups!AW:AW),"True","False")</f>
        <v>False</v>
      </c>
      <c r="CG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H16" s="25" t="str">
        <f>IF(_xlfn.XLOOKUP(_xlfn.XLOOKUP(B16,'Base stats'!B:B,'Base stats'!E:E),Groups!A:A,Groups!BB:BB),"True","False")</f>
        <v>True</v>
      </c>
      <c r="CI16" s="25" t="str">
        <f>IF(_xlfn.XLOOKUP(_xlfn.XLOOKUP(B16,'Base stats'!B:B,'Base stats'!E:E),Groups!A:A,Groups!BA:BA),"True","False")</f>
        <v>False</v>
      </c>
      <c r="CN16" s="16"/>
    </row>
    <row r="17" spans="1:92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stats'!AI:AI)=0,BH17="None",_xlfn.XLOOKUP(_xlfn.XLOOKUP(B17,'Base stats'!B:B,'Base stats'!E:E),Groups!A:A,Groups!B:B)=0), (18 + BQ17 * 2.7) * 0.5,
    IF(AND(_xlfn.XLOOKUP(B17,'Base stats'!B:B,'Base stats'!AI:AI)=0,OR(AO17&lt;0.55,AND(BH17="Intermediate",_xlfn.XLOOKUP(_xlfn.XLOOKUP(B17,'Base stats'!B:B,'Base stats'!E:E),Groups!A:A,Groups!B:B)&lt;2))), (18 + BQ17 * 2.7),
      IF(OR(BH17="Advanced",_xlfn.XLOOKUP(B17,'Base stats'!B:B,'Base stats'!AI:AI)=1,_xlfn.XLOOKUP(_xlfn.XLOOKUP(B17,'Base stats'!B:B,'Base stats'!E:E),Groups!A:A,Groups!B:B)=2), (18 + BQ17 * 2.7) + 250, (18 + BQ17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IF(_xlfn.XLOOKUP(B17,'Base stats'!B:B,'Base stats'!AI:AI)=1,0.99,MIN(MROUND((1-0.6282*EXP(-0.459*AO17))*_xlfn.XLOOKUP(_xlfn.XLOOKUP(B17,'Base stats'!B:B,'Base stats'!E:E),Groups!A:A,Groups!C:C)*IF(_xlfn.XLOOKUP(B17,'Base stats'!B:B,'Base stats'!O:O)=1,0.5,IF(_xlfn.XLOOKUP(B17,'Base stats'!B:B,'Base stats'!O:O)=2,0,1)),0.05),0.985))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W17)),ISNUMBER(SEARCH("IceSheet",BW17))),-50,IF(OR(ISNUMBER(SEARCH("GlacialPlain",BW17)),ISNUMBER(SEARCH("Tundra",BW17))),-40,IF(OR(ISNUMBER(SEARCH("Alpine",BW17)),ISNUMBER(SEARCH("BorealForest",BW17)),ISNUMBER(SEARCH("ColdBog",BW17))),-30,IF(OR(ISNUMBER(SEARCH("TemperateForest",BW17)),ISNUMBER(SEARCH("TemperateSwamp",BW17))),-20,IF(_xlfn.XLOOKUP(_xlfn.XLOOKUP(B17,'Base stats'!B:B,'Base stats'!E:E),Groups!A:A,Groups!F:F)=1,-15,IF(OR(ISNUMBER(SEARCH("Desert",BW17)),ISNUMBER(SEARCH("ExtremeDesert",BW17))),-10,IF(OR(ISNUMBER(SEARCH("Grasslands",BW17)),ISNUMBER(SEARCH("TropicalRainforest",BW17)),ISNUMBER(SEARCH("TropicalSwamp",BW17))),10,0)))))))-IF(CB17="False",MIN(IFERROR(MAX(MROUND(LOG10(_xlfn.XLOOKUP(B17,'Base stats'!B:B,'Base stats'!C:C)^(2/3))*10,5),5),5),30))-_xlfn.XLOOKUP(B17,'Base stats'!B:B,'Base stats'!P:P)+IF(CB17="True",5,0)</f>
        <v>-50</v>
      </c>
      <c r="M17" s="2">
        <f>IF(OR(_xlfn.XLOOKUP(_xlfn.XLOOKUP(B17,'Base stats'!B:B,'Base stats'!E:E),Groups!A:A,Groups!G:G)=2,ISNUMBER(SEARCH("Desert",BW17)),ISNUMBER(SEARCH("ExtremeDesert",BW17)),ISNUMBER(SEARCH("LavaField",BW17))),50,IF(ISNUMBER(SEARCH("Grasslands",BW17)),45,IF(OR(_xlfn.XLOOKUP(_xlfn.XLOOKUP(B17,'Base stats'!B:B,'Base stats'!E:E),Groups!A:A,Groups!G:G)=1,ISNUMBER(SEARCH("TropicalRainforest",BW17)),ISNUMBER(SEARCH("TropicalSwamp",BW17))),40,IF(OR(ISNUMBER(SEARCH("TemperateForest",BW17)),ISNUMBER(SEARCH("TemperateSwamp",BW17))),35,IF(OR(ISNUMBER(SEARCH("Alpine",BW17)),ISNUMBER(SEARCH("BorealForest",BW17)),ISNUMBER(SEARCH("ColdBog",BW17))),30,IF(ISNUMBER(OR(ISNUMBER(SEARCH("GlacialPlain",BW17)),SEARCH("Tundra",BW17))),25,IF(OR(ISNUMBER(SEARCH("SeaIce",BW17)),ISNUMBER(SEARCH("IceSheet",BW17)),ISNUMBER(SEARCH("TropicalSwamp",BW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stats'!AO:AO))*(AO17^0.5)+(_xlfn.XLOOKUP(B17,'Base stats'!B:B,'Base stats'!AO:AO)/1000)^(2/3)+_xlfn.XLOOKUP(B17,'Base stats'!B:B,'Base stats'!AX:AX)/2)+0.5,0.5)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stats'!AP:AP))*(AO17^0.5)+(_xlfn.XLOOKUP(B17,'Base stats'!B:B,'Base stats'!AP:AP)/1000)^(2/3)+_xlfn.XLOOKUP(B17,'Base stats'!B:B,'Base stats'!AX:AX))+_xlfn.XLOOKUP(B17,'Base stats'!B:B,'Base stats'!AV:AV)+0.5,0.5))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stats'!AR:AR))*(AO17^0.5)+(_xlfn.XLOOKUP(B17,'Base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stats'!AQ:AQ)="No","No",MROUND((LOG10(_xlfn.XLOOKUP(B17,'Base stats'!B:B,'Base stats'!AQ:AQ))*(AO17^0.75)+(_xlfn.XLOOKUP(B17,'Base stats'!B:B,'Base stats'!AQ:AQ)/1000)^(2/3)+_xlfn.XLOOKUP(B17,'Base stats'!B:B,'Base stats'!AU:AU)+_xlfn.XLOOKUP(B17,'Base stats'!B:B,'Base stats'!AX:AX))+0.5,0.5))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stats'!AP:AP))*(AO17^0.75)+(_xlfn.XLOOKUP(B17,'Base stats'!B:B,'Base stats'!AP:AP)/1000)^(2/3)+_xlfn.XLOOKUP(B17,'Base stats'!B:B,'Base stats'!AV:AV)+_xlfn.XLOOKUP(B17,'Base stats'!B:B,'Base stats'!AX:AX))+0.5,0.5))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MAX(0.01,MROUND(IF(CB17="True",0.196*(AO17*100*1000)^0.889,IF(_xlfn.XLOOKUP(_xlfn.XLOOKUP(B17,'Base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IF(OR(A17="Queen",A17="Larva"),"No",IFERROR(MAX(IF(_xlfn.XLOOKUP(B17,'Base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stats'!AE:AE)</f>
        <v>Leather_Panthera</v>
      </c>
      <c r="BB17" s="23" t="str">
        <f>_xlfn.XLOOKUP(_xlfn.XLOOKUP(B17,'Base stats'!B:B,'Base stats'!E:E),Groups!A:A,Groups!AL:AL)</f>
        <v>QuadrupedAnimalWithPawsAndTail</v>
      </c>
      <c r="BC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D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E17" s="2" t="str">
        <f>IF(J17&gt;0.3,"No",_xlfn.XLOOKUP(_xlfn.XLOOKUP(Animals!B17,'Base stats'!B:B,'Base stats'!E:E),Groups!A:A,Groups!AP:AP))</f>
        <v>No</v>
      </c>
      <c r="BF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+ 24*(1-IF(BE17="No",0,BE17)) + 16/3, 12),"No")</f>
        <v>No</v>
      </c>
      <c r="BG17" s="2">
        <f>IF(AND(_xlfn.XLOOKUP(_xlfn.XLOOKUP(B17,'Base stats'!B:B,'Base stats'!E:E),Groups!A:A,Groups!AQ:AQ)=1,AO17&lt;=0.35),8,12)</f>
        <v>12</v>
      </c>
      <c r="BH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I17" s="2" t="str">
        <f>IF(AND(_xlfn.XLOOKUP(_xlfn.XLOOKUP(B17,'Base stats'!B:B,'Base stats'!E:E),Groups!A:A,Groups!AS:AS)=1,OR('Base stats'!Y17="Carnivore",'Base stats'!Y17="Omnivore")),"true","false")</f>
        <v>true</v>
      </c>
      <c r="BJ17" s="2">
        <f>IF(BI17="true",MROUND(IF(AND(AO17&gt;0.5,OR(_xlfn.XLOOKUP(_xlfn.XLOOKUP(B17,'Base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K17" s="2">
        <f t="shared" si="3"/>
        <v>1</v>
      </c>
      <c r="BL17" s="25" t="str">
        <f>IF(_xlfn.XLOOKUP(B17,'Base stats'!B:B,'Base stats'!AK:AK)="Standard","No",MROUND((_xlfn.XLOOKUP(B17,'Base stats'!B:B,'Base stats'!AK:AK)/3.6)/I17,0.1))</f>
        <v>No</v>
      </c>
      <c r="BM17" s="25" t="str">
        <f t="shared" si="4"/>
        <v>false</v>
      </c>
      <c r="BN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O17" s="25" t="str" cm="1">
        <f t="array" ref="BO17">IF(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 = "",
  "No",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
)</f>
        <v>AttackTarget</v>
      </c>
      <c r="BP17" s="25" t="str">
        <f>IF(
   AND(
      'Base stats'!AK17="Standard",_xlfn.XLOOKUP(_xlfn.XLOOKUP(B17,'Base stats'!B:B,'Base stats'!E:E),Groups!A:A,Groups!AU:AU)=0,
      OR(
      BN17="True"
      )
   ),
   10,
   IF(
       OR(BL17&lt;&gt;"No",_xlfn.XLOOKUP(_xlfn.XLOOKUP(B17,'Base stats'!B:B,'Base stats'!E:E),Groups!A:A,Groups!AU:AU)=1),
      1,
      "No"
   )
)</f>
        <v>No</v>
      </c>
      <c r="BQ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stats'!AS:AS) * 1.8) * 2) * 2.5 + 10 + I17 * 2,5)+IF(_xlfn.XLOOKUP(B17,'Base stats'!B:B,'Base stats'!AH:AH)=1,50,0)</f>
        <v>120</v>
      </c>
      <c r="BR17" s="8">
        <f t="shared" si="5"/>
        <v>0.65</v>
      </c>
      <c r="BS17" s="8" t="str">
        <f>_xlfn.XLOOKUP(B17,'Base stats'!B:B,'Base stats'!AD:AD)</f>
        <v>No</v>
      </c>
      <c r="BT17" s="2" t="str">
        <f>IF(AND(J17&lt;=0.95,OR(_xlfn.XLOOKUP(B17,'Base stats'!B:B,'Base stats'!AH:AH)=1,_xlfn.XLOOKUP(B17,'Base stats'!B:B,'Base stats'!Y:Y)="Carnivore",_xlfn.XLOOKUP(B17,'Base stats'!B:B,'Base stats'!Y:Y)="Omnivore",BD17&gt;0.1)),"true","false")</f>
        <v>true</v>
      </c>
      <c r="BU17" s="2" t="str">
        <f>IF(_xlfn.XLOOKUP(B17,'Base stats'!B:B,'Base stats'!AF:AF)=1,"true","false")</f>
        <v>false</v>
      </c>
      <c r="BV17" s="25" t="str">
        <f>IF(E17="BaseInsect","AnimalInsect",
IF(J17&gt;0.95,"AnimalExotic",
_xlfn.TEXTJOIN(", ",TRUE,
IF(OR(_xlfn.XLOOKUP(B17,'Base stats'!B:B,'Base stats'!AJ:AJ)=1,AND(_xlfn.XLOOKUP(B17,'Base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stats'!AH:AH)=1,AND(BH17&lt;&gt;"None",BQ17&gt;=60),ISNUMBER(SEARCH("Attack target",BO17))),"AnimalFighter","")
)))</f>
        <v>AnimalUncommon, AnimalFighter</v>
      </c>
      <c r="BW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),_xlfn.XLOOKUP(B17,B:B,BW:BW))</f>
        <v>BorealForest ColdBog TemperateForest TemperateSwamp AridShrubland Desert LavaField GlacialPlain</v>
      </c>
      <c r="BX17" s="25" t="str">
        <f>IF(_xlfn.XLOOKUP(B17,'Base stats'!B:B,'Base stats'!AG:AG)=1,"true","false")</f>
        <v>false</v>
      </c>
      <c r="BY17" s="25">
        <f>IF(_xlfn.XLOOKUP(B17,'Base stats'!B:B,'Base stats'!N:N)=1,"No",MAX(0.01,MIN(MROUND(IF(OR(_xlfn.XLOOKUP(B17,'Base stats'!B:B,'Base stats'!AJ:AJ)=1,AND(BI17="True",CB17="False")),POWER(10,3.47*LOG10(_xlfn.XLOOKUP(B17,'Base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stats'!AH:AH)=1),0.5,1)/100,0.025),1)))</f>
        <v>0.05</v>
      </c>
      <c r="BZ17" s="25" t="str">
        <f>IF(P17="Standard","No",MAX(0.01,IF(_xlfn.XLOOKUP(B17,'Base stats'!B:B,'Base stats'!N:N)=0,MROUND(BY17*P17,0.05),MIN(1,MAX(0.025,MROUND(IF(OR(CB17="true",AND(BI17="false",BN17="false")),POWER(10,4.15*LOG10(_xlfn.XLOOKUP(B17,'Base stats'!B:B,'Base stats'!C:C)*1000)^-0.73),POWER(10,3.47*LOG10(_xlfn.XLOOKUP(B17,'Base stats'!B:B,'Base stats'!C:C)*1000)^-0.96))*IF(_xlfn.XLOOKUP(B17,'Base stats'!B:B,'Base stats'!AH:AH)=1,0.5,1)/100,0.025))))))</f>
        <v>No</v>
      </c>
      <c r="CA17" s="25" t="str">
        <f>IF(_xlfn.XLOOKUP(_xlfn.XLOOKUP(B17,'Base stats'!B:B,'Base stats'!E:E),Groups!A:A,Groups!AJ:AJ)="Mammal","True","False")</f>
        <v>True</v>
      </c>
      <c r="CB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C17" s="25" t="str">
        <f t="shared" si="6"/>
        <v>False</v>
      </c>
      <c r="CD17" s="25" t="str">
        <f>IF(_xlfn.XLOOKUP(_xlfn.XLOOKUP(B17,'Base stats'!B:B,'Base stats'!E:E),Groups!A:A,Groups!AX:AX),"True","False")</f>
        <v>False</v>
      </c>
      <c r="CE17" s="25" t="str">
        <f>IF(_xlfn.XLOOKUP(_xlfn.XLOOKUP(B17,'Base stats'!B:B,'Base stats'!E:E),Groups!A:A,Groups!AY:AY),"True","False")</f>
        <v>False</v>
      </c>
      <c r="CF17" s="25" t="str">
        <f>IF(_xlfn.XLOOKUP(_xlfn.XLOOKUP(B17,'Base stats'!B:B,'Base stats'!E:E),Groups!A:A,Groups!AW:AW),"True","False")</f>
        <v>False</v>
      </c>
      <c r="CG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H17" s="25" t="str">
        <f>IF(_xlfn.XLOOKUP(_xlfn.XLOOKUP(B17,'Base stats'!B:B,'Base stats'!E:E),Groups!A:A,Groups!BB:BB),"True","False")</f>
        <v>True</v>
      </c>
      <c r="CI17" s="25" t="str">
        <f>IF(_xlfn.XLOOKUP(_xlfn.XLOOKUP(B17,'Base stats'!B:B,'Base stats'!E:E),Groups!A:A,Groups!BA:BA),"True","False")</f>
        <v>False</v>
      </c>
      <c r="CN17" s="16"/>
    </row>
    <row r="18" spans="1:92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stats'!AI:AI)=0,BH18="None",_xlfn.XLOOKUP(_xlfn.XLOOKUP(B18,'Base stats'!B:B,'Base stats'!E:E),Groups!A:A,Groups!B:B)=0), (18 + BQ18 * 2.7) * 0.5,
    IF(AND(_xlfn.XLOOKUP(B18,'Base stats'!B:B,'Base stats'!AI:AI)=0,OR(AO18&lt;0.55,AND(BH18="Intermediate",_xlfn.XLOOKUP(_xlfn.XLOOKUP(B18,'Base stats'!B:B,'Base stats'!E:E),Groups!A:A,Groups!B:B)&lt;2))), (18 + BQ18 * 2.7),
      IF(OR(BH18="Advanced",_xlfn.XLOOKUP(B18,'Base stats'!B:B,'Base stats'!AI:AI)=1,_xlfn.XLOOKUP(_xlfn.XLOOKUP(B18,'Base stats'!B:B,'Base stats'!E:E),Groups!A:A,Groups!B:B)=2), (18 + BQ18 * 2.7) + 250, (18 + BQ18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IF(_xlfn.XLOOKUP(B18,'Base stats'!B:B,'Base stats'!AI:AI)=1,0.99,MIN(MROUND((1-0.6282*EXP(-0.459*AO18))*_xlfn.XLOOKUP(_xlfn.XLOOKUP(B18,'Base stats'!B:B,'Base stats'!E:E),Groups!A:A,Groups!C:C)*IF(_xlfn.XLOOKUP(B18,'Base stats'!B:B,'Base stats'!O:O)=1,0.5,IF(_xlfn.XLOOKUP(B18,'Base stats'!B:B,'Base stats'!O:O)=2,0,1)),0.05),0.985))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W18)),ISNUMBER(SEARCH("IceSheet",BW18))),-50,IF(OR(ISNUMBER(SEARCH("GlacialPlain",BW18)),ISNUMBER(SEARCH("Tundra",BW18))),-40,IF(OR(ISNUMBER(SEARCH("Alpine",BW18)),ISNUMBER(SEARCH("BorealForest",BW18)),ISNUMBER(SEARCH("ColdBog",BW18))),-30,IF(OR(ISNUMBER(SEARCH("TemperateForest",BW18)),ISNUMBER(SEARCH("TemperateSwamp",BW18))),-20,IF(_xlfn.XLOOKUP(_xlfn.XLOOKUP(B18,'Base stats'!B:B,'Base stats'!E:E),Groups!A:A,Groups!F:F)=1,-15,IF(OR(ISNUMBER(SEARCH("Desert",BW18)),ISNUMBER(SEARCH("ExtremeDesert",BW18))),-10,IF(OR(ISNUMBER(SEARCH("Grasslands",BW18)),ISNUMBER(SEARCH("TropicalRainforest",BW18)),ISNUMBER(SEARCH("TropicalSwamp",BW18))),10,0)))))))-IF(CB18="False",MIN(IFERROR(MAX(MROUND(LOG10(_xlfn.XLOOKUP(B18,'Base stats'!B:B,'Base stats'!C:C)^(2/3))*10,5),5),5),30))-_xlfn.XLOOKUP(B18,'Base stats'!B:B,'Base stats'!P:P)+IF(CB18="True",5,0)</f>
        <v>-25</v>
      </c>
      <c r="M18" s="2">
        <f>IF(OR(_xlfn.XLOOKUP(_xlfn.XLOOKUP(B18,'Base stats'!B:B,'Base stats'!E:E),Groups!A:A,Groups!G:G)=2,ISNUMBER(SEARCH("Desert",BW18)),ISNUMBER(SEARCH("ExtremeDesert",BW18)),ISNUMBER(SEARCH("LavaField",BW18))),50,IF(ISNUMBER(SEARCH("Grasslands",BW18)),45,IF(OR(_xlfn.XLOOKUP(_xlfn.XLOOKUP(B18,'Base stats'!B:B,'Base stats'!E:E),Groups!A:A,Groups!G:G)=1,ISNUMBER(SEARCH("TropicalRainforest",BW18)),ISNUMBER(SEARCH("TropicalSwamp",BW18))),40,IF(OR(ISNUMBER(SEARCH("TemperateForest",BW18)),ISNUMBER(SEARCH("TemperateSwamp",BW18))),35,IF(OR(ISNUMBER(SEARCH("Alpine",BW18)),ISNUMBER(SEARCH("BorealForest",BW18)),ISNUMBER(SEARCH("ColdBog",BW18))),30,IF(ISNUMBER(OR(ISNUMBER(SEARCH("GlacialPlain",BW18)),SEARCH("Tundra",BW18))),25,IF(OR(ISNUMBER(SEARCH("SeaIce",BW18)),ISNUMBER(SEARCH("IceSheet",BW18)),ISNUMBER(SEARCH("TropicalSwamp",BW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stats'!AO:AO))*(AO18^0.5)+(_xlfn.XLOOKUP(B18,'Base stats'!B:B,'Base stats'!AO:AO)/1000)^(2/3)+_xlfn.XLOOKUP(B18,'Base stats'!B:B,'Base stats'!AX:AX)/2)+0.5,0.5)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stats'!AP:AP))*(AO18^0.5)+(_xlfn.XLOOKUP(B18,'Base stats'!B:B,'Base stats'!AP:AP)/1000)^(2/3)+_xlfn.XLOOKUP(B18,'Base stats'!B:B,'Base stats'!AX:AX))+_xlfn.XLOOKUP(B18,'Base stats'!B:B,'Base stats'!AV:AV)+0.5,0.5))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stats'!AR:AR))*(AO18^0.5)+(_xlfn.XLOOKUP(B18,'Base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stats'!AQ:AQ)="No","No",MROUND((LOG10(_xlfn.XLOOKUP(B18,'Base stats'!B:B,'Base stats'!AQ:AQ))*(AO18^0.75)+(_xlfn.XLOOKUP(B18,'Base stats'!B:B,'Base stats'!AQ:AQ)/1000)^(2/3)+_xlfn.XLOOKUP(B18,'Base stats'!B:B,'Base stats'!AU:AU)+_xlfn.XLOOKUP(B18,'Base stats'!B:B,'Base stats'!AX:AX))+0.5,0.5))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stats'!AP:AP))*(AO18^0.75)+(_xlfn.XLOOKUP(B18,'Base stats'!B:B,'Base stats'!AP:AP)/1000)^(2/3)+_xlfn.XLOOKUP(B18,'Base stats'!B:B,'Base stats'!AV:AV)+_xlfn.XLOOKUP(B18,'Base stats'!B:B,'Base stats'!AX:AX))+0.5,0.5))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MAX(0.01,MROUND(IF(CB18="True",0.196*(AO18*100*1000)^0.889,IF(_xlfn.XLOOKUP(_xlfn.XLOOKUP(B18,'Base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IF(OR(A18="Queen",A18="Larva"),"No",IFERROR(MAX(IF(_xlfn.XLOOKUP(B18,'Base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stats'!AE:AE)</f>
        <v>Leather_Panthera</v>
      </c>
      <c r="BB18" s="23" t="str">
        <f>_xlfn.XLOOKUP(_xlfn.XLOOKUP(B18,'Base stats'!B:B,'Base stats'!E:E),Groups!A:A,Groups!AL:AL)</f>
        <v>QuadrupedAnimalWithPawsAndTail</v>
      </c>
      <c r="BC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D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E18" s="2" t="str">
        <f>IF(J18&gt;0.3,"No",_xlfn.XLOOKUP(_xlfn.XLOOKUP(Animals!B18,'Base stats'!B:B,'Base stats'!E:E),Groups!A:A,Groups!AP:AP))</f>
        <v>No</v>
      </c>
      <c r="BF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+ 24*(1-IF(BE18="No",0,BE18)) + 16/3, 12),"No")</f>
        <v>No</v>
      </c>
      <c r="BG18" s="2">
        <f>IF(AND(_xlfn.XLOOKUP(_xlfn.XLOOKUP(B18,'Base stats'!B:B,'Base stats'!E:E),Groups!A:A,Groups!AQ:AQ)=1,AO18&lt;=0.35),8,12)</f>
        <v>12</v>
      </c>
      <c r="BH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I18" s="2" t="str">
        <f>IF(AND(_xlfn.XLOOKUP(_xlfn.XLOOKUP(B18,'Base stats'!B:B,'Base stats'!E:E),Groups!A:A,Groups!AS:AS)=1,OR('Base stats'!Y18="Carnivore",'Base stats'!Y18="Omnivore")),"true","false")</f>
        <v>true</v>
      </c>
      <c r="BJ18" s="2">
        <f>IF(BI18="true",MROUND(IF(AND(AO18&gt;0.5,OR(_xlfn.XLOOKUP(_xlfn.XLOOKUP(B18,'Base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K18" s="2">
        <f t="shared" si="3"/>
        <v>1</v>
      </c>
      <c r="BL18" s="25" t="str">
        <f>IF(_xlfn.XLOOKUP(B18,'Base stats'!B:B,'Base stats'!AK:AK)="Standard","No",MROUND((_xlfn.XLOOKUP(B18,'Base stats'!B:B,'Base stats'!AK:AK)/3.6)/I18,0.1))</f>
        <v>No</v>
      </c>
      <c r="BM18" s="25" t="str">
        <f t="shared" si="4"/>
        <v>false</v>
      </c>
      <c r="BN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O18" s="25" t="str" cm="1">
        <f t="array" ref="BO18">IF(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 = "",
  "No",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
)</f>
        <v>AttackTarget</v>
      </c>
      <c r="BP18" s="25" t="str">
        <f>IF(
   AND(
      'Base stats'!AK18="Standard",_xlfn.XLOOKUP(_xlfn.XLOOKUP(B18,'Base stats'!B:B,'Base stats'!E:E),Groups!A:A,Groups!AU:AU)=0,
      OR(
      BN18="True"
      )
   ),
   10,
   IF(
       OR(BL18&lt;&gt;"No",_xlfn.XLOOKUP(_xlfn.XLOOKUP(B18,'Base stats'!B:B,'Base stats'!E:E),Groups!A:A,Groups!AU:AU)=1),
      1,
      "No"
   )
)</f>
        <v>No</v>
      </c>
      <c r="BQ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stats'!AS:AS) * 1.8) * 2) * 2.5 + 10 + I18 * 2,5)+IF(_xlfn.XLOOKUP(B18,'Base stats'!B:B,'Base stats'!AH:AH)=1,50,0)</f>
        <v>115</v>
      </c>
      <c r="BR18" s="8">
        <f t="shared" si="5"/>
        <v>0.60000000000000009</v>
      </c>
      <c r="BS18" s="8" t="str">
        <f>_xlfn.XLOOKUP(B18,'Base stats'!B:B,'Base stats'!AD:AD)</f>
        <v>No</v>
      </c>
      <c r="BT18" s="2" t="str">
        <f>IF(AND(J18&lt;=0.95,OR(_xlfn.XLOOKUP(B18,'Base stats'!B:B,'Base stats'!AH:AH)=1,_xlfn.XLOOKUP(B18,'Base stats'!B:B,'Base stats'!Y:Y)="Carnivore",_xlfn.XLOOKUP(B18,'Base stats'!B:B,'Base stats'!Y:Y)="Omnivore",BD18&gt;0.1)),"true","false")</f>
        <v>true</v>
      </c>
      <c r="BU18" s="2" t="str">
        <f>IF(_xlfn.XLOOKUP(B18,'Base stats'!B:B,'Base stats'!AF:AF)=1,"true","false")</f>
        <v>false</v>
      </c>
      <c r="BV18" s="25" t="str">
        <f>IF(E18="BaseInsect","AnimalInsect",
IF(J18&gt;0.95,"AnimalExotic",
_xlfn.TEXTJOIN(", ",TRUE,
IF(OR(_xlfn.XLOOKUP(B18,'Base stats'!B:B,'Base stats'!AJ:AJ)=1,AND(_xlfn.XLOOKUP(B18,'Base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stats'!AH:AH)=1,AND(BH18&lt;&gt;"None",BQ18&gt;=60),ISNUMBER(SEARCH("Attack target",BO18))),"AnimalFighter","")
)))</f>
        <v>AnimalUncommon, AnimalFighter</v>
      </c>
      <c r="BW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),_xlfn.XLOOKUP(B18,B:B,BW:BW))</f>
        <v>TropicalRainforest TropicalSwamp Glowforest</v>
      </c>
      <c r="BX18" s="25" t="str">
        <f>IF(_xlfn.XLOOKUP(B18,'Base stats'!B:B,'Base stats'!AG:AG)=1,"true","false")</f>
        <v>false</v>
      </c>
      <c r="BY18" s="25">
        <f>IF(_xlfn.XLOOKUP(B18,'Base stats'!B:B,'Base stats'!N:N)=1,"No",MAX(0.01,MIN(MROUND(IF(OR(_xlfn.XLOOKUP(B18,'Base stats'!B:B,'Base stats'!AJ:AJ)=1,AND(BI18="True",CB18="False")),POWER(10,3.47*LOG10(_xlfn.XLOOKUP(B18,'Base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stats'!AH:AH)=1),0.5,1)/100,0.025),1)))</f>
        <v>0.05</v>
      </c>
      <c r="BZ18" s="25" t="str">
        <f>IF(P18="Standard","No",MAX(0.01,IF(_xlfn.XLOOKUP(B18,'Base stats'!B:B,'Base stats'!N:N)=0,MROUND(BY18*P18,0.05),MIN(1,MAX(0.025,MROUND(IF(OR(CB18="true",AND(BI18="false",BN18="false")),POWER(10,4.15*LOG10(_xlfn.XLOOKUP(B18,'Base stats'!B:B,'Base stats'!C:C)*1000)^-0.73),POWER(10,3.47*LOG10(_xlfn.XLOOKUP(B18,'Base stats'!B:B,'Base stats'!C:C)*1000)^-0.96))*IF(_xlfn.XLOOKUP(B18,'Base stats'!B:B,'Base stats'!AH:AH)=1,0.5,1)/100,0.025))))))</f>
        <v>No</v>
      </c>
      <c r="CA18" s="25" t="str">
        <f>IF(_xlfn.XLOOKUP(_xlfn.XLOOKUP(B18,'Base stats'!B:B,'Base stats'!E:E),Groups!A:A,Groups!AJ:AJ)="Mammal","True","False")</f>
        <v>True</v>
      </c>
      <c r="CB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C18" s="25" t="str">
        <f t="shared" si="6"/>
        <v>False</v>
      </c>
      <c r="CD18" s="25" t="str">
        <f>IF(_xlfn.XLOOKUP(_xlfn.XLOOKUP(B18,'Base stats'!B:B,'Base stats'!E:E),Groups!A:A,Groups!AX:AX),"True","False")</f>
        <v>False</v>
      </c>
      <c r="CE18" s="25" t="str">
        <f>IF(_xlfn.XLOOKUP(_xlfn.XLOOKUP(B18,'Base stats'!B:B,'Base stats'!E:E),Groups!A:A,Groups!AY:AY),"True","False")</f>
        <v>False</v>
      </c>
      <c r="CF18" s="25" t="str">
        <f>IF(_xlfn.XLOOKUP(_xlfn.XLOOKUP(B18,'Base stats'!B:B,'Base stats'!E:E),Groups!A:A,Groups!AW:AW),"True","False")</f>
        <v>False</v>
      </c>
      <c r="CG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H18" s="25" t="str">
        <f>IF(_xlfn.XLOOKUP(_xlfn.XLOOKUP(B18,'Base stats'!B:B,'Base stats'!E:E),Groups!A:A,Groups!BB:BB),"True","False")</f>
        <v>True</v>
      </c>
      <c r="CI18" s="25" t="str">
        <f>IF(_xlfn.XLOOKUP(_xlfn.XLOOKUP(B18,'Base stats'!B:B,'Base stats'!E:E),Groups!A:A,Groups!BA:BA),"True","False")</f>
        <v>False</v>
      </c>
      <c r="CN18" s="16"/>
    </row>
    <row r="19" spans="1:92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stats'!AI:AI)=0,BH19="None",_xlfn.XLOOKUP(_xlfn.XLOOKUP(B19,'Base stats'!B:B,'Base stats'!E:E),Groups!A:A,Groups!B:B)=0), (18 + BQ19 * 2.7) * 0.5,
    IF(AND(_xlfn.XLOOKUP(B19,'Base stats'!B:B,'Base stats'!AI:AI)=0,OR(AO19&lt;0.55,AND(BH19="Intermediate",_xlfn.XLOOKUP(_xlfn.XLOOKUP(B19,'Base stats'!B:B,'Base stats'!E:E),Groups!A:A,Groups!B:B)&lt;2))), (18 + BQ19 * 2.7),
      IF(OR(BH19="Advanced",_xlfn.XLOOKUP(B19,'Base stats'!B:B,'Base stats'!AI:AI)=1,_xlfn.XLOOKUP(_xlfn.XLOOKUP(B19,'Base stats'!B:B,'Base stats'!E:E),Groups!A:A,Groups!B:B)=2), (18 + BQ19 * 2.7) + 250, (18 + BQ19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IF(_xlfn.XLOOKUP(B19,'Base stats'!B:B,'Base stats'!AI:AI)=1,0.99,MIN(MROUND((1-0.6282*EXP(-0.459*AO19))*_xlfn.XLOOKUP(_xlfn.XLOOKUP(B19,'Base stats'!B:B,'Base stats'!E:E),Groups!A:A,Groups!C:C)*IF(_xlfn.XLOOKUP(B19,'Base stats'!B:B,'Base stats'!O:O)=1,0.5,IF(_xlfn.XLOOKUP(B19,'Base stats'!B:B,'Base stats'!O:O)=2,0,1)),0.05),0.985))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W19)),ISNUMBER(SEARCH("IceSheet",BW19))),-50,IF(OR(ISNUMBER(SEARCH("GlacialPlain",BW19)),ISNUMBER(SEARCH("Tundra",BW19))),-40,IF(OR(ISNUMBER(SEARCH("Alpine",BW19)),ISNUMBER(SEARCH("BorealForest",BW19)),ISNUMBER(SEARCH("ColdBog",BW19))),-30,IF(OR(ISNUMBER(SEARCH("TemperateForest",BW19)),ISNUMBER(SEARCH("TemperateSwamp",BW19))),-20,IF(_xlfn.XLOOKUP(_xlfn.XLOOKUP(B19,'Base stats'!B:B,'Base stats'!E:E),Groups!A:A,Groups!F:F)=1,-15,IF(OR(ISNUMBER(SEARCH("Desert",BW19)),ISNUMBER(SEARCH("ExtremeDesert",BW19))),-10,IF(OR(ISNUMBER(SEARCH("Grasslands",BW19)),ISNUMBER(SEARCH("TropicalRainforest",BW19)),ISNUMBER(SEARCH("TropicalSwamp",BW19))),10,0)))))))-IF(CB19="False",MIN(IFERROR(MAX(MROUND(LOG10(_xlfn.XLOOKUP(B19,'Base stats'!B:B,'Base stats'!C:C)^(2/3))*10,5),5),5),30))-_xlfn.XLOOKUP(B19,'Base stats'!B:B,'Base stats'!P:P)+IF(CB19="True",5,0)</f>
        <v>-50</v>
      </c>
      <c r="M19" s="2">
        <f>IF(OR(_xlfn.XLOOKUP(_xlfn.XLOOKUP(B19,'Base stats'!B:B,'Base stats'!E:E),Groups!A:A,Groups!G:G)=2,ISNUMBER(SEARCH("Desert",BW19)),ISNUMBER(SEARCH("ExtremeDesert",BW19)),ISNUMBER(SEARCH("LavaField",BW19))),50,IF(ISNUMBER(SEARCH("Grasslands",BW19)),45,IF(OR(_xlfn.XLOOKUP(_xlfn.XLOOKUP(B19,'Base stats'!B:B,'Base stats'!E:E),Groups!A:A,Groups!G:G)=1,ISNUMBER(SEARCH("TropicalRainforest",BW19)),ISNUMBER(SEARCH("TropicalSwamp",BW19))),40,IF(OR(ISNUMBER(SEARCH("TemperateForest",BW19)),ISNUMBER(SEARCH("TemperateSwamp",BW19))),35,IF(OR(ISNUMBER(SEARCH("Alpine",BW19)),ISNUMBER(SEARCH("BorealForest",BW19)),ISNUMBER(SEARCH("ColdBog",BW19))),30,IF(ISNUMBER(OR(ISNUMBER(SEARCH("GlacialPlain",BW19)),SEARCH("Tundra",BW19))),25,IF(OR(ISNUMBER(SEARCH("SeaIce",BW19)),ISNUMBER(SEARCH("IceSheet",BW19)),ISNUMBER(SEARCH("TropicalSwamp",BW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stats'!AO:AO))*(AO19^0.5)+(_xlfn.XLOOKUP(B19,'Base stats'!B:B,'Base stats'!AO:AO)/1000)^(2/3)+_xlfn.XLOOKUP(B19,'Base stats'!B:B,'Base stats'!AX:AX)/2)+0.5,0.5)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stats'!AP:AP))*(AO19^0.5)+(_xlfn.XLOOKUP(B19,'Base stats'!B:B,'Base stats'!AP:AP)/1000)^(2/3)+_xlfn.XLOOKUP(B19,'Base stats'!B:B,'Base stats'!AX:AX))+_xlfn.XLOOKUP(B19,'Base stats'!B:B,'Base stats'!AV:AV)+0.5,0.5))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stats'!AR:AR))*(AO19^0.5)+(_xlfn.XLOOKUP(B19,'Base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stats'!AQ:AQ)="No","No",MROUND((LOG10(_xlfn.XLOOKUP(B19,'Base stats'!B:B,'Base stats'!AQ:AQ))*(AO19^0.75)+(_xlfn.XLOOKUP(B19,'Base stats'!B:B,'Base stats'!AQ:AQ)/1000)^(2/3)+_xlfn.XLOOKUP(B19,'Base stats'!B:B,'Base stats'!AU:AU)+_xlfn.XLOOKUP(B19,'Base stats'!B:B,'Base stats'!AX:AX))+0.5,0.5))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stats'!AP:AP))*(AO19^0.75)+(_xlfn.XLOOKUP(B19,'Base stats'!B:B,'Base stats'!AP:AP)/1000)^(2/3)+_xlfn.XLOOKUP(B19,'Base stats'!B:B,'Base stats'!AV:AV)+_xlfn.XLOOKUP(B19,'Base stats'!B:B,'Base stats'!AX:AX))+0.5,0.5))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MAX(0.01,MROUND(IF(CB19="True",0.196*(AO19*100*1000)^0.889,IF(_xlfn.XLOOKUP(_xlfn.XLOOKUP(B19,'Base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IF(OR(A19="Queen",A19="Larva"),"No",IFERROR(MAX(IF(_xlfn.XLOOKUP(B19,'Base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stats'!AE:AE)</f>
        <v>Leather_Panthera</v>
      </c>
      <c r="BB19" s="23" t="str">
        <f>_xlfn.XLOOKUP(_xlfn.XLOOKUP(B19,'Base stats'!B:B,'Base stats'!E:E),Groups!A:A,Groups!AL:AL)</f>
        <v>QuadrupedAnimalWithPawsAndTail</v>
      </c>
      <c r="BC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D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E19" s="2" t="str">
        <f>IF(J19&gt;0.3,"No",_xlfn.XLOOKUP(_xlfn.XLOOKUP(Animals!B19,'Base stats'!B:B,'Base stats'!E:E),Groups!A:A,Groups!AP:AP))</f>
        <v>No</v>
      </c>
      <c r="BF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+ 24*(1-IF(BE19="No",0,BE19)) + 16/3, 12),"No")</f>
        <v>48</v>
      </c>
      <c r="BG19" s="2">
        <f>IF(AND(_xlfn.XLOOKUP(_xlfn.XLOOKUP(B19,'Base stats'!B:B,'Base stats'!E:E),Groups!A:A,Groups!AQ:AQ)=1,AO19&lt;=0.35),8,12)</f>
        <v>12</v>
      </c>
      <c r="BH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I19" s="2" t="str">
        <f>IF(AND(_xlfn.XLOOKUP(_xlfn.XLOOKUP(B19,'Base stats'!B:B,'Base stats'!E:E),Groups!A:A,Groups!AS:AS)=1,OR('Base stats'!Y19="Carnivore",'Base stats'!Y19="Omnivore")),"true","false")</f>
        <v>true</v>
      </c>
      <c r="BJ19" s="2">
        <f>IF(BI19="true",MROUND(IF(AND(AO19&gt;0.5,OR(_xlfn.XLOOKUP(_xlfn.XLOOKUP(B19,'Base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K19" s="2">
        <f t="shared" si="3"/>
        <v>1</v>
      </c>
      <c r="BL19" s="25" t="str">
        <f>IF(_xlfn.XLOOKUP(B19,'Base stats'!B:B,'Base stats'!AK:AK)="Standard","No",MROUND((_xlfn.XLOOKUP(B19,'Base stats'!B:B,'Base stats'!AK:AK)/3.6)/I19,0.1))</f>
        <v>No</v>
      </c>
      <c r="BM19" s="25" t="str">
        <f t="shared" si="4"/>
        <v>false</v>
      </c>
      <c r="BN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O19" s="25" t="str" cm="1">
        <f t="array" ref="BO19">IF(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 = "",
  "No",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
)</f>
        <v>AttackTarget</v>
      </c>
      <c r="BP19" s="25" t="str">
        <f>IF(
   AND(
      'Base stats'!AK19="Standard",_xlfn.XLOOKUP(_xlfn.XLOOKUP(B19,'Base stats'!B:B,'Base stats'!E:E),Groups!A:A,Groups!AU:AU)=0,
      OR(
      BN19="True"
      )
   ),
   10,
   IF(
       OR(BL19&lt;&gt;"No",_xlfn.XLOOKUP(_xlfn.XLOOKUP(B19,'Base stats'!B:B,'Base stats'!E:E),Groups!A:A,Groups!AU:AU)=1),
      1,
      "No"
   )
)</f>
        <v>No</v>
      </c>
      <c r="BQ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stats'!AS:AS) * 1.8) * 2) * 2.5 + 10 + I19 * 2,5)+IF(_xlfn.XLOOKUP(B19,'Base stats'!B:B,'Base stats'!AH:AH)=1,50,0)</f>
        <v>80</v>
      </c>
      <c r="BR19" s="8">
        <f t="shared" si="5"/>
        <v>0.45</v>
      </c>
      <c r="BS19" s="8" t="str">
        <f>_xlfn.XLOOKUP(B19,'Base stats'!B:B,'Base stats'!AD:AD)</f>
        <v>No</v>
      </c>
      <c r="BT19" s="2" t="str">
        <f>IF(AND(J19&lt;=0.95,OR(_xlfn.XLOOKUP(B19,'Base stats'!B:B,'Base stats'!AH:AH)=1,_xlfn.XLOOKUP(B19,'Base stats'!B:B,'Base stats'!Y:Y)="Carnivore",_xlfn.XLOOKUP(B19,'Base stats'!B:B,'Base stats'!Y:Y)="Omnivore",BD19&gt;0.1)),"true","false")</f>
        <v>true</v>
      </c>
      <c r="BU19" s="2" t="str">
        <f>IF(_xlfn.XLOOKUP(B19,'Base stats'!B:B,'Base stats'!AF:AF)=1,"true","false")</f>
        <v>false</v>
      </c>
      <c r="BV19" s="25" t="str">
        <f>IF(E19="BaseInsect","AnimalInsect",
IF(J19&gt;0.95,"AnimalExotic",
_xlfn.TEXTJOIN(", ",TRUE,
IF(OR(_xlfn.XLOOKUP(B19,'Base stats'!B:B,'Base stats'!AJ:AJ)=1,AND(_xlfn.XLOOKUP(B19,'Base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stats'!AH:AH)=1,AND(BH19&lt;&gt;"None",BQ19&gt;=60),ISNUMBER(SEARCH("Attack target",BO19))),"AnimalFighter","")
)))</f>
        <v>AnimalUncommon, AnimalFighter</v>
      </c>
      <c r="BW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),_xlfn.XLOOKUP(B19,B:B,BW:BW))</f>
        <v>Tundra BorealForest ColdBog TemperateForest TemperateSwamp GlacialPlain</v>
      </c>
      <c r="BX19" s="25" t="str">
        <f>IF(_xlfn.XLOOKUP(B19,'Base stats'!B:B,'Base stats'!AG:AG)=1,"true","false")</f>
        <v>false</v>
      </c>
      <c r="BY19" s="25">
        <f>IF(_xlfn.XLOOKUP(B19,'Base stats'!B:B,'Base stats'!N:N)=1,"No",MAX(0.01,MIN(MROUND(IF(OR(_xlfn.XLOOKUP(B19,'Base stats'!B:B,'Base stats'!AJ:AJ)=1,AND(BI19="True",CB19="False")),POWER(10,3.47*LOG10(_xlfn.XLOOKUP(B19,'Base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stats'!AH:AH)=1),0.5,1)/100,0.025),1)))</f>
        <v>7.5000000000000011E-2</v>
      </c>
      <c r="BZ19" s="25" t="str">
        <f>IF(P19="Standard","No",MAX(0.01,IF(_xlfn.XLOOKUP(B19,'Base stats'!B:B,'Base stats'!N:N)=0,MROUND(BY19*P19,0.05),MIN(1,MAX(0.025,MROUND(IF(OR(CB19="true",AND(BI19="false",BN19="false")),POWER(10,4.15*LOG10(_xlfn.XLOOKUP(B19,'Base stats'!B:B,'Base stats'!C:C)*1000)^-0.73),POWER(10,3.47*LOG10(_xlfn.XLOOKUP(B19,'Base stats'!B:B,'Base stats'!C:C)*1000)^-0.96))*IF(_xlfn.XLOOKUP(B19,'Base stats'!B:B,'Base stats'!AH:AH)=1,0.5,1)/100,0.025))))))</f>
        <v>No</v>
      </c>
      <c r="CA19" s="25" t="str">
        <f>IF(_xlfn.XLOOKUP(_xlfn.XLOOKUP(B19,'Base stats'!B:B,'Base stats'!E:E),Groups!A:A,Groups!AJ:AJ)="Mammal","True","False")</f>
        <v>True</v>
      </c>
      <c r="CB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C19" s="25" t="str">
        <f t="shared" si="6"/>
        <v>False</v>
      </c>
      <c r="CD19" s="25" t="str">
        <f>IF(_xlfn.XLOOKUP(_xlfn.XLOOKUP(B19,'Base stats'!B:B,'Base stats'!E:E),Groups!A:A,Groups!AX:AX),"True","False")</f>
        <v>False</v>
      </c>
      <c r="CE19" s="25" t="str">
        <f>IF(_xlfn.XLOOKUP(_xlfn.XLOOKUP(B19,'Base stats'!B:B,'Base stats'!E:E),Groups!A:A,Groups!AY:AY),"True","False")</f>
        <v>False</v>
      </c>
      <c r="CF19" s="25" t="str">
        <f>IF(_xlfn.XLOOKUP(_xlfn.XLOOKUP(B19,'Base stats'!B:B,'Base stats'!E:E),Groups!A:A,Groups!AW:AW),"True","False")</f>
        <v>False</v>
      </c>
      <c r="CG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H19" s="25" t="str">
        <f>IF(_xlfn.XLOOKUP(_xlfn.XLOOKUP(B19,'Base stats'!B:B,'Base stats'!E:E),Groups!A:A,Groups!BB:BB),"True","False")</f>
        <v>True</v>
      </c>
      <c r="CI19" s="25" t="str">
        <f>IF(_xlfn.XLOOKUP(_xlfn.XLOOKUP(B19,'Base stats'!B:B,'Base stats'!E:E),Groups!A:A,Groups!BA:BA),"True","False")</f>
        <v>False</v>
      </c>
      <c r="CN19" s="16"/>
    </row>
    <row r="20" spans="1:92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stats'!AI:AI)=0,BH20="None",_xlfn.XLOOKUP(_xlfn.XLOOKUP(B20,'Base stats'!B:B,'Base stats'!E:E),Groups!A:A,Groups!B:B)=0), (18 + BQ20 * 2.7) * 0.5,
    IF(AND(_xlfn.XLOOKUP(B20,'Base stats'!B:B,'Base stats'!AI:AI)=0,OR(AO20&lt;0.55,AND(BH20="Intermediate",_xlfn.XLOOKUP(_xlfn.XLOOKUP(B20,'Base stats'!B:B,'Base stats'!E:E),Groups!A:A,Groups!B:B)&lt;2))), (18 + BQ20 * 2.7),
      IF(OR(BH20="Advanced",_xlfn.XLOOKUP(B20,'Base stats'!B:B,'Base stats'!AI:AI)=1,_xlfn.XLOOKUP(_xlfn.XLOOKUP(B20,'Base stats'!B:B,'Base stats'!E:E),Groups!A:A,Groups!B:B)=2), (18 + BQ20 * 2.7) + 250, (18 + BQ20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IF(_xlfn.XLOOKUP(B20,'Base stats'!B:B,'Base stats'!AI:AI)=1,0.99,MIN(MROUND((1-0.6282*EXP(-0.459*AO20))*_xlfn.XLOOKUP(_xlfn.XLOOKUP(B20,'Base stats'!B:B,'Base stats'!E:E),Groups!A:A,Groups!C:C)*IF(_xlfn.XLOOKUP(B20,'Base stats'!B:B,'Base stats'!O:O)=1,0.5,IF(_xlfn.XLOOKUP(B20,'Base stats'!B:B,'Base stats'!O:O)=2,0,1)),0.05),0.985))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W20)),ISNUMBER(SEARCH("IceSheet",BW20))),-50,IF(OR(ISNUMBER(SEARCH("GlacialPlain",BW20)),ISNUMBER(SEARCH("Tundra",BW20))),-40,IF(OR(ISNUMBER(SEARCH("Alpine",BW20)),ISNUMBER(SEARCH("BorealForest",BW20)),ISNUMBER(SEARCH("ColdBog",BW20))),-30,IF(OR(ISNUMBER(SEARCH("TemperateForest",BW20)),ISNUMBER(SEARCH("TemperateSwamp",BW20))),-20,IF(_xlfn.XLOOKUP(_xlfn.XLOOKUP(B20,'Base stats'!B:B,'Base stats'!E:E),Groups!A:A,Groups!F:F)=1,-15,IF(OR(ISNUMBER(SEARCH("Desert",BW20)),ISNUMBER(SEARCH("ExtremeDesert",BW20))),-10,IF(OR(ISNUMBER(SEARCH("Grasslands",BW20)),ISNUMBER(SEARCH("TropicalRainforest",BW20)),ISNUMBER(SEARCH("TropicalSwamp",BW20))),10,0)))))))-IF(CB20="False",MIN(IFERROR(MAX(MROUND(LOG10(_xlfn.XLOOKUP(B20,'Base stats'!B:B,'Base stats'!C:C)^(2/3))*10,5),5),5),30))-_xlfn.XLOOKUP(B20,'Base stats'!B:B,'Base stats'!P:P)+IF(CB20="True",5,0)</f>
        <v>-20</v>
      </c>
      <c r="M20" s="2">
        <f>IF(OR(_xlfn.XLOOKUP(_xlfn.XLOOKUP(B20,'Base stats'!B:B,'Base stats'!E:E),Groups!A:A,Groups!G:G)=2,ISNUMBER(SEARCH("Desert",BW20)),ISNUMBER(SEARCH("ExtremeDesert",BW20)),ISNUMBER(SEARCH("LavaField",BW20))),50,IF(ISNUMBER(SEARCH("Grasslands",BW20)),45,IF(OR(_xlfn.XLOOKUP(_xlfn.XLOOKUP(B20,'Base stats'!B:B,'Base stats'!E:E),Groups!A:A,Groups!G:G)=1,ISNUMBER(SEARCH("TropicalRainforest",BW20)),ISNUMBER(SEARCH("TropicalSwamp",BW20))),40,IF(OR(ISNUMBER(SEARCH("TemperateForest",BW20)),ISNUMBER(SEARCH("TemperateSwamp",BW20))),35,IF(OR(ISNUMBER(SEARCH("Alpine",BW20)),ISNUMBER(SEARCH("BorealForest",BW20)),ISNUMBER(SEARCH("ColdBog",BW20))),30,IF(ISNUMBER(OR(ISNUMBER(SEARCH("GlacialPlain",BW20)),SEARCH("Tundra",BW20))),25,IF(OR(ISNUMBER(SEARCH("SeaIce",BW20)),ISNUMBER(SEARCH("IceSheet",BW20)),ISNUMBER(SEARCH("TropicalSwamp",BW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stats'!AO:AO))*(AO20^0.5)+(_xlfn.XLOOKUP(B20,'Base stats'!B:B,'Base stats'!AO:AO)/1000)^(2/3)+_xlfn.XLOOKUP(B20,'Base stats'!B:B,'Base stats'!AX:AX)/2)+0.5,0.5)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stats'!AP:AP))*(AO20^0.5)+(_xlfn.XLOOKUP(B20,'Base stats'!B:B,'Base stats'!AP:AP)/1000)^(2/3)+_xlfn.XLOOKUP(B20,'Base stats'!B:B,'Base stats'!AX:AX))+_xlfn.XLOOKUP(B20,'Base stats'!B:B,'Base stats'!AV:AV)+0.5,0.5))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stats'!AR:AR))*(AO20^0.5)+(_xlfn.XLOOKUP(B20,'Base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stats'!AQ:AQ)="No","No",MROUND((LOG10(_xlfn.XLOOKUP(B20,'Base stats'!B:B,'Base stats'!AQ:AQ))*(AO20^0.75)+(_xlfn.XLOOKUP(B20,'Base stats'!B:B,'Base stats'!AQ:AQ)/1000)^(2/3)+_xlfn.XLOOKUP(B20,'Base stats'!B:B,'Base stats'!AU:AU)+_xlfn.XLOOKUP(B20,'Base stats'!B:B,'Base stats'!AX:AX))+0.5,0.5))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stats'!AP:AP))*(AO20^0.75)+(_xlfn.XLOOKUP(B20,'Base stats'!B:B,'Base stats'!AP:AP)/1000)^(2/3)+_xlfn.XLOOKUP(B20,'Base stats'!B:B,'Base stats'!AV:AV)+_xlfn.XLOOKUP(B20,'Base stats'!B:B,'Base stats'!AX:AX))+0.5,0.5))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MAX(0.01,MROUND(IF(CB20="True",0.196*(AO20*100*1000)^0.889,IF(_xlfn.XLOOKUP(_xlfn.XLOOKUP(B20,'Base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IF(OR(A20="Queen",A20="Larva"),"No",IFERROR(MAX(IF(_xlfn.XLOOKUP(B20,'Base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stats'!AE:AE)</f>
        <v>Leather_Light</v>
      </c>
      <c r="BB20" s="23" t="str">
        <f>_xlfn.XLOOKUP(_xlfn.XLOOKUP(B20,'Base stats'!B:B,'Base stats'!E:E),Groups!A:A,Groups!AL:AL)</f>
        <v>QuadrupedAnimalWithPawsAndTail</v>
      </c>
      <c r="BC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D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E20" s="2">
        <f>IF(J20&gt;0.3,"No",_xlfn.XLOOKUP(_xlfn.XLOOKUP(Animals!B20,'Base stats'!B:B,'Base stats'!E:E),Groups!A:A,Groups!AP:AP))</f>
        <v>1</v>
      </c>
      <c r="BF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+ 24*(1-IF(BE20="No",0,BE20)) + 16/3, 12),"No")</f>
        <v>12</v>
      </c>
      <c r="BG20" s="2">
        <f>IF(AND(_xlfn.XLOOKUP(_xlfn.XLOOKUP(B20,'Base stats'!B:B,'Base stats'!E:E),Groups!A:A,Groups!AQ:AQ)=1,AO20&lt;=0.35),8,12)</f>
        <v>12</v>
      </c>
      <c r="BH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I20" s="2" t="str">
        <f>IF(AND(_xlfn.XLOOKUP(_xlfn.XLOOKUP(B20,'Base stats'!B:B,'Base stats'!E:E),Groups!A:A,Groups!AS:AS)=1,OR('Base stats'!Y20="Carnivore",'Base stats'!Y20="Omnivore")),"true","false")</f>
        <v>true</v>
      </c>
      <c r="BJ20" s="2">
        <f>IF(BI20="true",MROUND(IF(AND(AO20&gt;0.5,OR(_xlfn.XLOOKUP(_xlfn.XLOOKUP(B20,'Base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K20" s="2">
        <f t="shared" si="3"/>
        <v>1</v>
      </c>
      <c r="BL20" s="25" t="str">
        <f>IF(_xlfn.XLOOKUP(B20,'Base stats'!B:B,'Base stats'!AK:AK)="Standard","No",MROUND((_xlfn.XLOOKUP(B20,'Base stats'!B:B,'Base stats'!AK:AK)/3.6)/I20,0.1))</f>
        <v>No</v>
      </c>
      <c r="BM20" s="25" t="str">
        <f t="shared" si="4"/>
        <v>false</v>
      </c>
      <c r="BN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O20" s="25" t="str" cm="1">
        <f t="array" ref="BO20">IF(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 = "",
  "No",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
)</f>
        <v>Comfort</v>
      </c>
      <c r="BP20" s="25" t="str">
        <f>IF(
   AND(
      'Base stats'!AK20="Standard",_xlfn.XLOOKUP(_xlfn.XLOOKUP(B20,'Base stats'!B:B,'Base stats'!E:E),Groups!A:A,Groups!AU:AU)=0,
      OR(
      BN20="True"
      )
   ),
   10,
   IF(
       OR(BL20&lt;&gt;"No",_xlfn.XLOOKUP(_xlfn.XLOOKUP(B20,'Base stats'!B:B,'Base stats'!E:E),Groups!A:A,Groups!AU:AU)=1),
      1,
      "No"
   )
)</f>
        <v>No</v>
      </c>
      <c r="BQ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stats'!AS:AS) * 1.8) * 2) * 2.5 + 10 + I20 * 2,5)+IF(_xlfn.XLOOKUP(B20,'Base stats'!B:B,'Base stats'!AH:AH)=1,50,0)</f>
        <v>45</v>
      </c>
      <c r="BR20" s="8">
        <f t="shared" si="5"/>
        <v>0.30000000000000004</v>
      </c>
      <c r="BS20" s="8" t="str">
        <f>_xlfn.XLOOKUP(B20,'Base stats'!B:B,'Base stats'!AD:AD)</f>
        <v>No</v>
      </c>
      <c r="BT20" s="2" t="str">
        <f>IF(AND(J20&lt;=0.95,OR(_xlfn.XLOOKUP(B20,'Base stats'!B:B,'Base stats'!AH:AH)=1,_xlfn.XLOOKUP(B20,'Base stats'!B:B,'Base stats'!Y:Y)="Carnivore",_xlfn.XLOOKUP(B20,'Base stats'!B:B,'Base stats'!Y:Y)="Omnivore",BD20&gt;0.1)),"true","false")</f>
        <v>true</v>
      </c>
      <c r="BU20" s="2" t="str">
        <f>IF(_xlfn.XLOOKUP(B20,'Base stats'!B:B,'Base stats'!AF:AF)=1,"true","false")</f>
        <v>false</v>
      </c>
      <c r="BV20" s="25" t="str">
        <f>IF(E20="BaseInsect","AnimalInsect",
IF(J20&gt;0.95,"AnimalExotic",
_xlfn.TEXTJOIN(", ",TRUE,
IF(OR(_xlfn.XLOOKUP(B20,'Base stats'!B:B,'Base stats'!AJ:AJ)=1,AND(_xlfn.XLOOKUP(B20,'Base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stats'!AH:AH)=1,AND(BH20&lt;&gt;"None",BQ20&gt;=60),ISNUMBER(SEARCH("Attack target",BO20))),"AnimalFighter","")
)))</f>
        <v>AnimalCommon, AnimalPet</v>
      </c>
      <c r="BW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),_xlfn.XLOOKUP(B20,B:B,BW:BW))</f>
        <v>Scarlands</v>
      </c>
      <c r="BX20" s="25" t="str">
        <f>IF(_xlfn.XLOOKUP(B20,'Base stats'!B:B,'Base stats'!AG:AG)=1,"true","false")</f>
        <v>false</v>
      </c>
      <c r="BY20" s="25">
        <f>IF(_xlfn.XLOOKUP(B20,'Base stats'!B:B,'Base stats'!N:N)=1,"No",MAX(0.01,MIN(MROUND(IF(OR(_xlfn.XLOOKUP(B20,'Base stats'!B:B,'Base stats'!AJ:AJ)=1,AND(BI20="True",CB20="False")),POWER(10,3.47*LOG10(_xlfn.XLOOKUP(B20,'Base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stats'!AH:AH)=1),0.5,1)/100,0.025),1)))</f>
        <v>0.1</v>
      </c>
      <c r="BZ20" s="25" t="str">
        <f>IF(P20="Standard","No",MAX(0.01,IF(_xlfn.XLOOKUP(B20,'Base stats'!B:B,'Base stats'!N:N)=0,MROUND(BY20*P20,0.05),MIN(1,MAX(0.025,MROUND(IF(OR(CB20="true",AND(BI20="false",BN20="false")),POWER(10,4.15*LOG10(_xlfn.XLOOKUP(B20,'Base stats'!B:B,'Base stats'!C:C)*1000)^-0.73),POWER(10,3.47*LOG10(_xlfn.XLOOKUP(B20,'Base stats'!B:B,'Base stats'!C:C)*1000)^-0.96))*IF(_xlfn.XLOOKUP(B20,'Base stats'!B:B,'Base stats'!AH:AH)=1,0.5,1)/100,0.025))))))</f>
        <v>No</v>
      </c>
      <c r="CA20" s="25" t="str">
        <f>IF(_xlfn.XLOOKUP(_xlfn.XLOOKUP(B20,'Base stats'!B:B,'Base stats'!E:E),Groups!A:A,Groups!AJ:AJ)="Mammal","True","False")</f>
        <v>True</v>
      </c>
      <c r="CB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C20" s="25" t="str">
        <f t="shared" si="6"/>
        <v>False</v>
      </c>
      <c r="CD20" s="25" t="str">
        <f>IF(_xlfn.XLOOKUP(_xlfn.XLOOKUP(B20,'Base stats'!B:B,'Base stats'!E:E),Groups!A:A,Groups!AX:AX),"True","False")</f>
        <v>False</v>
      </c>
      <c r="CE20" s="25" t="str">
        <f>IF(_xlfn.XLOOKUP(_xlfn.XLOOKUP(B20,'Base stats'!B:B,'Base stats'!E:E),Groups!A:A,Groups!AY:AY),"True","False")</f>
        <v>False</v>
      </c>
      <c r="CF20" s="25" t="str">
        <f>IF(_xlfn.XLOOKUP(_xlfn.XLOOKUP(B20,'Base stats'!B:B,'Base stats'!E:E),Groups!A:A,Groups!AW:AW),"True","False")</f>
        <v>False</v>
      </c>
      <c r="CG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H20" s="25" t="str">
        <f>IF(_xlfn.XLOOKUP(_xlfn.XLOOKUP(B20,'Base stats'!B:B,'Base stats'!E:E),Groups!A:A,Groups!BB:BB),"True","False")</f>
        <v>True</v>
      </c>
      <c r="CI20" s="25" t="str">
        <f>IF(_xlfn.XLOOKUP(_xlfn.XLOOKUP(B20,'Base stats'!B:B,'Base stats'!E:E),Groups!A:A,Groups!BA:BA),"True","False")</f>
        <v>False</v>
      </c>
      <c r="CN20" s="16"/>
    </row>
    <row r="21" spans="1:92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stats'!AI:AI)=0,BH21="None",_xlfn.XLOOKUP(_xlfn.XLOOKUP(B21,'Base stats'!B:B,'Base stats'!E:E),Groups!A:A,Groups!B:B)=0), (18 + BQ21 * 2.7) * 0.5,
    IF(AND(_xlfn.XLOOKUP(B21,'Base stats'!B:B,'Base stats'!AI:AI)=0,OR(AO21&lt;0.55,AND(BH21="Intermediate",_xlfn.XLOOKUP(_xlfn.XLOOKUP(B21,'Base stats'!B:B,'Base stats'!E:E),Groups!A:A,Groups!B:B)&lt;2))), (18 + BQ21 * 2.7),
      IF(OR(BH21="Advanced",_xlfn.XLOOKUP(B21,'Base stats'!B:B,'Base stats'!AI:AI)=1,_xlfn.XLOOKUP(_xlfn.XLOOKUP(B21,'Base stats'!B:B,'Base stats'!E:E),Groups!A:A,Groups!B:B)=2), (18 + BQ21 * 2.7) + 250, (18 + BQ21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IF(_xlfn.XLOOKUP(B21,'Base stats'!B:B,'Base stats'!AI:AI)=1,0.99,MIN(MROUND((1-0.6282*EXP(-0.459*AO21))*_xlfn.XLOOKUP(_xlfn.XLOOKUP(B21,'Base stats'!B:B,'Base stats'!E:E),Groups!A:A,Groups!C:C)*IF(_xlfn.XLOOKUP(B21,'Base stats'!B:B,'Base stats'!O:O)=1,0.5,IF(_xlfn.XLOOKUP(B21,'Base stats'!B:B,'Base stats'!O:O)=2,0,1)),0.05),0.985))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W21)),ISNUMBER(SEARCH("IceSheet",BW21))),-50,IF(OR(ISNUMBER(SEARCH("GlacialPlain",BW21)),ISNUMBER(SEARCH("Tundra",BW21))),-40,IF(OR(ISNUMBER(SEARCH("Alpine",BW21)),ISNUMBER(SEARCH("BorealForest",BW21)),ISNUMBER(SEARCH("ColdBog",BW21))),-30,IF(OR(ISNUMBER(SEARCH("TemperateForest",BW21)),ISNUMBER(SEARCH("TemperateSwamp",BW21))),-20,IF(_xlfn.XLOOKUP(_xlfn.XLOOKUP(B21,'Base stats'!B:B,'Base stats'!E:E),Groups!A:A,Groups!F:F)=1,-15,IF(OR(ISNUMBER(SEARCH("Desert",BW21)),ISNUMBER(SEARCH("ExtremeDesert",BW21))),-10,IF(OR(ISNUMBER(SEARCH("Grasslands",BW21)),ISNUMBER(SEARCH("TropicalRainforest",BW21)),ISNUMBER(SEARCH("TropicalSwamp",BW21))),10,0)))))))-IF(CB21="False",MIN(IFERROR(MAX(MROUND(LOG10(_xlfn.XLOOKUP(B21,'Base stats'!B:B,'Base stats'!C:C)^(2/3))*10,5),5),5),30))-_xlfn.XLOOKUP(B21,'Base stats'!B:B,'Base stats'!P:P)+IF(CB21="True",5,0)</f>
        <v>-35</v>
      </c>
      <c r="M21" s="2">
        <f>IF(OR(_xlfn.XLOOKUP(_xlfn.XLOOKUP(B21,'Base stats'!B:B,'Base stats'!E:E),Groups!A:A,Groups!G:G)=2,ISNUMBER(SEARCH("Desert",BW21)),ISNUMBER(SEARCH("ExtremeDesert",BW21)),ISNUMBER(SEARCH("LavaField",BW21))),50,IF(ISNUMBER(SEARCH("Grasslands",BW21)),45,IF(OR(_xlfn.XLOOKUP(_xlfn.XLOOKUP(B21,'Base stats'!B:B,'Base stats'!E:E),Groups!A:A,Groups!G:G)=1,ISNUMBER(SEARCH("TropicalRainforest",BW21)),ISNUMBER(SEARCH("TropicalSwamp",BW21))),40,IF(OR(ISNUMBER(SEARCH("TemperateForest",BW21)),ISNUMBER(SEARCH("TemperateSwamp",BW21))),35,IF(OR(ISNUMBER(SEARCH("Alpine",BW21)),ISNUMBER(SEARCH("BorealForest",BW21)),ISNUMBER(SEARCH("ColdBog",BW21))),30,IF(ISNUMBER(OR(ISNUMBER(SEARCH("GlacialPlain",BW21)),SEARCH("Tundra",BW21))),25,IF(OR(ISNUMBER(SEARCH("SeaIce",BW21)),ISNUMBER(SEARCH("IceSheet",BW21)),ISNUMBER(SEARCH("TropicalSwamp",BW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stats'!AO:AO))*(AO21^0.5)+(_xlfn.XLOOKUP(B21,'Base stats'!B:B,'Base stats'!AO:AO)/1000)^(2/3)+_xlfn.XLOOKUP(B21,'Base stats'!B:B,'Base stats'!AX:AX)/2)+0.5,0.5)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stats'!AP:AP))*(AO21^0.5)+(_xlfn.XLOOKUP(B21,'Base stats'!B:B,'Base stats'!AP:AP)/1000)^(2/3)+_xlfn.XLOOKUP(B21,'Base stats'!B:B,'Base stats'!AX:AX))+_xlfn.XLOOKUP(B21,'Base stats'!B:B,'Base stats'!AV:AV)+0.5,0.5))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stats'!AR:AR))*(AO21^0.5)+(_xlfn.XLOOKUP(B21,'Base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stats'!AQ:AQ)="No","No",MROUND((LOG10(_xlfn.XLOOKUP(B21,'Base stats'!B:B,'Base stats'!AQ:AQ))*(AO21^0.75)+(_xlfn.XLOOKUP(B21,'Base stats'!B:B,'Base stats'!AQ:AQ)/1000)^(2/3)+_xlfn.XLOOKUP(B21,'Base stats'!B:B,'Base stats'!AU:AU)+_xlfn.XLOOKUP(B21,'Base stats'!B:B,'Base stats'!AX:AX))+0.5,0.5))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stats'!AP:AP))*(AO21^0.75)+(_xlfn.XLOOKUP(B21,'Base stats'!B:B,'Base stats'!AP:AP)/1000)^(2/3)+_xlfn.XLOOKUP(B21,'Base stats'!B:B,'Base stats'!AV:AV)+_xlfn.XLOOKUP(B21,'Base stats'!B:B,'Base stats'!AX:AX))+0.5,0.5))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MAX(0.01,MROUND(IF(CB21="True",0.196*(AO21*100*1000)^0.889,IF(_xlfn.XLOOKUP(_xlfn.XLOOKUP(B21,'Base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IF(OR(A21="Queen",A21="Larva"),"No",IFERROR(MAX(IF(_xlfn.XLOOKUP(B21,'Base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stats'!AE:AE)</f>
        <v>Leather_Plain</v>
      </c>
      <c r="BB21" s="23" t="str">
        <f>_xlfn.XLOOKUP(_xlfn.XLOOKUP(B21,'Base stats'!B:B,'Base stats'!E:E),Groups!A:A,Groups!AL:AL)</f>
        <v>QuadrupedAnimalWithHooves</v>
      </c>
      <c r="BC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D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E21" s="2">
        <f>IF(J21&gt;0.3,"No",_xlfn.XLOOKUP(_xlfn.XLOOKUP(Animals!B21,'Base stats'!B:B,'Base stats'!E:E),Groups!A:A,Groups!AP:AP))</f>
        <v>0.2</v>
      </c>
      <c r="BF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+ 24*(1-IF(BE21="No",0,BE21)) + 16/3, 12),"No")</f>
        <v>No</v>
      </c>
      <c r="BG21" s="2">
        <f>IF(AND(_xlfn.XLOOKUP(_xlfn.XLOOKUP(B21,'Base stats'!B:B,'Base stats'!E:E),Groups!A:A,Groups!AQ:AQ)=1,AO21&lt;=0.35),8,12)</f>
        <v>12</v>
      </c>
      <c r="BH21" s="2" t="str">
        <f>IF(_xlfn.XLOOKUP(_xlfn.XLOOKUP(B21,'Base stats'!B:B,'Base stats'!E:E),Groups!A:A,Groups!D:D)=0,_xlfn.XLOOKUP(_xlfn.XLOOKUP(B21,'Base stats'!B:B,'Base stats'!E:E),Groups!A:A,Groups!AR:AR),"None")</f>
        <v>None</v>
      </c>
      <c r="BI21" s="2" t="str">
        <f>IF(AND(_xlfn.XLOOKUP(_xlfn.XLOOKUP(B21,'Base stats'!B:B,'Base stats'!E:E),Groups!A:A,Groups!AS:AS)=1,OR('Base stats'!Y21="Carnivore",'Base stats'!Y21="Omnivore")),"true","false")</f>
        <v>false</v>
      </c>
      <c r="BJ21" s="2" t="str">
        <f>IF(BI21="true",MROUND(IF(AND(AO21&gt;0.5,OR(_xlfn.XLOOKUP(_xlfn.XLOOKUP(B21,'Base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K21" s="2">
        <f t="shared" si="3"/>
        <v>0</v>
      </c>
      <c r="BL21" s="25" t="str">
        <f>IF(_xlfn.XLOOKUP(B21,'Base stats'!B:B,'Base stats'!AK:AK)="Standard","No",MROUND((_xlfn.XLOOKUP(B21,'Base stats'!B:B,'Base stats'!AK:AK)/3.6)/I21,0.1))</f>
        <v>No</v>
      </c>
      <c r="BM21" s="25" t="str">
        <f t="shared" si="4"/>
        <v>false</v>
      </c>
      <c r="BN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O21" s="25" t="str" cm="1">
        <f t="array" ref="BO21">IF(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 = "",
  "No",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
)</f>
        <v>No</v>
      </c>
      <c r="BP21" s="25" t="str">
        <f>IF(
   AND(
      'Base stats'!AK21="Standard",_xlfn.XLOOKUP(_xlfn.XLOOKUP(B21,'Base stats'!B:B,'Base stats'!E:E),Groups!A:A,Groups!AU:AU)=0,
      OR(
      BN21="True"
      )
   ),
   10,
   IF(
       OR(BL21&lt;&gt;"No",_xlfn.XLOOKUP(_xlfn.XLOOKUP(B21,'Base stats'!B:B,'Base stats'!E:E),Groups!A:A,Groups!AU:AU)=1),
      1,
      "No"
   )
)</f>
        <v>No</v>
      </c>
      <c r="BQ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stats'!AS:AS) * 1.8) * 2) * 2.5 + 10 + I21 * 2,5)+IF(_xlfn.XLOOKUP(B21,'Base stats'!B:B,'Base stats'!AH:AH)=1,50,0)</f>
        <v>195</v>
      </c>
      <c r="BR21" s="8">
        <f t="shared" si="5"/>
        <v>1.4500000000000002</v>
      </c>
      <c r="BS21" s="8" t="str">
        <f>_xlfn.XLOOKUP(B21,'Base stats'!B:B,'Base stats'!AD:AD)</f>
        <v>3~10</v>
      </c>
      <c r="BT21" s="2" t="str">
        <f>IF(AND(J21&lt;=0.95,OR(_xlfn.XLOOKUP(B21,'Base stats'!B:B,'Base stats'!AH:AH)=1,_xlfn.XLOOKUP(B21,'Base stats'!B:B,'Base stats'!Y:Y)="Carnivore",_xlfn.XLOOKUP(B21,'Base stats'!B:B,'Base stats'!Y:Y)="Omnivore",BD21&gt;0.1)),"true","false")</f>
        <v>false</v>
      </c>
      <c r="BU21" s="2" t="str">
        <f>IF(_xlfn.XLOOKUP(B21,'Base stats'!B:B,'Base stats'!AF:AF)=1,"true","false")</f>
        <v>true</v>
      </c>
      <c r="BV21" s="25" t="str">
        <f>IF(E21="BaseInsect","AnimalInsect",
IF(J21&gt;0.95,"AnimalExotic",
_xlfn.TEXTJOIN(", ",TRUE,
IF(OR(_xlfn.XLOOKUP(B21,'Base stats'!B:B,'Base stats'!AJ:AJ)=1,AND(_xlfn.XLOOKUP(B21,'Base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stats'!AH:AH)=1,AND(BH21&lt;&gt;"None",BQ21&gt;=60),ISNUMBER(SEARCH("Attack target",BO21))),"AnimalFighter","")
)))</f>
        <v>AnimalCommon, AnimalFarm</v>
      </c>
      <c r="BW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),_xlfn.XLOOKUP(B21,B:B,BW:BW))</f>
        <v>TemperateForest TemperateSwamp AridShrubland Grasslands Scarlands</v>
      </c>
      <c r="BX21" s="25" t="str">
        <f>IF(_xlfn.XLOOKUP(B21,'Base stats'!B:B,'Base stats'!AG:AG)=1,"true","false")</f>
        <v>false</v>
      </c>
      <c r="BY21" s="25">
        <f>IF(_xlfn.XLOOKUP(B21,'Base stats'!B:B,'Base stats'!N:N)=1,"No",MAX(0.01,MIN(MROUND(IF(OR(_xlfn.XLOOKUP(B21,'Base stats'!B:B,'Base stats'!AJ:AJ)=1,AND(BI21="True",CB21="False")),POWER(10,3.47*LOG10(_xlfn.XLOOKUP(B21,'Base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stats'!AH:AH)=1),0.5,1)/100,0.025),1)))</f>
        <v>0.15000000000000002</v>
      </c>
      <c r="BZ21" s="25" t="str">
        <f>IF(P21="Standard","No",MAX(0.01,IF(_xlfn.XLOOKUP(B21,'Base stats'!B:B,'Base stats'!N:N)=0,MROUND(BY21*P21,0.05),MIN(1,MAX(0.025,MROUND(IF(OR(CB21="true",AND(BI21="false",BN21="false")),POWER(10,4.15*LOG10(_xlfn.XLOOKUP(B21,'Base stats'!B:B,'Base stats'!C:C)*1000)^-0.73),POWER(10,3.47*LOG10(_xlfn.XLOOKUP(B21,'Base stats'!B:B,'Base stats'!C:C)*1000)^-0.96))*IF(_xlfn.XLOOKUP(B21,'Base stats'!B:B,'Base stats'!AH:AH)=1,0.5,1)/100,0.025))))))</f>
        <v>No</v>
      </c>
      <c r="CA21" s="25" t="str">
        <f>IF(_xlfn.XLOOKUP(_xlfn.XLOOKUP(B21,'Base stats'!B:B,'Base stats'!E:E),Groups!A:A,Groups!AJ:AJ)="Mammal","True","False")</f>
        <v>True</v>
      </c>
      <c r="CB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C21" s="25" t="str">
        <f t="shared" si="6"/>
        <v>False</v>
      </c>
      <c r="CD21" s="25" t="str">
        <f>IF(_xlfn.XLOOKUP(_xlfn.XLOOKUP(B21,'Base stats'!B:B,'Base stats'!E:E),Groups!A:A,Groups!AX:AX),"True","False")</f>
        <v>False</v>
      </c>
      <c r="CE21" s="25" t="str">
        <f>IF(_xlfn.XLOOKUP(_xlfn.XLOOKUP(B21,'Base stats'!B:B,'Base stats'!E:E),Groups!A:A,Groups!AY:AY),"True","False")</f>
        <v>False</v>
      </c>
      <c r="CF21" s="25" t="str">
        <f>IF(_xlfn.XLOOKUP(_xlfn.XLOOKUP(B21,'Base stats'!B:B,'Base stats'!E:E),Groups!A:A,Groups!AW:AW),"True","False")</f>
        <v>False</v>
      </c>
      <c r="CG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H21" s="25" t="str">
        <f>IF(_xlfn.XLOOKUP(_xlfn.XLOOKUP(B21,'Base stats'!B:B,'Base stats'!E:E),Groups!A:A,Groups!BB:BB),"True","False")</f>
        <v>True</v>
      </c>
      <c r="CI21" s="25" t="str">
        <f>IF(_xlfn.XLOOKUP(_xlfn.XLOOKUP(B21,'Base stats'!B:B,'Base stats'!E:E),Groups!A:A,Groups!BA:BA),"True","False")</f>
        <v>False</v>
      </c>
      <c r="CN21" s="16"/>
    </row>
    <row r="22" spans="1:92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stats'!AI:AI)=0,BH22="None",_xlfn.XLOOKUP(_xlfn.XLOOKUP(B22,'Base stats'!B:B,'Base stats'!E:E),Groups!A:A,Groups!B:B)=0), (18 + BQ22 * 2.7) * 0.5,
    IF(AND(_xlfn.XLOOKUP(B22,'Base stats'!B:B,'Base stats'!AI:AI)=0,OR(AO22&lt;0.55,AND(BH22="Intermediate",_xlfn.XLOOKUP(_xlfn.XLOOKUP(B22,'Base stats'!B:B,'Base stats'!E:E),Groups!A:A,Groups!B:B)&lt;2))), (18 + BQ22 * 2.7),
      IF(OR(BH22="Advanced",_xlfn.XLOOKUP(B22,'Base stats'!B:B,'Base stats'!AI:AI)=1,_xlfn.XLOOKUP(_xlfn.XLOOKUP(B22,'Base stats'!B:B,'Base stats'!E:E),Groups!A:A,Groups!B:B)=2), (18 + BQ22 * 2.7) + 250, (18 + BQ22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IF(_xlfn.XLOOKUP(B22,'Base stats'!B:B,'Base stats'!AI:AI)=1,0.99,MIN(MROUND((1-0.6282*EXP(-0.459*AO22))*_xlfn.XLOOKUP(_xlfn.XLOOKUP(B22,'Base stats'!B:B,'Base stats'!E:E),Groups!A:A,Groups!C:C)*IF(_xlfn.XLOOKUP(B22,'Base stats'!B:B,'Base stats'!O:O)=1,0.5,IF(_xlfn.XLOOKUP(B22,'Base stats'!B:B,'Base stats'!O:O)=2,0,1)),0.05),0.985))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W22)),ISNUMBER(SEARCH("IceSheet",BW22))),-50,IF(OR(ISNUMBER(SEARCH("GlacialPlain",BW22)),ISNUMBER(SEARCH("Tundra",BW22))),-40,IF(OR(ISNUMBER(SEARCH("Alpine",BW22)),ISNUMBER(SEARCH("BorealForest",BW22)),ISNUMBER(SEARCH("ColdBog",BW22))),-30,IF(OR(ISNUMBER(SEARCH("TemperateForest",BW22)),ISNUMBER(SEARCH("TemperateSwamp",BW22))),-20,IF(_xlfn.XLOOKUP(_xlfn.XLOOKUP(B22,'Base stats'!B:B,'Base stats'!E:E),Groups!A:A,Groups!F:F)=1,-15,IF(OR(ISNUMBER(SEARCH("Desert",BW22)),ISNUMBER(SEARCH("ExtremeDesert",BW22))),-10,IF(OR(ISNUMBER(SEARCH("Grasslands",BW22)),ISNUMBER(SEARCH("TropicalRainforest",BW22)),ISNUMBER(SEARCH("TropicalSwamp",BW22))),10,0)))))))-IF(CB22="False",MIN(IFERROR(MAX(MROUND(LOG10(_xlfn.XLOOKUP(B22,'Base stats'!B:B,'Base stats'!C:C)^(2/3))*10,5),5),5),30))-_xlfn.XLOOKUP(B22,'Base stats'!B:B,'Base stats'!P:P)+IF(CB22="True",5,0)</f>
        <v>-30</v>
      </c>
      <c r="M22" s="2">
        <f>IF(OR(_xlfn.XLOOKUP(_xlfn.XLOOKUP(B22,'Base stats'!B:B,'Base stats'!E:E),Groups!A:A,Groups!G:G)=2,ISNUMBER(SEARCH("Desert",BW22)),ISNUMBER(SEARCH("ExtremeDesert",BW22)),ISNUMBER(SEARCH("LavaField",BW22))),50,IF(ISNUMBER(SEARCH("Grasslands",BW22)),45,IF(OR(_xlfn.XLOOKUP(_xlfn.XLOOKUP(B22,'Base stats'!B:B,'Base stats'!E:E),Groups!A:A,Groups!G:G)=1,ISNUMBER(SEARCH("TropicalRainforest",BW22)),ISNUMBER(SEARCH("TropicalSwamp",BW22))),40,IF(OR(ISNUMBER(SEARCH("TemperateForest",BW22)),ISNUMBER(SEARCH("TemperateSwamp",BW22))),35,IF(OR(ISNUMBER(SEARCH("Alpine",BW22)),ISNUMBER(SEARCH("BorealForest",BW22)),ISNUMBER(SEARCH("ColdBog",BW22))),30,IF(ISNUMBER(OR(ISNUMBER(SEARCH("GlacialPlain",BW22)),SEARCH("Tundra",BW22))),25,IF(OR(ISNUMBER(SEARCH("SeaIce",BW22)),ISNUMBER(SEARCH("IceSheet",BW22)),ISNUMBER(SEARCH("TropicalSwamp",BW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stats'!AO:AO))*(AO22^0.5)+(_xlfn.XLOOKUP(B22,'Base stats'!B:B,'Base stats'!AO:AO)/1000)^(2/3)+_xlfn.XLOOKUP(B22,'Base stats'!B:B,'Base stats'!AX:AX)/2)+0.5,0.5)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stats'!AP:AP))*(AO22^0.5)+(_xlfn.XLOOKUP(B22,'Base stats'!B:B,'Base stats'!AP:AP)/1000)^(2/3)+_xlfn.XLOOKUP(B22,'Base stats'!B:B,'Base stats'!AX:AX))+_xlfn.XLOOKUP(B22,'Base stats'!B:B,'Base stats'!AV:AV)+0.5,0.5))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stats'!AR:AR))*(AO22^0.5)+(_xlfn.XLOOKUP(B22,'Base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stats'!AQ:AQ)="No","No",MROUND((LOG10(_xlfn.XLOOKUP(B22,'Base stats'!B:B,'Base stats'!AQ:AQ))*(AO22^0.75)+(_xlfn.XLOOKUP(B22,'Base stats'!B:B,'Base stats'!AQ:AQ)/1000)^(2/3)+_xlfn.XLOOKUP(B22,'Base stats'!B:B,'Base stats'!AU:AU)+_xlfn.XLOOKUP(B22,'Base stats'!B:B,'Base stats'!AX:AX))+0.5,0.5))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stats'!AP:AP))*(AO22^0.75)+(_xlfn.XLOOKUP(B22,'Base stats'!B:B,'Base stats'!AP:AP)/1000)^(2/3)+_xlfn.XLOOKUP(B22,'Base stats'!B:B,'Base stats'!AV:AV)+_xlfn.XLOOKUP(B22,'Base stats'!B:B,'Base stats'!AX:AX))+0.5,0.5))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MAX(0.01,MROUND(IF(CB22="True",0.196*(AO22*100*1000)^0.889,IF(_xlfn.XLOOKUP(_xlfn.XLOOKUP(B22,'Base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IF(OR(A22="Queen",A22="Larva"),"No",IFERROR(MAX(IF(_xlfn.XLOOKUP(B22,'Base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stats'!AE:AE)</f>
        <v>Leather_Plain</v>
      </c>
      <c r="BB22" s="23" t="str">
        <f>_xlfn.XLOOKUP(_xlfn.XLOOKUP(B22,'Base stats'!B:B,'Base stats'!E:E),Groups!A:A,Groups!AL:AL)</f>
        <v>QuadrupedAnimalWithHooves</v>
      </c>
      <c r="BC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D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E22" s="2">
        <f>IF(J22&gt;0.3,"No",_xlfn.XLOOKUP(_xlfn.XLOOKUP(Animals!B22,'Base stats'!B:B,'Base stats'!E:E),Groups!A:A,Groups!AP:AP))</f>
        <v>0.2</v>
      </c>
      <c r="BF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+ 24*(1-IF(BE22="No",0,BE22)) + 16/3, 12),"No")</f>
        <v>No</v>
      </c>
      <c r="BG22" s="2">
        <f>IF(AND(_xlfn.XLOOKUP(_xlfn.XLOOKUP(B22,'Base stats'!B:B,'Base stats'!E:E),Groups!A:A,Groups!AQ:AQ)=1,AO22&lt;=0.35),8,12)</f>
        <v>12</v>
      </c>
      <c r="BH22" s="2" t="str">
        <f>IF(_xlfn.XLOOKUP(_xlfn.XLOOKUP(B22,'Base stats'!B:B,'Base stats'!E:E),Groups!A:A,Groups!D:D)=0,_xlfn.XLOOKUP(_xlfn.XLOOKUP(B22,'Base stats'!B:B,'Base stats'!E:E),Groups!A:A,Groups!AR:AR),"None")</f>
        <v>None</v>
      </c>
      <c r="BI22" s="2" t="str">
        <f>IF(AND(_xlfn.XLOOKUP(_xlfn.XLOOKUP(B22,'Base stats'!B:B,'Base stats'!E:E),Groups!A:A,Groups!AS:AS)=1,OR('Base stats'!Y22="Carnivore",'Base stats'!Y22="Omnivore")),"true","false")</f>
        <v>false</v>
      </c>
      <c r="BJ22" s="2" t="str">
        <f>IF(BI22="true",MROUND(IF(AND(AO22&gt;0.5,OR(_xlfn.XLOOKUP(_xlfn.XLOOKUP(B22,'Base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K22" s="2">
        <f t="shared" si="3"/>
        <v>0</v>
      </c>
      <c r="BL22" s="25" t="str">
        <f>IF(_xlfn.XLOOKUP(B22,'Base stats'!B:B,'Base stats'!AK:AK)="Standard","No",MROUND((_xlfn.XLOOKUP(B22,'Base stats'!B:B,'Base stats'!AK:AK)/3.6)/I22,0.1))</f>
        <v>No</v>
      </c>
      <c r="BM22" s="25" t="str">
        <f t="shared" si="4"/>
        <v>false</v>
      </c>
      <c r="BN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O22" s="25" t="str" cm="1">
        <f t="array" ref="BO22">IF(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 = "",
  "No",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
)</f>
        <v>No</v>
      </c>
      <c r="BP22" s="25" t="str">
        <f>IF(
   AND(
      'Base stats'!AK22="Standard",_xlfn.XLOOKUP(_xlfn.XLOOKUP(B22,'Base stats'!B:B,'Base stats'!E:E),Groups!A:A,Groups!AU:AU)=0,
      OR(
      BN22="True"
      )
   ),
   10,
   IF(
       OR(BL22&lt;&gt;"No",_xlfn.XLOOKUP(_xlfn.XLOOKUP(B22,'Base stats'!B:B,'Base stats'!E:E),Groups!A:A,Groups!AU:AU)=1),
      1,
      "No"
   )
)</f>
        <v>No</v>
      </c>
      <c r="BQ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stats'!AS:AS) * 1.8) * 2) * 2.5 + 10 + I22 * 2,5)+IF(_xlfn.XLOOKUP(B22,'Base stats'!B:B,'Base stats'!AH:AH)=1,50,0)</f>
        <v>115</v>
      </c>
      <c r="BR22" s="8">
        <f t="shared" si="5"/>
        <v>0.9</v>
      </c>
      <c r="BS22" s="8" t="str">
        <f>_xlfn.XLOOKUP(B22,'Base stats'!B:B,'Base stats'!AD:AD)</f>
        <v>3~10</v>
      </c>
      <c r="BT22" s="2" t="str">
        <f>IF(AND(J22&lt;=0.95,OR(_xlfn.XLOOKUP(B22,'Base stats'!B:B,'Base stats'!AH:AH)=1,_xlfn.XLOOKUP(B22,'Base stats'!B:B,'Base stats'!Y:Y)="Carnivore",_xlfn.XLOOKUP(B22,'Base stats'!B:B,'Base stats'!Y:Y)="Omnivore",BD22&gt;0.1)),"true","false")</f>
        <v>false</v>
      </c>
      <c r="BU22" s="2" t="str">
        <f>IF(_xlfn.XLOOKUP(B22,'Base stats'!B:B,'Base stats'!AF:AF)=1,"true","false")</f>
        <v>true</v>
      </c>
      <c r="BV22" s="25" t="str">
        <f>IF(E22="BaseInsect","AnimalInsect",
IF(J22&gt;0.95,"AnimalExotic",
_xlfn.TEXTJOIN(", ",TRUE,
IF(OR(_xlfn.XLOOKUP(B22,'Base stats'!B:B,'Base stats'!AJ:AJ)=1,AND(_xlfn.XLOOKUP(B22,'Base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stats'!AH:AH)=1,AND(BH22&lt;&gt;"None",BQ22&gt;=60),ISNUMBER(SEARCH("Attack target",BO22))),"AnimalFighter","")
)))</f>
        <v>AnimalCommon, AnimalFarm</v>
      </c>
      <c r="BW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),_xlfn.XLOOKUP(B22,B:B,BW:BW))</f>
        <v>AridShrubland Desert ExtremeDesert Grasslands LavaField Scarlands</v>
      </c>
      <c r="BX22" s="25" t="str">
        <f>IF(_xlfn.XLOOKUP(B22,'Base stats'!B:B,'Base stats'!AG:AG)=1,"true","false")</f>
        <v>false</v>
      </c>
      <c r="BY22" s="25">
        <f>IF(_xlfn.XLOOKUP(B22,'Base stats'!B:B,'Base stats'!N:N)=1,"No",MAX(0.01,MIN(MROUND(IF(OR(_xlfn.XLOOKUP(B22,'Base stats'!B:B,'Base stats'!AJ:AJ)=1,AND(BI22="True",CB22="False")),POWER(10,3.47*LOG10(_xlfn.XLOOKUP(B22,'Base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stats'!AH:AH)=1),0.5,1)/100,0.025),1)))</f>
        <v>0.17500000000000002</v>
      </c>
      <c r="BZ22" s="25" t="str">
        <f>IF(P22="Standard","No",MAX(0.01,IF(_xlfn.XLOOKUP(B22,'Base stats'!B:B,'Base stats'!N:N)=0,MROUND(BY22*P22,0.05),MIN(1,MAX(0.025,MROUND(IF(OR(CB22="true",AND(BI22="false",BN22="false")),POWER(10,4.15*LOG10(_xlfn.XLOOKUP(B22,'Base stats'!B:B,'Base stats'!C:C)*1000)^-0.73),POWER(10,3.47*LOG10(_xlfn.XLOOKUP(B22,'Base stats'!B:B,'Base stats'!C:C)*1000)^-0.96))*IF(_xlfn.XLOOKUP(B22,'Base stats'!B:B,'Base stats'!AH:AH)=1,0.5,1)/100,0.025))))))</f>
        <v>No</v>
      </c>
      <c r="CA22" s="25" t="str">
        <f>IF(_xlfn.XLOOKUP(_xlfn.XLOOKUP(B22,'Base stats'!B:B,'Base stats'!E:E),Groups!A:A,Groups!AJ:AJ)="Mammal","True","False")</f>
        <v>True</v>
      </c>
      <c r="CB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C22" s="25" t="str">
        <f t="shared" si="6"/>
        <v>False</v>
      </c>
      <c r="CD22" s="25" t="str">
        <f>IF(_xlfn.XLOOKUP(_xlfn.XLOOKUP(B22,'Base stats'!B:B,'Base stats'!E:E),Groups!A:A,Groups!AX:AX),"True","False")</f>
        <v>False</v>
      </c>
      <c r="CE22" s="25" t="str">
        <f>IF(_xlfn.XLOOKUP(_xlfn.XLOOKUP(B22,'Base stats'!B:B,'Base stats'!E:E),Groups!A:A,Groups!AY:AY),"True","False")</f>
        <v>False</v>
      </c>
      <c r="CF22" s="25" t="str">
        <f>IF(_xlfn.XLOOKUP(_xlfn.XLOOKUP(B22,'Base stats'!B:B,'Base stats'!E:E),Groups!A:A,Groups!AW:AW),"True","False")</f>
        <v>False</v>
      </c>
      <c r="CG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H22" s="25" t="str">
        <f>IF(_xlfn.XLOOKUP(_xlfn.XLOOKUP(B22,'Base stats'!B:B,'Base stats'!E:E),Groups!A:A,Groups!BB:BB),"True","False")</f>
        <v>True</v>
      </c>
      <c r="CI22" s="25" t="str">
        <f>IF(_xlfn.XLOOKUP(_xlfn.XLOOKUP(B22,'Base stats'!B:B,'Base stats'!E:E),Groups!A:A,Groups!BA:BA),"True","False")</f>
        <v>False</v>
      </c>
      <c r="CN22" s="16"/>
    </row>
    <row r="23" spans="1:92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stats'!AI:AI)=0,BH23="None",_xlfn.XLOOKUP(_xlfn.XLOOKUP(B23,'Base stats'!B:B,'Base stats'!E:E),Groups!A:A,Groups!B:B)=0), (18 + BQ23 * 2.7) * 0.5,
    IF(AND(_xlfn.XLOOKUP(B23,'Base stats'!B:B,'Base stats'!AI:AI)=0,OR(AO23&lt;0.55,AND(BH23="Intermediate",_xlfn.XLOOKUP(_xlfn.XLOOKUP(B23,'Base stats'!B:B,'Base stats'!E:E),Groups!A:A,Groups!B:B)&lt;2))), (18 + BQ23 * 2.7),
      IF(OR(BH23="Advanced",_xlfn.XLOOKUP(B23,'Base stats'!B:B,'Base stats'!AI:AI)=1,_xlfn.XLOOKUP(_xlfn.XLOOKUP(B23,'Base stats'!B:B,'Base stats'!E:E),Groups!A:A,Groups!B:B)=2), (18 + BQ23 * 2.7) + 250, (18 + BQ23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IF(_xlfn.XLOOKUP(B23,'Base stats'!B:B,'Base stats'!AI:AI)=1,0.99,MIN(MROUND((1-0.6282*EXP(-0.459*AO23))*_xlfn.XLOOKUP(_xlfn.XLOOKUP(B23,'Base stats'!B:B,'Base stats'!E:E),Groups!A:A,Groups!C:C)*IF(_xlfn.XLOOKUP(B23,'Base stats'!B:B,'Base stats'!O:O)=1,0.5,IF(_xlfn.XLOOKUP(B23,'Base stats'!B:B,'Base stats'!O:O)=2,0,1)),0.05),0.985))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W23)),ISNUMBER(SEARCH("IceSheet",BW23))),-50,IF(OR(ISNUMBER(SEARCH("GlacialPlain",BW23)),ISNUMBER(SEARCH("Tundra",BW23))),-40,IF(OR(ISNUMBER(SEARCH("Alpine",BW23)),ISNUMBER(SEARCH("BorealForest",BW23)),ISNUMBER(SEARCH("ColdBog",BW23))),-30,IF(OR(ISNUMBER(SEARCH("TemperateForest",BW23)),ISNUMBER(SEARCH("TemperateSwamp",BW23))),-20,IF(_xlfn.XLOOKUP(_xlfn.XLOOKUP(B23,'Base stats'!B:B,'Base stats'!E:E),Groups!A:A,Groups!F:F)=1,-15,IF(OR(ISNUMBER(SEARCH("Desert",BW23)),ISNUMBER(SEARCH("ExtremeDesert",BW23))),-10,IF(OR(ISNUMBER(SEARCH("Grasslands",BW23)),ISNUMBER(SEARCH("TropicalRainforest",BW23)),ISNUMBER(SEARCH("TropicalSwamp",BW23))),10,0)))))))-IF(CB23="False",MIN(IFERROR(MAX(MROUND(LOG10(_xlfn.XLOOKUP(B23,'Base stats'!B:B,'Base stats'!C:C)^(2/3))*10,5),5),5),30))-_xlfn.XLOOKUP(B23,'Base stats'!B:B,'Base stats'!P:P)+IF(CB23="True",5,0)</f>
        <v>-45</v>
      </c>
      <c r="M23" s="2">
        <f>IF(OR(_xlfn.XLOOKUP(_xlfn.XLOOKUP(B23,'Base stats'!B:B,'Base stats'!E:E),Groups!A:A,Groups!G:G)=2,ISNUMBER(SEARCH("Desert",BW23)),ISNUMBER(SEARCH("ExtremeDesert",BW23)),ISNUMBER(SEARCH("LavaField",BW23))),50,IF(ISNUMBER(SEARCH("Grasslands",BW23)),45,IF(OR(_xlfn.XLOOKUP(_xlfn.XLOOKUP(B23,'Base stats'!B:B,'Base stats'!E:E),Groups!A:A,Groups!G:G)=1,ISNUMBER(SEARCH("TropicalRainforest",BW23)),ISNUMBER(SEARCH("TropicalSwamp",BW23))),40,IF(OR(ISNUMBER(SEARCH("TemperateForest",BW23)),ISNUMBER(SEARCH("TemperateSwamp",BW23))),35,IF(OR(ISNUMBER(SEARCH("Alpine",BW23)),ISNUMBER(SEARCH("BorealForest",BW23)),ISNUMBER(SEARCH("ColdBog",BW23))),30,IF(ISNUMBER(OR(ISNUMBER(SEARCH("GlacialPlain",BW23)),SEARCH("Tundra",BW23))),25,IF(OR(ISNUMBER(SEARCH("SeaIce",BW23)),ISNUMBER(SEARCH("IceSheet",BW23)),ISNUMBER(SEARCH("TropicalSwamp",BW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stats'!AO:AO))*(AO23^0.5)+(_xlfn.XLOOKUP(B23,'Base stats'!B:B,'Base stats'!AO:AO)/1000)^(2/3)+_xlfn.XLOOKUP(B23,'Base stats'!B:B,'Base stats'!AX:AX)/2)+0.5,0.5)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stats'!AP:AP))*(AO23^0.5)+(_xlfn.XLOOKUP(B23,'Base stats'!B:B,'Base stats'!AP:AP)/1000)^(2/3)+_xlfn.XLOOKUP(B23,'Base stats'!B:B,'Base stats'!AX:AX))+_xlfn.XLOOKUP(B23,'Base stats'!B:B,'Base stats'!AV:AV)+0.5,0.5))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stats'!AR:AR))*(AO23^0.5)+(_xlfn.XLOOKUP(B23,'Base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stats'!AQ:AQ)="No","No",MROUND((LOG10(_xlfn.XLOOKUP(B23,'Base stats'!B:B,'Base stats'!AQ:AQ))*(AO23^0.75)+(_xlfn.XLOOKUP(B23,'Base stats'!B:B,'Base stats'!AQ:AQ)/1000)^(2/3)+_xlfn.XLOOKUP(B23,'Base stats'!B:B,'Base stats'!AU:AU)+_xlfn.XLOOKUP(B23,'Base stats'!B:B,'Base stats'!AX:AX))+0.5,0.5))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stats'!AP:AP))*(AO23^0.75)+(_xlfn.XLOOKUP(B23,'Base stats'!B:B,'Base stats'!AP:AP)/1000)^(2/3)+_xlfn.XLOOKUP(B23,'Base stats'!B:B,'Base stats'!AV:AV)+_xlfn.XLOOKUP(B23,'Base stats'!B:B,'Base stats'!AX:AX))+0.5,0.5))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MAX(0.01,MROUND(IF(CB23="True",0.196*(AO23*100*1000)^0.889,IF(_xlfn.XLOOKUP(_xlfn.XLOOKUP(B23,'Base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IF(OR(A23="Queen",A23="Larva"),"No",IFERROR(MAX(IF(_xlfn.XLOOKUP(B23,'Base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stats'!AE:AE)</f>
        <v>Leather_Light</v>
      </c>
      <c r="BB23" s="23" t="str">
        <f>_xlfn.XLOOKUP(_xlfn.XLOOKUP(B23,'Base stats'!B:B,'Base stats'!E:E),Groups!A:A,Groups!AL:AL)</f>
        <v>QuadrupedAnimalWithPaws</v>
      </c>
      <c r="BC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D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E23" s="2" t="str">
        <f>IF(J23&gt;0.3,"No",_xlfn.XLOOKUP(_xlfn.XLOOKUP(Animals!B23,'Base stats'!B:B,'Base stats'!E:E),Groups!A:A,Groups!AP:AP))</f>
        <v>No</v>
      </c>
      <c r="BF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+ 24*(1-IF(BE23="No",0,BE23)) + 16/3, 12),"No")</f>
        <v>36</v>
      </c>
      <c r="BG23" s="2">
        <f>IF(AND(_xlfn.XLOOKUP(_xlfn.XLOOKUP(B23,'Base stats'!B:B,'Base stats'!E:E),Groups!A:A,Groups!AQ:AQ)=1,AO23&lt;=0.35),8,12)</f>
        <v>8</v>
      </c>
      <c r="BH23" s="2" t="str">
        <f>IF(_xlfn.XLOOKUP(_xlfn.XLOOKUP(B23,'Base stats'!B:B,'Base stats'!E:E),Groups!A:A,Groups!D:D)=0,_xlfn.XLOOKUP(_xlfn.XLOOKUP(B23,'Base stats'!B:B,'Base stats'!E:E),Groups!A:A,Groups!AR:AR),"None")</f>
        <v>None</v>
      </c>
      <c r="BI23" s="2" t="str">
        <f>IF(AND(_xlfn.XLOOKUP(_xlfn.XLOOKUP(B23,'Base stats'!B:B,'Base stats'!E:E),Groups!A:A,Groups!AS:AS)=1,OR('Base stats'!Y23="Carnivore",'Base stats'!Y23="Omnivore")),"true","false")</f>
        <v>false</v>
      </c>
      <c r="BJ23" s="2" t="str">
        <f>IF(BI23="true",MROUND(IF(AND(AO23&gt;0.5,OR(_xlfn.XLOOKUP(_xlfn.XLOOKUP(B23,'Base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K23" s="2">
        <f t="shared" si="3"/>
        <v>0</v>
      </c>
      <c r="BL23" s="25" t="str">
        <f>IF(_xlfn.XLOOKUP(B23,'Base stats'!B:B,'Base stats'!AK:AK)="Standard","No",MROUND((_xlfn.XLOOKUP(B23,'Base stats'!B:B,'Base stats'!AK:AK)/3.6)/I23,0.1))</f>
        <v>No</v>
      </c>
      <c r="BM23" s="25" t="str">
        <f t="shared" si="4"/>
        <v>false</v>
      </c>
      <c r="BN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O23" s="25" t="str" cm="1">
        <f t="array" ref="BO23">IF(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 = "",
  "No",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
)</f>
        <v>Comfort</v>
      </c>
      <c r="BP23" s="25" t="str">
        <f>IF(
   AND(
      'Base stats'!AK23="Standard",_xlfn.XLOOKUP(_xlfn.XLOOKUP(B23,'Base stats'!B:B,'Base stats'!E:E),Groups!A:A,Groups!AU:AU)=0,
      OR(
      BN23="True"
      )
   ),
   10,
   IF(
       OR(BL23&lt;&gt;"No",_xlfn.XLOOKUP(_xlfn.XLOOKUP(B23,'Base stats'!B:B,'Base stats'!E:E),Groups!A:A,Groups!AU:AU)=1),
      1,
      "No"
   )
)</f>
        <v>No</v>
      </c>
      <c r="BQ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stats'!AS:AS) * 1.8) * 2) * 2.5 + 10 + I23 * 2,5)+IF(_xlfn.XLOOKUP(B23,'Base stats'!B:B,'Base stats'!AH:AH)=1,50,0)</f>
        <v>45</v>
      </c>
      <c r="BR23" s="8">
        <f t="shared" si="5"/>
        <v>0.30000000000000004</v>
      </c>
      <c r="BS23" s="8" t="str">
        <f>_xlfn.XLOOKUP(B23,'Base stats'!B:B,'Base stats'!AD:AD)</f>
        <v>No</v>
      </c>
      <c r="BT23" s="2" t="str">
        <f>IF(AND(J23&lt;=0.95,OR(_xlfn.XLOOKUP(B23,'Base stats'!B:B,'Base stats'!AH:AH)=1,_xlfn.XLOOKUP(B23,'Base stats'!B:B,'Base stats'!Y:Y)="Carnivore",_xlfn.XLOOKUP(B23,'Base stats'!B:B,'Base stats'!Y:Y)="Omnivore",BD23&gt;0.1)),"true","false")</f>
        <v>false</v>
      </c>
      <c r="BU23" s="2" t="str">
        <f>IF(_xlfn.XLOOKUP(B23,'Base stats'!B:B,'Base stats'!AF:AF)=1,"true","false")</f>
        <v>false</v>
      </c>
      <c r="BV23" s="25" t="str">
        <f>IF(E23="BaseInsect","AnimalInsect",
IF(J23&gt;0.95,"AnimalExotic",
_xlfn.TEXTJOIN(", ",TRUE,
IF(OR(_xlfn.XLOOKUP(B23,'Base stats'!B:B,'Base stats'!AJ:AJ)=1,AND(_xlfn.XLOOKUP(B23,'Base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stats'!AH:AH)=1,AND(BH23&lt;&gt;"None",BQ23&gt;=60),ISNUMBER(SEARCH("Attack target",BO23))),"AnimalFighter","")
)))</f>
        <v>AnimalCommon</v>
      </c>
      <c r="BW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),_xlfn.XLOOKUP(B23,B:B,BW:BW))</f>
        <v>BorealForest ColdBog TemperateForest TemperateSwamp AridShrubland Desert Grasslands LavaField GlacialPlain</v>
      </c>
      <c r="BX23" s="25" t="str">
        <f>IF(_xlfn.XLOOKUP(B23,'Base stats'!B:B,'Base stats'!AG:AG)=1,"true","false")</f>
        <v>false</v>
      </c>
      <c r="BY23" s="25">
        <f>IF(_xlfn.XLOOKUP(B23,'Base stats'!B:B,'Base stats'!N:N)=1,"No",MAX(0.01,MIN(MROUND(IF(OR(_xlfn.XLOOKUP(B23,'Base stats'!B:B,'Base stats'!AJ:AJ)=1,AND(BI23="True",CB23="False")),POWER(10,3.47*LOG10(_xlfn.XLOOKUP(B23,'Base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stats'!AH:AH)=1),0.5,1)/100,0.025),1)))</f>
        <v>0.42500000000000004</v>
      </c>
      <c r="BZ23" s="25" t="str">
        <f>IF(P23="Standard","No",MAX(0.01,IF(_xlfn.XLOOKUP(B23,'Base stats'!B:B,'Base stats'!N:N)=0,MROUND(BY23*P23,0.05),MIN(1,MAX(0.025,MROUND(IF(OR(CB23="true",AND(BI23="false",BN23="false")),POWER(10,4.15*LOG10(_xlfn.XLOOKUP(B23,'Base stats'!B:B,'Base stats'!C:C)*1000)^-0.73),POWER(10,3.47*LOG10(_xlfn.XLOOKUP(B23,'Base stats'!B:B,'Base stats'!C:C)*1000)^-0.96))*IF(_xlfn.XLOOKUP(B23,'Base stats'!B:B,'Base stats'!AH:AH)=1,0.5,1)/100,0.025))))))</f>
        <v>No</v>
      </c>
      <c r="CA23" s="25" t="str">
        <f>IF(_xlfn.XLOOKUP(_xlfn.XLOOKUP(B23,'Base stats'!B:B,'Base stats'!E:E),Groups!A:A,Groups!AJ:AJ)="Mammal","True","False")</f>
        <v>True</v>
      </c>
      <c r="CB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C23" s="25" t="str">
        <f t="shared" si="6"/>
        <v>False</v>
      </c>
      <c r="CD23" s="25" t="str">
        <f>IF(_xlfn.XLOOKUP(_xlfn.XLOOKUP(B23,'Base stats'!B:B,'Base stats'!E:E),Groups!A:A,Groups!AX:AX),"True","False")</f>
        <v>False</v>
      </c>
      <c r="CE23" s="25" t="str">
        <f>IF(_xlfn.XLOOKUP(_xlfn.XLOOKUP(B23,'Base stats'!B:B,'Base stats'!E:E),Groups!A:A,Groups!AY:AY),"True","False")</f>
        <v>False</v>
      </c>
      <c r="CF23" s="25" t="str">
        <f>IF(_xlfn.XLOOKUP(_xlfn.XLOOKUP(B23,'Base stats'!B:B,'Base stats'!E:E),Groups!A:A,Groups!AW:AW),"True","False")</f>
        <v>False</v>
      </c>
      <c r="CG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H23" s="25" t="str">
        <f>IF(_xlfn.XLOOKUP(_xlfn.XLOOKUP(B23,'Base stats'!B:B,'Base stats'!E:E),Groups!A:A,Groups!BB:BB),"True","False")</f>
        <v>True</v>
      </c>
      <c r="CI23" s="25" t="str">
        <f>IF(_xlfn.XLOOKUP(_xlfn.XLOOKUP(B23,'Base stats'!B:B,'Base stats'!E:E),Groups!A:A,Groups!BA:BA),"True","False")</f>
        <v>False</v>
      </c>
      <c r="CN23" s="16"/>
    </row>
    <row r="24" spans="1:92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stats'!AI:AI)=0,BH24="None",_xlfn.XLOOKUP(_xlfn.XLOOKUP(B24,'Base stats'!B:B,'Base stats'!E:E),Groups!A:A,Groups!B:B)=0), (18 + BQ24 * 2.7) * 0.5,
    IF(AND(_xlfn.XLOOKUP(B24,'Base stats'!B:B,'Base stats'!AI:AI)=0,OR(AO24&lt;0.55,AND(BH24="Intermediate",_xlfn.XLOOKUP(_xlfn.XLOOKUP(B24,'Base stats'!B:B,'Base stats'!E:E),Groups!A:A,Groups!B:B)&lt;2))), (18 + BQ24 * 2.7),
      IF(OR(BH24="Advanced",_xlfn.XLOOKUP(B24,'Base stats'!B:B,'Base stats'!AI:AI)=1,_xlfn.XLOOKUP(_xlfn.XLOOKUP(B24,'Base stats'!B:B,'Base stats'!E:E),Groups!A:A,Groups!B:B)=2), (18 + BQ24 * 2.7) + 250, (18 + BQ24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IF(_xlfn.XLOOKUP(B24,'Base stats'!B:B,'Base stats'!AI:AI)=1,0.99,MIN(MROUND((1-0.6282*EXP(-0.459*AO24))*_xlfn.XLOOKUP(_xlfn.XLOOKUP(B24,'Base stats'!B:B,'Base stats'!E:E),Groups!A:A,Groups!C:C)*IF(_xlfn.XLOOKUP(B24,'Base stats'!B:B,'Base stats'!O:O)=1,0.5,IF(_xlfn.XLOOKUP(B24,'Base stats'!B:B,'Base stats'!O:O)=2,0,1)),0.05),0.985))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W24)),ISNUMBER(SEARCH("IceSheet",BW24))),-50,IF(OR(ISNUMBER(SEARCH("GlacialPlain",BW24)),ISNUMBER(SEARCH("Tundra",BW24))),-40,IF(OR(ISNUMBER(SEARCH("Alpine",BW24)),ISNUMBER(SEARCH("BorealForest",BW24)),ISNUMBER(SEARCH("ColdBog",BW24))),-30,IF(OR(ISNUMBER(SEARCH("TemperateForest",BW24)),ISNUMBER(SEARCH("TemperateSwamp",BW24))),-20,IF(_xlfn.XLOOKUP(_xlfn.XLOOKUP(B24,'Base stats'!B:B,'Base stats'!E:E),Groups!A:A,Groups!F:F)=1,-15,IF(OR(ISNUMBER(SEARCH("Desert",BW24)),ISNUMBER(SEARCH("ExtremeDesert",BW24))),-10,IF(OR(ISNUMBER(SEARCH("Grasslands",BW24)),ISNUMBER(SEARCH("TropicalRainforest",BW24)),ISNUMBER(SEARCH("TropicalSwamp",BW24))),10,0)))))))-IF(CB24="False",MIN(IFERROR(MAX(MROUND(LOG10(_xlfn.XLOOKUP(B24,'Base stats'!B:B,'Base stats'!C:C)^(2/3))*10,5),5),5),30))-_xlfn.XLOOKUP(B24,'Base stats'!B:B,'Base stats'!P:P)+IF(CB24="True",5,0)</f>
        <v>-55</v>
      </c>
      <c r="M24" s="2">
        <f>IF(OR(_xlfn.XLOOKUP(_xlfn.XLOOKUP(B24,'Base stats'!B:B,'Base stats'!E:E),Groups!A:A,Groups!G:G)=2,ISNUMBER(SEARCH("Desert",BW24)),ISNUMBER(SEARCH("ExtremeDesert",BW24)),ISNUMBER(SEARCH("LavaField",BW24))),50,IF(ISNUMBER(SEARCH("Grasslands",BW24)),45,IF(OR(_xlfn.XLOOKUP(_xlfn.XLOOKUP(B24,'Base stats'!B:B,'Base stats'!E:E),Groups!A:A,Groups!G:G)=1,ISNUMBER(SEARCH("TropicalRainforest",BW24)),ISNUMBER(SEARCH("TropicalSwamp",BW24))),40,IF(OR(ISNUMBER(SEARCH("TemperateForest",BW24)),ISNUMBER(SEARCH("TemperateSwamp",BW24))),35,IF(OR(ISNUMBER(SEARCH("Alpine",BW24)),ISNUMBER(SEARCH("BorealForest",BW24)),ISNUMBER(SEARCH("ColdBog",BW24))),30,IF(ISNUMBER(OR(ISNUMBER(SEARCH("GlacialPlain",BW24)),SEARCH("Tundra",BW24))),25,IF(OR(ISNUMBER(SEARCH("SeaIce",BW24)),ISNUMBER(SEARCH("IceSheet",BW24)),ISNUMBER(SEARCH("TropicalSwamp",BW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stats'!AO:AO))*(AO24^0.5)+(_xlfn.XLOOKUP(B24,'Base stats'!B:B,'Base stats'!AO:AO)/1000)^(2/3)+_xlfn.XLOOKUP(B24,'Base stats'!B:B,'Base stats'!AX:AX)/2)+0.5,0.5)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stats'!AP:AP))*(AO24^0.5)+(_xlfn.XLOOKUP(B24,'Base stats'!B:B,'Base stats'!AP:AP)/1000)^(2/3)+_xlfn.XLOOKUP(B24,'Base stats'!B:B,'Base stats'!AX:AX))+_xlfn.XLOOKUP(B24,'Base stats'!B:B,'Base stats'!AV:AV)+0.5,0.5))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stats'!AR:AR))*(AO24^0.5)+(_xlfn.XLOOKUP(B24,'Base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stats'!AQ:AQ)="No","No",MROUND((LOG10(_xlfn.XLOOKUP(B24,'Base stats'!B:B,'Base stats'!AQ:AQ))*(AO24^0.75)+(_xlfn.XLOOKUP(B24,'Base stats'!B:B,'Base stats'!AQ:AQ)/1000)^(2/3)+_xlfn.XLOOKUP(B24,'Base stats'!B:B,'Base stats'!AU:AU)+_xlfn.XLOOKUP(B24,'Base stats'!B:B,'Base stats'!AX:AX))+0.5,0.5))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stats'!AP:AP))*(AO24^0.75)+(_xlfn.XLOOKUP(B24,'Base stats'!B:B,'Base stats'!AP:AP)/1000)^(2/3)+_xlfn.XLOOKUP(B24,'Base stats'!B:B,'Base stats'!AV:AV)+_xlfn.XLOOKUP(B24,'Base stats'!B:B,'Base stats'!AX:AX))+0.5,0.5))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MAX(0.01,MROUND(IF(CB24="True",0.196*(AO24*100*1000)^0.889,IF(_xlfn.XLOOKUP(_xlfn.XLOOKUP(B24,'Base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IF(OR(A24="Queen",A24="Larva"),"No",IFERROR(MAX(IF(_xlfn.XLOOKUP(B24,'Base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stats'!AE:AE)</f>
        <v>Leather_Light</v>
      </c>
      <c r="BB24" s="23" t="str">
        <f>_xlfn.XLOOKUP(_xlfn.XLOOKUP(B24,'Base stats'!B:B,'Base stats'!E:E),Groups!A:A,Groups!AL:AL)</f>
        <v>QuadrupedAnimalWithPaws</v>
      </c>
      <c r="BC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D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E24" s="2" t="str">
        <f>IF(J24&gt;0.3,"No",_xlfn.XLOOKUP(_xlfn.XLOOKUP(Animals!B24,'Base stats'!B:B,'Base stats'!E:E),Groups!A:A,Groups!AP:AP))</f>
        <v>No</v>
      </c>
      <c r="BF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+ 24*(1-IF(BE24="No",0,BE24)) + 16/3, 12),"No")</f>
        <v>36</v>
      </c>
      <c r="BG24" s="2">
        <f>IF(AND(_xlfn.XLOOKUP(_xlfn.XLOOKUP(B24,'Base stats'!B:B,'Base stats'!E:E),Groups!A:A,Groups!AQ:AQ)=1,AO24&lt;=0.35),8,12)</f>
        <v>8</v>
      </c>
      <c r="BH24" s="2" t="str">
        <f>IF(_xlfn.XLOOKUP(_xlfn.XLOOKUP(B24,'Base stats'!B:B,'Base stats'!E:E),Groups!A:A,Groups!D:D)=0,_xlfn.XLOOKUP(_xlfn.XLOOKUP(B24,'Base stats'!B:B,'Base stats'!E:E),Groups!A:A,Groups!AR:AR),"None")</f>
        <v>None</v>
      </c>
      <c r="BI24" s="2" t="str">
        <f>IF(AND(_xlfn.XLOOKUP(_xlfn.XLOOKUP(B24,'Base stats'!B:B,'Base stats'!E:E),Groups!A:A,Groups!AS:AS)=1,OR('Base stats'!Y24="Carnivore",'Base stats'!Y24="Omnivore")),"true","false")</f>
        <v>false</v>
      </c>
      <c r="BJ24" s="2" t="str">
        <f>IF(BI24="true",MROUND(IF(AND(AO24&gt;0.5,OR(_xlfn.XLOOKUP(_xlfn.XLOOKUP(B24,'Base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K24" s="2">
        <f t="shared" si="3"/>
        <v>0</v>
      </c>
      <c r="BL24" s="25" t="str">
        <f>IF(_xlfn.XLOOKUP(B24,'Base stats'!B:B,'Base stats'!AK:AK)="Standard","No",MROUND((_xlfn.XLOOKUP(B24,'Base stats'!B:B,'Base stats'!AK:AK)/3.6)/I24,0.1))</f>
        <v>No</v>
      </c>
      <c r="BM24" s="25" t="str">
        <f t="shared" si="4"/>
        <v>false</v>
      </c>
      <c r="BN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O24" s="25" t="str" cm="1">
        <f t="array" ref="BO24">IF(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 = "",
  "No",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
)</f>
        <v>Comfort</v>
      </c>
      <c r="BP24" s="25" t="str">
        <f>IF(
   AND(
      'Base stats'!AK24="Standard",_xlfn.XLOOKUP(_xlfn.XLOOKUP(B24,'Base stats'!B:B,'Base stats'!E:E),Groups!A:A,Groups!AU:AU)=0,
      OR(
      BN24="True"
      )
   ),
   10,
   IF(
       OR(BL24&lt;&gt;"No",_xlfn.XLOOKUP(_xlfn.XLOOKUP(B24,'Base stats'!B:B,'Base stats'!E:E),Groups!A:A,Groups!AU:AU)=1),
      1,
      "No"
   )
)</f>
        <v>No</v>
      </c>
      <c r="BQ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stats'!AS:AS) * 1.8) * 2) * 2.5 + 10 + I24 * 2,5)+IF(_xlfn.XLOOKUP(B24,'Base stats'!B:B,'Base stats'!AH:AH)=1,50,0)</f>
        <v>45</v>
      </c>
      <c r="BR24" s="8">
        <f t="shared" si="5"/>
        <v>0.30000000000000004</v>
      </c>
      <c r="BS24" s="8" t="str">
        <f>_xlfn.XLOOKUP(B24,'Base stats'!B:B,'Base stats'!AD:AD)</f>
        <v>No</v>
      </c>
      <c r="BT24" s="2" t="str">
        <f>IF(AND(J24&lt;=0.95,OR(_xlfn.XLOOKUP(B24,'Base stats'!B:B,'Base stats'!AH:AH)=1,_xlfn.XLOOKUP(B24,'Base stats'!B:B,'Base stats'!Y:Y)="Carnivore",_xlfn.XLOOKUP(B24,'Base stats'!B:B,'Base stats'!Y:Y)="Omnivore",BD24&gt;0.1)),"true","false")</f>
        <v>false</v>
      </c>
      <c r="BU24" s="2" t="str">
        <f>IF(_xlfn.XLOOKUP(B24,'Base stats'!B:B,'Base stats'!AF:AF)=1,"true","false")</f>
        <v>false</v>
      </c>
      <c r="BV24" s="25" t="str">
        <f>IF(E24="BaseInsect","AnimalInsect",
IF(J24&gt;0.95,"AnimalExotic",
_xlfn.TEXTJOIN(", ",TRUE,
IF(OR(_xlfn.XLOOKUP(B24,'Base stats'!B:B,'Base stats'!AJ:AJ)=1,AND(_xlfn.XLOOKUP(B24,'Base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stats'!AH:AH)=1,AND(BH24&lt;&gt;"None",BQ24&gt;=60),ISNUMBER(SEARCH("Attack target",BO24))),"AnimalFighter","")
)))</f>
        <v>AnimalCommon</v>
      </c>
      <c r="BW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),_xlfn.XLOOKUP(B24,B:B,BW:BW))</f>
        <v>SeaIce IceSheet Tundra</v>
      </c>
      <c r="BX24" s="25" t="str">
        <f>IF(_xlfn.XLOOKUP(B24,'Base stats'!B:B,'Base stats'!AG:AG)=1,"true","false")</f>
        <v>false</v>
      </c>
      <c r="BY24" s="25">
        <f>IF(_xlfn.XLOOKUP(B24,'Base stats'!B:B,'Base stats'!N:N)=1,"No",MAX(0.01,MIN(MROUND(IF(OR(_xlfn.XLOOKUP(B24,'Base stats'!B:B,'Base stats'!AJ:AJ)=1,AND(BI24="True",CB24="False")),POWER(10,3.47*LOG10(_xlfn.XLOOKUP(B24,'Base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stats'!AH:AH)=1),0.5,1)/100,0.025),1)))</f>
        <v>0.42500000000000004</v>
      </c>
      <c r="BZ24" s="25" t="str">
        <f>IF(P24="Standard","No",MAX(0.01,IF(_xlfn.XLOOKUP(B24,'Base stats'!B:B,'Base stats'!N:N)=0,MROUND(BY24*P24,0.05),MIN(1,MAX(0.025,MROUND(IF(OR(CB24="true",AND(BI24="false",BN24="false")),POWER(10,4.15*LOG10(_xlfn.XLOOKUP(B24,'Base stats'!B:B,'Base stats'!C:C)*1000)^-0.73),POWER(10,3.47*LOG10(_xlfn.XLOOKUP(B24,'Base stats'!B:B,'Base stats'!C:C)*1000)^-0.96))*IF(_xlfn.XLOOKUP(B24,'Base stats'!B:B,'Base stats'!AH:AH)=1,0.5,1)/100,0.025))))))</f>
        <v>No</v>
      </c>
      <c r="CA24" s="25" t="str">
        <f>IF(_xlfn.XLOOKUP(_xlfn.XLOOKUP(B24,'Base stats'!B:B,'Base stats'!E:E),Groups!A:A,Groups!AJ:AJ)="Mammal","True","False")</f>
        <v>True</v>
      </c>
      <c r="CB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C24" s="25" t="str">
        <f t="shared" si="6"/>
        <v>False</v>
      </c>
      <c r="CD24" s="25" t="str">
        <f>IF(_xlfn.XLOOKUP(_xlfn.XLOOKUP(B24,'Base stats'!B:B,'Base stats'!E:E),Groups!A:A,Groups!AX:AX),"True","False")</f>
        <v>False</v>
      </c>
      <c r="CE24" s="25" t="str">
        <f>IF(_xlfn.XLOOKUP(_xlfn.XLOOKUP(B24,'Base stats'!B:B,'Base stats'!E:E),Groups!A:A,Groups!AY:AY),"True","False")</f>
        <v>False</v>
      </c>
      <c r="CF24" s="25" t="str">
        <f>IF(_xlfn.XLOOKUP(_xlfn.XLOOKUP(B24,'Base stats'!B:B,'Base stats'!E:E),Groups!A:A,Groups!AW:AW),"True","False")</f>
        <v>False</v>
      </c>
      <c r="CG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H24" s="25" t="str">
        <f>IF(_xlfn.XLOOKUP(_xlfn.XLOOKUP(B24,'Base stats'!B:B,'Base stats'!E:E),Groups!A:A,Groups!BB:BB),"True","False")</f>
        <v>True</v>
      </c>
      <c r="CI24" s="25" t="str">
        <f>IF(_xlfn.XLOOKUP(_xlfn.XLOOKUP(B24,'Base stats'!B:B,'Base stats'!E:E),Groups!A:A,Groups!BA:BA),"True","False")</f>
        <v>False</v>
      </c>
    </row>
    <row r="25" spans="1:92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stats'!AI:AI)=0,BH25="None",_xlfn.XLOOKUP(_xlfn.XLOOKUP(B25,'Base stats'!B:B,'Base stats'!E:E),Groups!A:A,Groups!B:B)=0), (18 + BQ25 * 2.7) * 0.5,
    IF(AND(_xlfn.XLOOKUP(B25,'Base stats'!B:B,'Base stats'!AI:AI)=0,OR(AO25&lt;0.55,AND(BH25="Intermediate",_xlfn.XLOOKUP(_xlfn.XLOOKUP(B25,'Base stats'!B:B,'Base stats'!E:E),Groups!A:A,Groups!B:B)&lt;2))), (18 + BQ25 * 2.7),
      IF(OR(BH25="Advanced",_xlfn.XLOOKUP(B25,'Base stats'!B:B,'Base stats'!AI:AI)=1,_xlfn.XLOOKUP(_xlfn.XLOOKUP(B25,'Base stats'!B:B,'Base stats'!E:E),Groups!A:A,Groups!B:B)=2), (18 + BQ25 * 2.7) + 250, (18 + BQ25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IF(_xlfn.XLOOKUP(B25,'Base stats'!B:B,'Base stats'!AI:AI)=1,0.99,MIN(MROUND((1-0.6282*EXP(-0.459*AO25))*_xlfn.XLOOKUP(_xlfn.XLOOKUP(B25,'Base stats'!B:B,'Base stats'!E:E),Groups!A:A,Groups!C:C)*IF(_xlfn.XLOOKUP(B25,'Base stats'!B:B,'Base stats'!O:O)=1,0.5,IF(_xlfn.XLOOKUP(B25,'Base stats'!B:B,'Base stats'!O:O)=2,0,1)),0.05),0.985))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W25)),ISNUMBER(SEARCH("IceSheet",BW25))),-50,IF(OR(ISNUMBER(SEARCH("GlacialPlain",BW25)),ISNUMBER(SEARCH("Tundra",BW25))),-40,IF(OR(ISNUMBER(SEARCH("Alpine",BW25)),ISNUMBER(SEARCH("BorealForest",BW25)),ISNUMBER(SEARCH("ColdBog",BW25))),-30,IF(OR(ISNUMBER(SEARCH("TemperateForest",BW25)),ISNUMBER(SEARCH("TemperateSwamp",BW25))),-20,IF(_xlfn.XLOOKUP(_xlfn.XLOOKUP(B25,'Base stats'!B:B,'Base stats'!E:E),Groups!A:A,Groups!F:F)=1,-15,IF(OR(ISNUMBER(SEARCH("Desert",BW25)),ISNUMBER(SEARCH("ExtremeDesert",BW25))),-10,IF(OR(ISNUMBER(SEARCH("Grasslands",BW25)),ISNUMBER(SEARCH("TropicalRainforest",BW25)),ISNUMBER(SEARCH("TropicalSwamp",BW25))),10,0)))))))-IF(CB25="False",MIN(IFERROR(MAX(MROUND(LOG10(_xlfn.XLOOKUP(B25,'Base stats'!B:B,'Base stats'!C:C)^(2/3))*10,5),5),5),30))-_xlfn.XLOOKUP(B25,'Base stats'!B:B,'Base stats'!P:P)+IF(CB25="True",5,0)</f>
        <v>-10</v>
      </c>
      <c r="M25" s="2">
        <f>IF(OR(_xlfn.XLOOKUP(_xlfn.XLOOKUP(B25,'Base stats'!B:B,'Base stats'!E:E),Groups!A:A,Groups!G:G)=2,ISNUMBER(SEARCH("Desert",BW25)),ISNUMBER(SEARCH("ExtremeDesert",BW25)),ISNUMBER(SEARCH("LavaField",BW25))),50,IF(ISNUMBER(SEARCH("Grasslands",BW25)),45,IF(OR(_xlfn.XLOOKUP(_xlfn.XLOOKUP(B25,'Base stats'!B:B,'Base stats'!E:E),Groups!A:A,Groups!G:G)=1,ISNUMBER(SEARCH("TropicalRainforest",BW25)),ISNUMBER(SEARCH("TropicalSwamp",BW25))),40,IF(OR(ISNUMBER(SEARCH("TemperateForest",BW25)),ISNUMBER(SEARCH("TemperateSwamp",BW25))),35,IF(OR(ISNUMBER(SEARCH("Alpine",BW25)),ISNUMBER(SEARCH("BorealForest",BW25)),ISNUMBER(SEARCH("ColdBog",BW25))),30,IF(ISNUMBER(OR(ISNUMBER(SEARCH("GlacialPlain",BW25)),SEARCH("Tundra",BW25))),25,IF(OR(ISNUMBER(SEARCH("SeaIce",BW25)),ISNUMBER(SEARCH("IceSheet",BW25)),ISNUMBER(SEARCH("TropicalSwamp",BW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stats'!AO:AO))*(AO25^0.5)+(_xlfn.XLOOKUP(B25,'Base stats'!B:B,'Base stats'!AO:AO)/1000)^(2/3)+_xlfn.XLOOKUP(B25,'Base stats'!B:B,'Base stats'!AX:AX)/2)+0.5,0.5)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stats'!AP:AP))*(AO25^0.5)+(_xlfn.XLOOKUP(B25,'Base stats'!B:B,'Base stats'!AP:AP)/1000)^(2/3)+_xlfn.XLOOKUP(B25,'Base stats'!B:B,'Base stats'!AX:AX))+_xlfn.XLOOKUP(B25,'Base stats'!B:B,'Base stats'!AV:AV)+0.5,0.5))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stats'!AR:AR))*(AO25^0.5)+(_xlfn.XLOOKUP(B25,'Base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stats'!AQ:AQ)="No","No",MROUND((LOG10(_xlfn.XLOOKUP(B25,'Base stats'!B:B,'Base stats'!AQ:AQ))*(AO25^0.75)+(_xlfn.XLOOKUP(B25,'Base stats'!B:B,'Base stats'!AQ:AQ)/1000)^(2/3)+_xlfn.XLOOKUP(B25,'Base stats'!B:B,'Base stats'!AU:AU)+_xlfn.XLOOKUP(B25,'Base stats'!B:B,'Base stats'!AX:AX))+0.5,0.5))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stats'!AP:AP))*(AO25^0.75)+(_xlfn.XLOOKUP(B25,'Base stats'!B:B,'Base stats'!AP:AP)/1000)^(2/3)+_xlfn.XLOOKUP(B25,'Base stats'!B:B,'Base stats'!AV:AV)+_xlfn.XLOOKUP(B25,'Base stats'!B:B,'Base stats'!AX:AX))+0.5,0.5))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MAX(0.01,MROUND(IF(CB25="True",0.196*(AO25*100*1000)^0.889,IF(_xlfn.XLOOKUP(_xlfn.XLOOKUP(B25,'Base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IF(OR(A25="Queen",A25="Larva"),"No",IFERROR(MAX(IF(_xlfn.XLOOKUP(B25,'Base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stats'!AE:AE)</f>
        <v>Leather_Rhinoceros</v>
      </c>
      <c r="BB25" s="23" t="str">
        <f>_xlfn.XLOOKUP(_xlfn.XLOOKUP(B25,'Base stats'!B:B,'Base stats'!E:E),Groups!A:A,Groups!AL:AL)</f>
        <v>QuadrupedAnimalWithHoovesAndHorn</v>
      </c>
      <c r="BC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D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E25" s="2" t="str">
        <f>IF(J25&gt;0.3,"No",_xlfn.XLOOKUP(_xlfn.XLOOKUP(Animals!B25,'Base stats'!B:B,'Base stats'!E:E),Groups!A:A,Groups!AP:AP))</f>
        <v>No</v>
      </c>
      <c r="BF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+ 24*(1-IF(BE25="No",0,BE25)) + 16/3, 12),"No")</f>
        <v>No</v>
      </c>
      <c r="BG25" s="2">
        <f>IF(AND(_xlfn.XLOOKUP(_xlfn.XLOOKUP(B25,'Base stats'!B:B,'Base stats'!E:E),Groups!A:A,Groups!AQ:AQ)=1,AO25&lt;=0.35),8,12)</f>
        <v>12</v>
      </c>
      <c r="BH25" s="2" t="str">
        <f>IF(_xlfn.XLOOKUP(_xlfn.XLOOKUP(B25,'Base stats'!B:B,'Base stats'!E:E),Groups!A:A,Groups!D:D)=0,_xlfn.XLOOKUP(_xlfn.XLOOKUP(B25,'Base stats'!B:B,'Base stats'!E:E),Groups!A:A,Groups!AR:AR),"None")</f>
        <v>None</v>
      </c>
      <c r="BI25" s="2" t="str">
        <f>IF(AND(_xlfn.XLOOKUP(_xlfn.XLOOKUP(B25,'Base stats'!B:B,'Base stats'!E:E),Groups!A:A,Groups!AS:AS)=1,OR('Base stats'!Y25="Carnivore",'Base stats'!Y25="Omnivore")),"true","false")</f>
        <v>false</v>
      </c>
      <c r="BJ25" s="2" t="str">
        <f>IF(BI25="true",MROUND(IF(AND(AO25&gt;0.5,OR(_xlfn.XLOOKUP(_xlfn.XLOOKUP(B25,'Base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K25" s="2">
        <f t="shared" si="3"/>
        <v>0</v>
      </c>
      <c r="BL25" s="25" t="str">
        <f>IF(_xlfn.XLOOKUP(B25,'Base stats'!B:B,'Base stats'!AK:AK)="Standard","No",MROUND((_xlfn.XLOOKUP(B25,'Base stats'!B:B,'Base stats'!AK:AK)/3.6)/I25,0.1))</f>
        <v>No</v>
      </c>
      <c r="BM25" s="25" t="str">
        <f t="shared" si="4"/>
        <v>false</v>
      </c>
      <c r="BN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O25" s="25" t="str" cm="1">
        <f t="array" ref="BO25">IF(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 = "",
  "No",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
)</f>
        <v>No</v>
      </c>
      <c r="BP25" s="25" t="str">
        <f>IF(
   AND(
      'Base stats'!AK25="Standard",_xlfn.XLOOKUP(_xlfn.XLOOKUP(B25,'Base stats'!B:B,'Base stats'!E:E),Groups!A:A,Groups!AU:AU)=0,
      OR(
      BN25="True"
      )
   ),
   10,
   IF(
       OR(BL25&lt;&gt;"No",_xlfn.XLOOKUP(_xlfn.XLOOKUP(B25,'Base stats'!B:B,'Base stats'!E:E),Groups!A:A,Groups!AU:AU)=1),
      1,
      "No"
   )
)</f>
        <v>No</v>
      </c>
      <c r="BQ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stats'!AS:AS) * 1.8) * 2) * 2.5 + 10 + I25 * 2,5)+IF(_xlfn.XLOOKUP(B25,'Base stats'!B:B,'Base stats'!AH:AH)=1,50,0)</f>
        <v>430</v>
      </c>
      <c r="BR25" s="8">
        <f t="shared" si="5"/>
        <v>2.5</v>
      </c>
      <c r="BS25" s="8" t="str">
        <f>_xlfn.XLOOKUP(B25,'Base stats'!B:B,'Base stats'!AD:AD)</f>
        <v>No</v>
      </c>
      <c r="BT25" s="2" t="str">
        <f>IF(AND(J25&lt;=0.95,OR(_xlfn.XLOOKUP(B25,'Base stats'!B:B,'Base stats'!AH:AH)=1,_xlfn.XLOOKUP(B25,'Base stats'!B:B,'Base stats'!Y:Y)="Carnivore",_xlfn.XLOOKUP(B25,'Base stats'!B:B,'Base stats'!Y:Y)="Omnivore",BD25&gt;0.1)),"true","false")</f>
        <v>true</v>
      </c>
      <c r="BU25" s="2" t="str">
        <f>IF(_xlfn.XLOOKUP(B25,'Base stats'!B:B,'Base stats'!AF:AF)=1,"true","false")</f>
        <v>false</v>
      </c>
      <c r="BV25" s="25" t="str">
        <f>IF(E25="BaseInsect","AnimalInsect",
IF(J25&gt;0.95,"AnimalExotic",
_xlfn.TEXTJOIN(", ",TRUE,
IF(OR(_xlfn.XLOOKUP(B25,'Base stats'!B:B,'Base stats'!AJ:AJ)=1,AND(_xlfn.XLOOKUP(B25,'Base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stats'!AH:AH)=1,AND(BH25&lt;&gt;"None",BQ25&gt;=60),ISNUMBER(SEARCH("Attack target",BO25))),"AnimalFighter","")
)))</f>
        <v>AnimalUncommon</v>
      </c>
      <c r="BW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),_xlfn.XLOOKUP(B25,B:B,BW:BW))</f>
        <v>AridShrubland Grasslands</v>
      </c>
      <c r="BX25" s="25" t="str">
        <f>IF(_xlfn.XLOOKUP(B25,'Base stats'!B:B,'Base stats'!AG:AG)=1,"true","false")</f>
        <v>false</v>
      </c>
      <c r="BY25" s="25">
        <f>IF(_xlfn.XLOOKUP(B25,'Base stats'!B:B,'Base stats'!N:N)=1,"No",MAX(0.01,MIN(MROUND(IF(OR(_xlfn.XLOOKUP(B25,'Base stats'!B:B,'Base stats'!AJ:AJ)=1,AND(BI25="True",CB25="False")),POWER(10,3.47*LOG10(_xlfn.XLOOKUP(B25,'Base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stats'!AH:AH)=1),0.5,1)/100,0.025),1)))</f>
        <v>0.125</v>
      </c>
      <c r="BZ25" s="25" t="str">
        <f>IF(P25="Standard","No",MAX(0.01,IF(_xlfn.XLOOKUP(B25,'Base stats'!B:B,'Base stats'!N:N)=0,MROUND(BY25*P25,0.05),MIN(1,MAX(0.025,MROUND(IF(OR(CB25="true",AND(BI25="false",BN25="false")),POWER(10,4.15*LOG10(_xlfn.XLOOKUP(B25,'Base stats'!B:B,'Base stats'!C:C)*1000)^-0.73),POWER(10,3.47*LOG10(_xlfn.XLOOKUP(B25,'Base stats'!B:B,'Base stats'!C:C)*1000)^-0.96))*IF(_xlfn.XLOOKUP(B25,'Base stats'!B:B,'Base stats'!AH:AH)=1,0.5,1)/100,0.025))))))</f>
        <v>No</v>
      </c>
      <c r="CA25" s="25" t="str">
        <f>IF(_xlfn.XLOOKUP(_xlfn.XLOOKUP(B25,'Base stats'!B:B,'Base stats'!E:E),Groups!A:A,Groups!AJ:AJ)="Mammal","True","False")</f>
        <v>True</v>
      </c>
      <c r="CB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C25" s="25" t="str">
        <f t="shared" si="6"/>
        <v>False</v>
      </c>
      <c r="CD25" s="25" t="str">
        <f>IF(_xlfn.XLOOKUP(_xlfn.XLOOKUP(B25,'Base stats'!B:B,'Base stats'!E:E),Groups!A:A,Groups!AX:AX),"True","False")</f>
        <v>False</v>
      </c>
      <c r="CE25" s="25" t="str">
        <f>IF(_xlfn.XLOOKUP(_xlfn.XLOOKUP(B25,'Base stats'!B:B,'Base stats'!E:E),Groups!A:A,Groups!AY:AY),"True","False")</f>
        <v>False</v>
      </c>
      <c r="CF25" s="25" t="str">
        <f>IF(_xlfn.XLOOKUP(_xlfn.XLOOKUP(B25,'Base stats'!B:B,'Base stats'!E:E),Groups!A:A,Groups!AW:AW),"True","False")</f>
        <v>False</v>
      </c>
      <c r="CG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H25" s="25" t="str">
        <f>IF(_xlfn.XLOOKUP(_xlfn.XLOOKUP(B25,'Base stats'!B:B,'Base stats'!E:E),Groups!A:A,Groups!BB:BB),"True","False")</f>
        <v>True</v>
      </c>
      <c r="CI25" s="25" t="str">
        <f>IF(_xlfn.XLOOKUP(_xlfn.XLOOKUP(B25,'Base stats'!B:B,'Base stats'!E:E),Groups!A:A,Groups!BA:BA),"True","False")</f>
        <v>False</v>
      </c>
      <c r="CN25" s="16"/>
    </row>
    <row r="26" spans="1:92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stats'!AI:AI)=0,BH26="None",_xlfn.XLOOKUP(_xlfn.XLOOKUP(B26,'Base stats'!B:B,'Base stats'!E:E),Groups!A:A,Groups!B:B)=0), (18 + BQ26 * 2.7) * 0.5,
    IF(AND(_xlfn.XLOOKUP(B26,'Base stats'!B:B,'Base stats'!AI:AI)=0,OR(AO26&lt;0.55,AND(BH26="Intermediate",_xlfn.XLOOKUP(_xlfn.XLOOKUP(B26,'Base stats'!B:B,'Base stats'!E:E),Groups!A:A,Groups!B:B)&lt;2))), (18 + BQ26 * 2.7),
      IF(OR(BH26="Advanced",_xlfn.XLOOKUP(B26,'Base stats'!B:B,'Base stats'!AI:AI)=1,_xlfn.XLOOKUP(_xlfn.XLOOKUP(B26,'Base stats'!B:B,'Base stats'!E:E),Groups!A:A,Groups!B:B)=2), (18 + BQ26 * 2.7) + 250, (18 + BQ26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IF(_xlfn.XLOOKUP(B26,'Base stats'!B:B,'Base stats'!AI:AI)=1,0.99,MIN(MROUND((1-0.6282*EXP(-0.459*AO26))*_xlfn.XLOOKUP(_xlfn.XLOOKUP(B26,'Base stats'!B:B,'Base stats'!E:E),Groups!A:A,Groups!C:C)*IF(_xlfn.XLOOKUP(B26,'Base stats'!B:B,'Base stats'!O:O)=1,0.5,IF(_xlfn.XLOOKUP(B26,'Base stats'!B:B,'Base stats'!O:O)=2,0,1)),0.05),0.985))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W26)),ISNUMBER(SEARCH("IceSheet",BW26))),-50,IF(OR(ISNUMBER(SEARCH("GlacialPlain",BW26)),ISNUMBER(SEARCH("Tundra",BW26))),-40,IF(OR(ISNUMBER(SEARCH("Alpine",BW26)),ISNUMBER(SEARCH("BorealForest",BW26)),ISNUMBER(SEARCH("ColdBog",BW26))),-30,IF(OR(ISNUMBER(SEARCH("TemperateForest",BW26)),ISNUMBER(SEARCH("TemperateSwamp",BW26))),-20,IF(_xlfn.XLOOKUP(_xlfn.XLOOKUP(B26,'Base stats'!B:B,'Base stats'!E:E),Groups!A:A,Groups!F:F)=1,-15,IF(OR(ISNUMBER(SEARCH("Desert",BW26)),ISNUMBER(SEARCH("ExtremeDesert",BW26))),-10,IF(OR(ISNUMBER(SEARCH("Grasslands",BW26)),ISNUMBER(SEARCH("TropicalRainforest",BW26)),ISNUMBER(SEARCH("TropicalSwamp",BW26))),10,0)))))))-IF(CB26="False",MIN(IFERROR(MAX(MROUND(LOG10(_xlfn.XLOOKUP(B26,'Base stats'!B:B,'Base stats'!C:C)^(2/3))*10,5),5),5),30))-_xlfn.XLOOKUP(B26,'Base stats'!B:B,'Base stats'!P:P)+IF(CB26="True",5,0)</f>
        <v>-15</v>
      </c>
      <c r="M26" s="2">
        <f>IF(OR(_xlfn.XLOOKUP(_xlfn.XLOOKUP(B26,'Base stats'!B:B,'Base stats'!E:E),Groups!A:A,Groups!G:G)=2,ISNUMBER(SEARCH("Desert",BW26)),ISNUMBER(SEARCH("ExtremeDesert",BW26)),ISNUMBER(SEARCH("LavaField",BW26))),50,IF(ISNUMBER(SEARCH("Grasslands",BW26)),45,IF(OR(_xlfn.XLOOKUP(_xlfn.XLOOKUP(B26,'Base stats'!B:B,'Base stats'!E:E),Groups!A:A,Groups!G:G)=1,ISNUMBER(SEARCH("TropicalRainforest",BW26)),ISNUMBER(SEARCH("TropicalSwamp",BW26))),40,IF(OR(ISNUMBER(SEARCH("TemperateForest",BW26)),ISNUMBER(SEARCH("TemperateSwamp",BW26))),35,IF(OR(ISNUMBER(SEARCH("Alpine",BW26)),ISNUMBER(SEARCH("BorealForest",BW26)),ISNUMBER(SEARCH("ColdBog",BW26))),30,IF(ISNUMBER(OR(ISNUMBER(SEARCH("GlacialPlain",BW26)),SEARCH("Tundra",BW26))),25,IF(OR(ISNUMBER(SEARCH("SeaIce",BW26)),ISNUMBER(SEARCH("IceSheet",BW26)),ISNUMBER(SEARCH("TropicalSwamp",BW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stats'!AO:AO))*(AO26^0.5)+(_xlfn.XLOOKUP(B26,'Base stats'!B:B,'Base stats'!AO:AO)/1000)^(2/3)+_xlfn.XLOOKUP(B26,'Base stats'!B:B,'Base stats'!AX:AX)/2)+0.5,0.5)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stats'!AP:AP))*(AO26^0.5)+(_xlfn.XLOOKUP(B26,'Base stats'!B:B,'Base stats'!AP:AP)/1000)^(2/3)+_xlfn.XLOOKUP(B26,'Base stats'!B:B,'Base stats'!AX:AX))+_xlfn.XLOOKUP(B26,'Base stats'!B:B,'Base stats'!AV:AV)+0.5,0.5))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stats'!AR:AR))*(AO26^0.5)+(_xlfn.XLOOKUP(B26,'Base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stats'!AQ:AQ)="No","No",MROUND((LOG10(_xlfn.XLOOKUP(B26,'Base stats'!B:B,'Base stats'!AQ:AQ))*(AO26^0.75)+(_xlfn.XLOOKUP(B26,'Base stats'!B:B,'Base stats'!AQ:AQ)/1000)^(2/3)+_xlfn.XLOOKUP(B26,'Base stats'!B:B,'Base stats'!AU:AU)+_xlfn.XLOOKUP(B26,'Base stats'!B:B,'Base stats'!AX:AX))+0.5,0.5))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stats'!AP:AP))*(AO26^0.75)+(_xlfn.XLOOKUP(B26,'Base stats'!B:B,'Base stats'!AP:AP)/1000)^(2/3)+_xlfn.XLOOKUP(B26,'Base stats'!B:B,'Base stats'!AV:AV)+_xlfn.XLOOKUP(B26,'Base stats'!B:B,'Base stats'!AX:AX))+0.5,0.5))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MAX(0.01,MROUND(IF(CB26="True",0.196*(AO26*100*1000)^0.889,IF(_xlfn.XLOOKUP(_xlfn.XLOOKUP(B26,'Base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IF(OR(A26="Queen",A26="Larva"),"No",IFERROR(MAX(IF(_xlfn.XLOOKUP(B26,'Base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stats'!AE:AE)</f>
        <v>Leather_Elephant</v>
      </c>
      <c r="BB26" s="23" t="str">
        <f>_xlfn.XLOOKUP(_xlfn.XLOOKUP(B26,'Base stats'!B:B,'Base stats'!E:E),Groups!A:A,Groups!AL:AL)</f>
        <v>QuadrupedAnimalWithHoovesTusksAndTrunk</v>
      </c>
      <c r="BC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D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E26" s="2" t="str">
        <f>IF(J26&gt;0.3,"No",_xlfn.XLOOKUP(_xlfn.XLOOKUP(Animals!B26,'Base stats'!B:B,'Base stats'!E:E),Groups!A:A,Groups!AP:AP))</f>
        <v>No</v>
      </c>
      <c r="BF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+ 24*(1-IF(BE26="No",0,BE26)) + 16/3, 12),"No")</f>
        <v>No</v>
      </c>
      <c r="BG26" s="2">
        <f>IF(AND(_xlfn.XLOOKUP(_xlfn.XLOOKUP(B26,'Base stats'!B:B,'Base stats'!E:E),Groups!A:A,Groups!AQ:AQ)=1,AO26&lt;=0.35),8,12)</f>
        <v>12</v>
      </c>
      <c r="BH26" s="2" t="str">
        <f>IF(_xlfn.XLOOKUP(_xlfn.XLOOKUP(B26,'Base stats'!B:B,'Base stats'!E:E),Groups!A:A,Groups!D:D)=0,_xlfn.XLOOKUP(_xlfn.XLOOKUP(B26,'Base stats'!B:B,'Base stats'!E:E),Groups!A:A,Groups!AR:AR),"None")</f>
        <v>Advanced</v>
      </c>
      <c r="BI26" s="2" t="str">
        <f>IF(AND(_xlfn.XLOOKUP(_xlfn.XLOOKUP(B26,'Base stats'!B:B,'Base stats'!E:E),Groups!A:A,Groups!AS:AS)=1,OR('Base stats'!Y26="Carnivore",'Base stats'!Y26="Omnivore")),"true","false")</f>
        <v>false</v>
      </c>
      <c r="BJ26" s="2" t="str">
        <f>IF(BI26="true",MROUND(IF(AND(AO26&gt;0.5,OR(_xlfn.XLOOKUP(_xlfn.XLOOKUP(B26,'Base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K26" s="2">
        <f t="shared" si="3"/>
        <v>1</v>
      </c>
      <c r="BL26" s="25" t="str">
        <f>IF(_xlfn.XLOOKUP(B26,'Base stats'!B:B,'Base stats'!AK:AK)="Standard","No",MROUND((_xlfn.XLOOKUP(B26,'Base stats'!B:B,'Base stats'!AK:AK)/3.6)/I26,0.1))</f>
        <v>No</v>
      </c>
      <c r="BM26" s="25" t="str">
        <f t="shared" si="4"/>
        <v>false</v>
      </c>
      <c r="BN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O26" s="25" t="str" cm="1">
        <f t="array" ref="BO26">IF(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 = "",
  "No",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
)</f>
        <v>WarTrumpet</v>
      </c>
      <c r="BP26" s="25" t="str">
        <f>IF(
   AND(
      'Base stats'!AK26="Standard",_xlfn.XLOOKUP(_xlfn.XLOOKUP(B26,'Base stats'!B:B,'Base stats'!E:E),Groups!A:A,Groups!AU:AU)=0,
      OR(
      BN26="True"
      )
   ),
   10,
   IF(
       OR(BL26&lt;&gt;"No",_xlfn.XLOOKUP(_xlfn.XLOOKUP(B26,'Base stats'!B:B,'Base stats'!E:E),Groups!A:A,Groups!AU:AU)=1),
      1,
      "No"
   )
)</f>
        <v>No</v>
      </c>
      <c r="BQ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stats'!AS:AS) * 1.8) * 2) * 2.5 + 10 + I26 * 2,5)+IF(_xlfn.XLOOKUP(B26,'Base stats'!B:B,'Base stats'!AH:AH)=1,50,0)</f>
        <v>460</v>
      </c>
      <c r="BR26" s="8">
        <f t="shared" si="5"/>
        <v>3.1500000000000004</v>
      </c>
      <c r="BS26" s="8" t="str">
        <f>_xlfn.XLOOKUP(B26,'Base stats'!B:B,'Base stats'!AD:AD)</f>
        <v>3~10</v>
      </c>
      <c r="BT26" s="2" t="str">
        <f>IF(AND(J26&lt;=0.95,OR(_xlfn.XLOOKUP(B26,'Base stats'!B:B,'Base stats'!AH:AH)=1,_xlfn.XLOOKUP(B26,'Base stats'!B:B,'Base stats'!Y:Y)="Carnivore",_xlfn.XLOOKUP(B26,'Base stats'!B:B,'Base stats'!Y:Y)="Omnivore",BD26&gt;0.1)),"true","false")</f>
        <v>true</v>
      </c>
      <c r="BU26" s="2" t="str">
        <f>IF(_xlfn.XLOOKUP(B26,'Base stats'!B:B,'Base stats'!AF:AF)=1,"true","false")</f>
        <v>true</v>
      </c>
      <c r="BV26" s="25" t="str">
        <f>IF(E26="BaseInsect","AnimalInsect",
IF(J26&gt;0.95,"AnimalExotic",
_xlfn.TEXTJOIN(", ",TRUE,
IF(OR(_xlfn.XLOOKUP(B26,'Base stats'!B:B,'Base stats'!AJ:AJ)=1,AND(_xlfn.XLOOKUP(B26,'Base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stats'!AH:AH)=1,AND(BH26&lt;&gt;"None",BQ26&gt;=60),ISNUMBER(SEARCH("Attack target",BO26))),"AnimalFighter","")
)))</f>
        <v>AnimalUncommon, AnimalFighter</v>
      </c>
      <c r="BW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),_xlfn.XLOOKUP(B26,B:B,BW:BW))</f>
        <v>AridShrubland Grasslands</v>
      </c>
      <c r="BX26" s="25" t="str">
        <f>IF(_xlfn.XLOOKUP(B26,'Base stats'!B:B,'Base stats'!AG:AG)=1,"true","false")</f>
        <v>false</v>
      </c>
      <c r="BY26" s="25">
        <f>IF(_xlfn.XLOOKUP(B26,'Base stats'!B:B,'Base stats'!N:N)=1,"No",MAX(0.01,MIN(MROUND(IF(OR(_xlfn.XLOOKUP(B26,'Base stats'!B:B,'Base stats'!AJ:AJ)=1,AND(BI26="True",CB26="False")),POWER(10,3.47*LOG10(_xlfn.XLOOKUP(B26,'Base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stats'!AH:AH)=1),0.5,1)/100,0.025),1)))</f>
        <v>0.1</v>
      </c>
      <c r="BZ26" s="25" t="str">
        <f>IF(P26="Standard","No",MAX(0.01,IF(_xlfn.XLOOKUP(B26,'Base stats'!B:B,'Base stats'!N:N)=0,MROUND(BY26*P26,0.05),MIN(1,MAX(0.025,MROUND(IF(OR(CB26="true",AND(BI26="false",BN26="false")),POWER(10,4.15*LOG10(_xlfn.XLOOKUP(B26,'Base stats'!B:B,'Base stats'!C:C)*1000)^-0.73),POWER(10,3.47*LOG10(_xlfn.XLOOKUP(B26,'Base stats'!B:B,'Base stats'!C:C)*1000)^-0.96))*IF(_xlfn.XLOOKUP(B26,'Base stats'!B:B,'Base stats'!AH:AH)=1,0.5,1)/100,0.025))))))</f>
        <v>No</v>
      </c>
      <c r="CA26" s="25" t="str">
        <f>IF(_xlfn.XLOOKUP(_xlfn.XLOOKUP(B26,'Base stats'!B:B,'Base stats'!E:E),Groups!A:A,Groups!AJ:AJ)="Mammal","True","False")</f>
        <v>True</v>
      </c>
      <c r="CB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C26" s="25" t="str">
        <f t="shared" si="6"/>
        <v>False</v>
      </c>
      <c r="CD26" s="25" t="str">
        <f>IF(_xlfn.XLOOKUP(_xlfn.XLOOKUP(B26,'Base stats'!B:B,'Base stats'!E:E),Groups!A:A,Groups!AX:AX),"True","False")</f>
        <v>False</v>
      </c>
      <c r="CE26" s="25" t="str">
        <f>IF(_xlfn.XLOOKUP(_xlfn.XLOOKUP(B26,'Base stats'!B:B,'Base stats'!E:E),Groups!A:A,Groups!AY:AY),"True","False")</f>
        <v>False</v>
      </c>
      <c r="CF26" s="25" t="str">
        <f>IF(_xlfn.XLOOKUP(_xlfn.XLOOKUP(B26,'Base stats'!B:B,'Base stats'!E:E),Groups!A:A,Groups!AW:AW),"True","False")</f>
        <v>False</v>
      </c>
      <c r="CG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H26" s="25" t="str">
        <f>IF(_xlfn.XLOOKUP(_xlfn.XLOOKUP(B26,'Base stats'!B:B,'Base stats'!E:E),Groups!A:A,Groups!BB:BB),"True","False")</f>
        <v>True</v>
      </c>
      <c r="CI26" s="25" t="str">
        <f>IF(_xlfn.XLOOKUP(_xlfn.XLOOKUP(B26,'Base stats'!B:B,'Base stats'!E:E),Groups!A:A,Groups!BA:BA),"True","False")</f>
        <v>False</v>
      </c>
      <c r="CN26" s="16"/>
    </row>
    <row r="27" spans="1:92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stats'!AI:AI)=0,BH27="None",_xlfn.XLOOKUP(_xlfn.XLOOKUP(B27,'Base stats'!B:B,'Base stats'!E:E),Groups!A:A,Groups!B:B)=0), (18 + BQ27 * 2.7) * 0.5,
    IF(AND(_xlfn.XLOOKUP(B27,'Base stats'!B:B,'Base stats'!AI:AI)=0,OR(AO27&lt;0.55,AND(BH27="Intermediate",_xlfn.XLOOKUP(_xlfn.XLOOKUP(B27,'Base stats'!B:B,'Base stats'!E:E),Groups!A:A,Groups!B:B)&lt;2))), (18 + BQ27 * 2.7),
      IF(OR(BH27="Advanced",_xlfn.XLOOKUP(B27,'Base stats'!B:B,'Base stats'!AI:AI)=1,_xlfn.XLOOKUP(_xlfn.XLOOKUP(B27,'Base stats'!B:B,'Base stats'!E:E),Groups!A:A,Groups!B:B)=2), (18 + BQ27 * 2.7) + 250, (18 + BQ27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IF(_xlfn.XLOOKUP(B27,'Base stats'!B:B,'Base stats'!AI:AI)=1,0.99,MIN(MROUND((1-0.6282*EXP(-0.459*AO27))*_xlfn.XLOOKUP(_xlfn.XLOOKUP(B27,'Base stats'!B:B,'Base stats'!E:E),Groups!A:A,Groups!C:C)*IF(_xlfn.XLOOKUP(B27,'Base stats'!B:B,'Base stats'!O:O)=1,0.5,IF(_xlfn.XLOOKUP(B27,'Base stats'!B:B,'Base stats'!O:O)=2,0,1)),0.05),0.985))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W27)),ISNUMBER(SEARCH("IceSheet",BW27))),-50,IF(OR(ISNUMBER(SEARCH("GlacialPlain",BW27)),ISNUMBER(SEARCH("Tundra",BW27))),-40,IF(OR(ISNUMBER(SEARCH("Alpine",BW27)),ISNUMBER(SEARCH("BorealForest",BW27)),ISNUMBER(SEARCH("ColdBog",BW27))),-30,IF(OR(ISNUMBER(SEARCH("TemperateForest",BW27)),ISNUMBER(SEARCH("TemperateSwamp",BW27))),-20,IF(_xlfn.XLOOKUP(_xlfn.XLOOKUP(B27,'Base stats'!B:B,'Base stats'!E:E),Groups!A:A,Groups!F:F)=1,-15,IF(OR(ISNUMBER(SEARCH("Desert",BW27)),ISNUMBER(SEARCH("ExtremeDesert",BW27))),-10,IF(OR(ISNUMBER(SEARCH("Grasslands",BW27)),ISNUMBER(SEARCH("TropicalRainforest",BW27)),ISNUMBER(SEARCH("TropicalSwamp",BW27))),10,0)))))))-IF(CB27="False",MIN(IFERROR(MAX(MROUND(LOG10(_xlfn.XLOOKUP(B27,'Base stats'!B:B,'Base stats'!C:C)^(2/3))*10,5),5),5),30))-_xlfn.XLOOKUP(B27,'Base stats'!B:B,'Base stats'!P:P)+IF(CB27="True",5,0)</f>
        <v>-75</v>
      </c>
      <c r="M27" s="2">
        <f>IF(OR(_xlfn.XLOOKUP(_xlfn.XLOOKUP(B27,'Base stats'!B:B,'Base stats'!E:E),Groups!A:A,Groups!G:G)=2,ISNUMBER(SEARCH("Desert",BW27)),ISNUMBER(SEARCH("ExtremeDesert",BW27)),ISNUMBER(SEARCH("LavaField",BW27))),50,IF(ISNUMBER(SEARCH("Grasslands",BW27)),45,IF(OR(_xlfn.XLOOKUP(_xlfn.XLOOKUP(B27,'Base stats'!B:B,'Base stats'!E:E),Groups!A:A,Groups!G:G)=1,ISNUMBER(SEARCH("TropicalRainforest",BW27)),ISNUMBER(SEARCH("TropicalSwamp",BW27))),40,IF(OR(ISNUMBER(SEARCH("TemperateForest",BW27)),ISNUMBER(SEARCH("TemperateSwamp",BW27))),35,IF(OR(ISNUMBER(SEARCH("Alpine",BW27)),ISNUMBER(SEARCH("BorealForest",BW27)),ISNUMBER(SEARCH("ColdBog",BW27))),30,IF(ISNUMBER(OR(ISNUMBER(SEARCH("GlacialPlain",BW27)),SEARCH("Tundra",BW27))),25,IF(OR(ISNUMBER(SEARCH("SeaIce",BW27)),ISNUMBER(SEARCH("IceSheet",BW27)),ISNUMBER(SEARCH("TropicalSwamp",BW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stats'!AO:AO))*(AO27^0.5)+(_xlfn.XLOOKUP(B27,'Base stats'!B:B,'Base stats'!AO:AO)/1000)^(2/3)+_xlfn.XLOOKUP(B27,'Base stats'!B:B,'Base stats'!AX:AX)/2)+0.5,0.5)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stats'!AP:AP))*(AO27^0.5)+(_xlfn.XLOOKUP(B27,'Base stats'!B:B,'Base stats'!AP:AP)/1000)^(2/3)+_xlfn.XLOOKUP(B27,'Base stats'!B:B,'Base stats'!AX:AX))+_xlfn.XLOOKUP(B27,'Base stats'!B:B,'Base stats'!AV:AV)+0.5,0.5))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stats'!AR:AR))*(AO27^0.5)+(_xlfn.XLOOKUP(B27,'Base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stats'!AQ:AQ)="No","No",MROUND((LOG10(_xlfn.XLOOKUP(B27,'Base stats'!B:B,'Base stats'!AQ:AQ))*(AO27^0.75)+(_xlfn.XLOOKUP(B27,'Base stats'!B:B,'Base stats'!AQ:AQ)/1000)^(2/3)+_xlfn.XLOOKUP(B27,'Base stats'!B:B,'Base stats'!AU:AU)+_xlfn.XLOOKUP(B27,'Base stats'!B:B,'Base stats'!AX:AX))+0.5,0.5))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stats'!AP:AP))*(AO27^0.75)+(_xlfn.XLOOKUP(B27,'Base stats'!B:B,'Base stats'!AP:AP)/1000)^(2/3)+_xlfn.XLOOKUP(B27,'Base stats'!B:B,'Base stats'!AV:AV)+_xlfn.XLOOKUP(B27,'Base stats'!B:B,'Base stats'!AX:AX))+0.5,0.5))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MAX(0.01,MROUND(IF(CB27="True",0.196*(AO27*100*1000)^0.889,IF(_xlfn.XLOOKUP(_xlfn.XLOOKUP(B27,'Base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IF(OR(A27="Queen",A27="Larva"),"No",IFERROR(MAX(IF(_xlfn.XLOOKUP(B27,'Base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stats'!AE:AE)</f>
        <v>Leather_Thrumbo</v>
      </c>
      <c r="BB27" s="23" t="str">
        <f>_xlfn.XLOOKUP(_xlfn.XLOOKUP(B27,'Base stats'!B:B,'Base stats'!E:E),Groups!A:A,Groups!AL:AL)</f>
        <v>QuadrupedAnimalWithHoovesAndHorn</v>
      </c>
      <c r="BC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D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E27" s="2" t="str">
        <f>IF(J27&gt;0.3,"No",_xlfn.XLOOKUP(_xlfn.XLOOKUP(Animals!B27,'Base stats'!B:B,'Base stats'!E:E),Groups!A:A,Groups!AP:AP))</f>
        <v>No</v>
      </c>
      <c r="BF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+ 24*(1-IF(BE27="No",0,BE27)) + 16/3, 12),"No")</f>
        <v>No</v>
      </c>
      <c r="BG27" s="2">
        <f>IF(AND(_xlfn.XLOOKUP(_xlfn.XLOOKUP(B27,'Base stats'!B:B,'Base stats'!E:E),Groups!A:A,Groups!AQ:AQ)=1,AO27&lt;=0.35),8,12)</f>
        <v>12</v>
      </c>
      <c r="BH27" s="2" t="str">
        <f>IF(_xlfn.XLOOKUP(_xlfn.XLOOKUP(B27,'Base stats'!B:B,'Base stats'!E:E),Groups!A:A,Groups!D:D)=0,_xlfn.XLOOKUP(_xlfn.XLOOKUP(B27,'Base stats'!B:B,'Base stats'!E:E),Groups!A:A,Groups!AR:AR),"None")</f>
        <v>Advanced</v>
      </c>
      <c r="BI27" s="2" t="str">
        <f>IF(AND(_xlfn.XLOOKUP(_xlfn.XLOOKUP(B27,'Base stats'!B:B,'Base stats'!E:E),Groups!A:A,Groups!AS:AS)=1,OR('Base stats'!Y27="Carnivore",'Base stats'!Y27="Omnivore")),"true","false")</f>
        <v>false</v>
      </c>
      <c r="BJ27" s="2" t="str">
        <f>IF(BI27="true",MROUND(IF(AND(AO27&gt;0.5,OR(_xlfn.XLOOKUP(_xlfn.XLOOKUP(B27,'Base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K27" s="2">
        <f t="shared" si="3"/>
        <v>1</v>
      </c>
      <c r="BL27" s="25" t="str">
        <f>IF(_xlfn.XLOOKUP(B27,'Base stats'!B:B,'Base stats'!AK:AK)="Standard","No",MROUND((_xlfn.XLOOKUP(B27,'Base stats'!B:B,'Base stats'!AK:AK)/3.6)/I27,0.1))</f>
        <v>No</v>
      </c>
      <c r="BM27" s="25" t="str">
        <f t="shared" si="4"/>
        <v>false</v>
      </c>
      <c r="BN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O27" s="25" t="str" cm="1">
        <f t="array" ref="BO27">IF(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 = "",
  "No",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
)</f>
        <v>ThrumboRoar</v>
      </c>
      <c r="BP27" s="25" t="str">
        <f>IF(
   AND(
      'Base stats'!AK27="Standard",_xlfn.XLOOKUP(_xlfn.XLOOKUP(B27,'Base stats'!B:B,'Base stats'!E:E),Groups!A:A,Groups!AU:AU)=0,
      OR(
      BN27="True"
      )
   ),
   10,
   IF(
       OR(BL27&lt;&gt;"No",_xlfn.XLOOKUP(_xlfn.XLOOKUP(B27,'Base stats'!B:B,'Base stats'!E:E),Groups!A:A,Groups!AU:AU)=1),
      1,
      "No"
   )
)</f>
        <v>No</v>
      </c>
      <c r="BQ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stats'!AS:AS) * 1.8) * 2) * 2.5 + 10 + I27 * 2,5)+IF(_xlfn.XLOOKUP(B27,'Base stats'!B:B,'Base stats'!AH:AH)=1,50,0)</f>
        <v>1125</v>
      </c>
      <c r="BR27" s="8">
        <f t="shared" si="5"/>
        <v>3.4000000000000004</v>
      </c>
      <c r="BS27" s="8" t="str">
        <f>_xlfn.XLOOKUP(B27,'Base stats'!B:B,'Base stats'!AD:AD)</f>
        <v>1~6</v>
      </c>
      <c r="BT27" s="2" t="str">
        <f>IF(AND(J27&lt;=0.95,OR(_xlfn.XLOOKUP(B27,'Base stats'!B:B,'Base stats'!AH:AH)=1,_xlfn.XLOOKUP(B27,'Base stats'!B:B,'Base stats'!Y:Y)="Carnivore",_xlfn.XLOOKUP(B27,'Base stats'!B:B,'Base stats'!Y:Y)="Omnivore",BD27&gt;0.1)),"true","false")</f>
        <v>false</v>
      </c>
      <c r="BU27" s="2" t="str">
        <f>IF(_xlfn.XLOOKUP(B27,'Base stats'!B:B,'Base stats'!AF:AF)=1,"true","false")</f>
        <v>false</v>
      </c>
      <c r="BV27" s="25" t="str">
        <f>IF(E27="BaseInsect","AnimalInsect",
IF(J27&gt;0.95,"AnimalExotic",
_xlfn.TEXTJOIN(", ",TRUE,
IF(OR(_xlfn.XLOOKUP(B27,'Base stats'!B:B,'Base stats'!AJ:AJ)=1,AND(_xlfn.XLOOKUP(B27,'Base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stats'!AH:AH)=1,AND(BH27&lt;&gt;"None",BQ27&gt;=60),ISNUMBER(SEARCH("Attack target",BO27))),"AnimalFighter","")
)))</f>
        <v>AnimalExotic</v>
      </c>
      <c r="BW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),_xlfn.XLOOKUP(B27,B:B,BW:BW))</f>
        <v/>
      </c>
      <c r="BX27" s="25" t="str">
        <f>IF(_xlfn.XLOOKUP(B27,'Base stats'!B:B,'Base stats'!AG:AG)=1,"true","false")</f>
        <v>false</v>
      </c>
      <c r="BY27" s="25">
        <f>IF(_xlfn.XLOOKUP(B27,'Base stats'!B:B,'Base stats'!N:N)=1,"No",MAX(0.01,MIN(MROUND(IF(OR(_xlfn.XLOOKUP(B27,'Base stats'!B:B,'Base stats'!AJ:AJ)=1,AND(BI27="True",CB27="False")),POWER(10,3.47*LOG10(_xlfn.XLOOKUP(B27,'Base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stats'!AH:AH)=1),0.5,1)/100,0.025),1)))</f>
        <v>2.5000000000000001E-2</v>
      </c>
      <c r="BZ27" s="25">
        <f>IF(P27="Standard","No",MAX(0.01,IF(_xlfn.XLOOKUP(B27,'Base stats'!B:B,'Base stats'!N:N)=0,MROUND(BY27*P27,0.05),MIN(1,MAX(0.025,MROUND(IF(OR(CB27="true",AND(BI27="false",BN27="false")),POWER(10,4.15*LOG10(_xlfn.XLOOKUP(B27,'Base stats'!B:B,'Base stats'!C:C)*1000)^-0.73),POWER(10,3.47*LOG10(_xlfn.XLOOKUP(B27,'Base stats'!B:B,'Base stats'!C:C)*1000)^-0.96))*IF(_xlfn.XLOOKUP(B27,'Base stats'!B:B,'Base stats'!AH:AH)=1,0.5,1)/100,0.025))))))</f>
        <v>0.05</v>
      </c>
      <c r="CA27" s="25" t="str">
        <f>IF(_xlfn.XLOOKUP(_xlfn.XLOOKUP(B27,'Base stats'!B:B,'Base stats'!E:E),Groups!A:A,Groups!AJ:AJ)="Mammal","True","False")</f>
        <v>True</v>
      </c>
      <c r="CB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C27" s="25" t="str">
        <f t="shared" si="6"/>
        <v>True</v>
      </c>
      <c r="CD27" s="25" t="str">
        <f>IF(_xlfn.XLOOKUP(_xlfn.XLOOKUP(B27,'Base stats'!B:B,'Base stats'!E:E),Groups!A:A,Groups!AX:AX),"True","False")</f>
        <v>False</v>
      </c>
      <c r="CE27" s="25" t="str">
        <f>IF(_xlfn.XLOOKUP(_xlfn.XLOOKUP(B27,'Base stats'!B:B,'Base stats'!E:E),Groups!A:A,Groups!AY:AY),"True","False")</f>
        <v>False</v>
      </c>
      <c r="CF27" s="25" t="str">
        <f>IF(_xlfn.XLOOKUP(_xlfn.XLOOKUP(B27,'Base stats'!B:B,'Base stats'!E:E),Groups!A:A,Groups!AW:AW),"True","False")</f>
        <v>False</v>
      </c>
      <c r="CG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H27" s="25" t="str">
        <f>IF(_xlfn.XLOOKUP(_xlfn.XLOOKUP(B27,'Base stats'!B:B,'Base stats'!E:E),Groups!A:A,Groups!BB:BB),"True","False")</f>
        <v>True</v>
      </c>
      <c r="CI27" s="25" t="str">
        <f>IF(_xlfn.XLOOKUP(_xlfn.XLOOKUP(B27,'Base stats'!B:B,'Base stats'!E:E),Groups!A:A,Groups!BA:BA),"True","False")</f>
        <v>False</v>
      </c>
      <c r="CN27" s="16"/>
    </row>
    <row r="28" spans="1:92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stats'!AI:AI)=0,BH28="None",_xlfn.XLOOKUP(_xlfn.XLOOKUP(B28,'Base stats'!B:B,'Base stats'!E:E),Groups!A:A,Groups!B:B)=0), (18 + BQ28 * 2.7) * 0.5,
    IF(AND(_xlfn.XLOOKUP(B28,'Base stats'!B:B,'Base stats'!AI:AI)=0,OR(AO28&lt;0.55,AND(BH28="Intermediate",_xlfn.XLOOKUP(_xlfn.XLOOKUP(B28,'Base stats'!B:B,'Base stats'!E:E),Groups!A:A,Groups!B:B)&lt;2))), (18 + BQ28 * 2.7),
      IF(OR(BH28="Advanced",_xlfn.XLOOKUP(B28,'Base stats'!B:B,'Base stats'!AI:AI)=1,_xlfn.XLOOKUP(_xlfn.XLOOKUP(B28,'Base stats'!B:B,'Base stats'!E:E),Groups!A:A,Groups!B:B)=2), (18 + BQ28 * 2.7) + 250, (18 + BQ28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IF(_xlfn.XLOOKUP(B28,'Base stats'!B:B,'Base stats'!AI:AI)=1,0.99,MIN(MROUND((1-0.6282*EXP(-0.459*AO28))*_xlfn.XLOOKUP(_xlfn.XLOOKUP(B28,'Base stats'!B:B,'Base stats'!E:E),Groups!A:A,Groups!C:C)*IF(_xlfn.XLOOKUP(B28,'Base stats'!B:B,'Base stats'!O:O)=1,0.5,IF(_xlfn.XLOOKUP(B28,'Base stats'!B:B,'Base stats'!O:O)=2,0,1)),0.05),0.985))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W28)),ISNUMBER(SEARCH("IceSheet",BW28))),-50,IF(OR(ISNUMBER(SEARCH("GlacialPlain",BW28)),ISNUMBER(SEARCH("Tundra",BW28))),-40,IF(OR(ISNUMBER(SEARCH("Alpine",BW28)),ISNUMBER(SEARCH("BorealForest",BW28)),ISNUMBER(SEARCH("ColdBog",BW28))),-30,IF(OR(ISNUMBER(SEARCH("TemperateForest",BW28)),ISNUMBER(SEARCH("TemperateSwamp",BW28))),-20,IF(_xlfn.XLOOKUP(_xlfn.XLOOKUP(B28,'Base stats'!B:B,'Base stats'!E:E),Groups!A:A,Groups!F:F)=1,-15,IF(OR(ISNUMBER(SEARCH("Desert",BW28)),ISNUMBER(SEARCH("ExtremeDesert",BW28))),-10,IF(OR(ISNUMBER(SEARCH("Grasslands",BW28)),ISNUMBER(SEARCH("TropicalRainforest",BW28)),ISNUMBER(SEARCH("TropicalSwamp",BW28))),10,0)))))))-IF(CB28="False",MIN(IFERROR(MAX(MROUND(LOG10(_xlfn.XLOOKUP(B28,'Base stats'!B:B,'Base stats'!C:C)^(2/3))*10,5),5),5),30))-_xlfn.XLOOKUP(B28,'Base stats'!B:B,'Base stats'!P:P)+IF(CB28="True",5,0)</f>
        <v>-65</v>
      </c>
      <c r="M28" s="2">
        <f>IF(OR(_xlfn.XLOOKUP(_xlfn.XLOOKUP(B28,'Base stats'!B:B,'Base stats'!E:E),Groups!A:A,Groups!G:G)=2,ISNUMBER(SEARCH("Desert",BW28)),ISNUMBER(SEARCH("ExtremeDesert",BW28)),ISNUMBER(SEARCH("LavaField",BW28))),50,IF(ISNUMBER(SEARCH("Grasslands",BW28)),45,IF(OR(_xlfn.XLOOKUP(_xlfn.XLOOKUP(B28,'Base stats'!B:B,'Base stats'!E:E),Groups!A:A,Groups!G:G)=1,ISNUMBER(SEARCH("TropicalRainforest",BW28)),ISNUMBER(SEARCH("TropicalSwamp",BW28))),40,IF(OR(ISNUMBER(SEARCH("TemperateForest",BW28)),ISNUMBER(SEARCH("TemperateSwamp",BW28))),35,IF(OR(ISNUMBER(SEARCH("Alpine",BW28)),ISNUMBER(SEARCH("BorealForest",BW28)),ISNUMBER(SEARCH("ColdBog",BW28))),30,IF(ISNUMBER(OR(ISNUMBER(SEARCH("GlacialPlain",BW28)),SEARCH("Tundra",BW28))),25,IF(OR(ISNUMBER(SEARCH("SeaIce",BW28)),ISNUMBER(SEARCH("IceSheet",BW28)),ISNUMBER(SEARCH("TropicalSwamp",BW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stats'!AO:AO))*(AO28^0.5)+(_xlfn.XLOOKUP(B28,'Base stats'!B:B,'Base stats'!AO:AO)/1000)^(2/3)+_xlfn.XLOOKUP(B28,'Base stats'!B:B,'Base stats'!AX:AX)/2)+0.5,0.5)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stats'!AP:AP))*(AO28^0.5)+(_xlfn.XLOOKUP(B28,'Base stats'!B:B,'Base stats'!AP:AP)/1000)^(2/3)+_xlfn.XLOOKUP(B28,'Base stats'!B:B,'Base stats'!AX:AX))+_xlfn.XLOOKUP(B28,'Base stats'!B:B,'Base stats'!AV:AV)+0.5,0.5))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stats'!AR:AR))*(AO28^0.5)+(_xlfn.XLOOKUP(B28,'Base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stats'!AQ:AQ)="No","No",MROUND((LOG10(_xlfn.XLOOKUP(B28,'Base stats'!B:B,'Base stats'!AQ:AQ))*(AO28^0.75)+(_xlfn.XLOOKUP(B28,'Base stats'!B:B,'Base stats'!AQ:AQ)/1000)^(2/3)+_xlfn.XLOOKUP(B28,'Base stats'!B:B,'Base stats'!AU:AU)+_xlfn.XLOOKUP(B28,'Base stats'!B:B,'Base stats'!AX:AX))+0.5,0.5))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stats'!AP:AP))*(AO28^0.75)+(_xlfn.XLOOKUP(B28,'Base stats'!B:B,'Base stats'!AP:AP)/1000)^(2/3)+_xlfn.XLOOKUP(B28,'Base stats'!B:B,'Base stats'!AV:AV)+_xlfn.XLOOKUP(B28,'Base stats'!B:B,'Base stats'!AX:AX))+0.5,0.5))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MAX(0.01,MROUND(IF(CB28="True",0.196*(AO28*100*1000)^0.889,IF(_xlfn.XLOOKUP(_xlfn.XLOOKUP(B28,'Base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IF(OR(A28="Queen",A28="Larva"),"No",IFERROR(MAX(IF(_xlfn.XLOOKUP(B28,'Base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stats'!AE:AE)</f>
        <v>Leather_Heavy</v>
      </c>
      <c r="BB28" s="23" t="str">
        <f>_xlfn.XLOOKUP(_xlfn.XLOOKUP(B28,'Base stats'!B:B,'Base stats'!E:E),Groups!A:A,Groups!AL:AL)</f>
        <v>QuadrupedAnimalWithPawsAndTail</v>
      </c>
      <c r="BC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D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E28" s="2" t="str">
        <f>IF(J28&gt;0.3,"No",_xlfn.XLOOKUP(_xlfn.XLOOKUP(Animals!B28,'Base stats'!B:B,'Base stats'!E:E),Groups!A:A,Groups!AP:AP))</f>
        <v>No</v>
      </c>
      <c r="BF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+ 24*(1-IF(BE28="No",0,BE28)) + 16/3, 12),"No")</f>
        <v>No</v>
      </c>
      <c r="BG28" s="2">
        <f>IF(AND(_xlfn.XLOOKUP(_xlfn.XLOOKUP(B28,'Base stats'!B:B,'Base stats'!E:E),Groups!A:A,Groups!AQ:AQ)=1,AO28&lt;=0.35),8,12)</f>
        <v>12</v>
      </c>
      <c r="BH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I28" s="2" t="str">
        <f>IF(AND(_xlfn.XLOOKUP(_xlfn.XLOOKUP(B28,'Base stats'!B:B,'Base stats'!E:E),Groups!A:A,Groups!AS:AS)=1,OR('Base stats'!Y28="Carnivore",'Base stats'!Y28="Omnivore")),"true","false")</f>
        <v>false</v>
      </c>
      <c r="BJ28" s="2" t="str">
        <f>IF(BI28="true",MROUND(IF(AND(AO28&gt;0.5,OR(_xlfn.XLOOKUP(_xlfn.XLOOKUP(B28,'Base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K28" s="2">
        <f t="shared" si="3"/>
        <v>1</v>
      </c>
      <c r="BL28" s="25" t="str">
        <f>IF(_xlfn.XLOOKUP(B28,'Base stats'!B:B,'Base stats'!AK:AK)="Standard","No",MROUND((_xlfn.XLOOKUP(B28,'Base stats'!B:B,'Base stats'!AK:AK)/3.6)/I28,0.1))</f>
        <v>No</v>
      </c>
      <c r="BM28" s="25" t="str">
        <f t="shared" si="4"/>
        <v>false</v>
      </c>
      <c r="BN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O28" s="25" t="str" cm="1">
        <f t="array" ref="BO28">IF(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 = "",
  "No",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
)</f>
        <v>Dig</v>
      </c>
      <c r="BP28" s="25" t="str">
        <f>IF(
   AND(
      'Base stats'!AK28="Standard",_xlfn.XLOOKUP(_xlfn.XLOOKUP(B28,'Base stats'!B:B,'Base stats'!E:E),Groups!A:A,Groups!AU:AU)=0,
      OR(
      BN28="True"
      )
   ),
   10,
   IF(
       OR(BL28&lt;&gt;"No",_xlfn.XLOOKUP(_xlfn.XLOOKUP(B28,'Base stats'!B:B,'Base stats'!E:E),Groups!A:A,Groups!AU:AU)=1),
      1,
      "No"
   )
)</f>
        <v>No</v>
      </c>
      <c r="BQ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stats'!AS:AS) * 1.8) * 2) * 2.5 + 10 + I28 * 2,5)+IF(_xlfn.XLOOKUP(B28,'Base stats'!B:B,'Base stats'!AH:AH)=1,50,0)</f>
        <v>710</v>
      </c>
      <c r="BR28" s="8">
        <f t="shared" si="5"/>
        <v>3.0500000000000003</v>
      </c>
      <c r="BS28" s="8" t="str">
        <f>_xlfn.XLOOKUP(B28,'Base stats'!B:B,'Base stats'!AD:AD)</f>
        <v>No</v>
      </c>
      <c r="BT28" s="2" t="str">
        <f>IF(AND(J28&lt;=0.95,OR(_xlfn.XLOOKUP(B28,'Base stats'!B:B,'Base stats'!AH:AH)=1,_xlfn.XLOOKUP(B28,'Base stats'!B:B,'Base stats'!Y:Y)="Carnivore",_xlfn.XLOOKUP(B28,'Base stats'!B:B,'Base stats'!Y:Y)="Omnivore",BD28&gt;0.1)),"true","false")</f>
        <v>true</v>
      </c>
      <c r="BU28" s="2" t="str">
        <f>IF(_xlfn.XLOOKUP(B28,'Base stats'!B:B,'Base stats'!AF:AF)=1,"true","false")</f>
        <v>false</v>
      </c>
      <c r="BV28" s="25" t="str">
        <f>IF(E28="BaseInsect","AnimalInsect",
IF(J28&gt;0.95,"AnimalExotic",
_xlfn.TEXTJOIN(", ",TRUE,
IF(OR(_xlfn.XLOOKUP(B28,'Base stats'!B:B,'Base stats'!AJ:AJ)=1,AND(_xlfn.XLOOKUP(B28,'Base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stats'!AH:AH)=1,AND(BH28&lt;&gt;"None",BQ28&gt;=60),ISNUMBER(SEARCH("Attack target",BO28))),"AnimalFighter","")
)))</f>
        <v>AnimalUncommon, AnimalFighter</v>
      </c>
      <c r="BW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),_xlfn.XLOOKUP(B28,B:B,BW:BW))</f>
        <v>BorealForest ColdBog TemperateForest TemperateSwamp Grasslands GlacialPlain</v>
      </c>
      <c r="BX28" s="25" t="str">
        <f>IF(_xlfn.XLOOKUP(B28,'Base stats'!B:B,'Base stats'!AG:AG)=1,"true","false")</f>
        <v>false</v>
      </c>
      <c r="BY28" s="25">
        <f>IF(_xlfn.XLOOKUP(B28,'Base stats'!B:B,'Base stats'!N:N)=1,"No",MAX(0.01,MIN(MROUND(IF(OR(_xlfn.XLOOKUP(B28,'Base stats'!B:B,'Base stats'!AJ:AJ)=1,AND(BI28="True",CB28="False")),POWER(10,3.47*LOG10(_xlfn.XLOOKUP(B28,'Base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stats'!AH:AH)=1),0.5,1)/100,0.025),1)))</f>
        <v>0.1</v>
      </c>
      <c r="BZ28" s="25" t="str">
        <f>IF(P28="Standard","No",MAX(0.01,IF(_xlfn.XLOOKUP(B28,'Base stats'!B:B,'Base stats'!N:N)=0,MROUND(BY28*P28,0.05),MIN(1,MAX(0.025,MROUND(IF(OR(CB28="true",AND(BI28="false",BN28="false")),POWER(10,4.15*LOG10(_xlfn.XLOOKUP(B28,'Base stats'!B:B,'Base stats'!C:C)*1000)^-0.73),POWER(10,3.47*LOG10(_xlfn.XLOOKUP(B28,'Base stats'!B:B,'Base stats'!C:C)*1000)^-0.96))*IF(_xlfn.XLOOKUP(B28,'Base stats'!B:B,'Base stats'!AH:AH)=1,0.5,1)/100,0.025))))))</f>
        <v>No</v>
      </c>
      <c r="CA28" s="25" t="str">
        <f>IF(_xlfn.XLOOKUP(_xlfn.XLOOKUP(B28,'Base stats'!B:B,'Base stats'!E:E),Groups!A:A,Groups!AJ:AJ)="Mammal","True","False")</f>
        <v>True</v>
      </c>
      <c r="CB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C28" s="25" t="str">
        <f t="shared" si="6"/>
        <v>False</v>
      </c>
      <c r="CD28" s="25" t="str">
        <f>IF(_xlfn.XLOOKUP(_xlfn.XLOOKUP(B28,'Base stats'!B:B,'Base stats'!E:E),Groups!A:A,Groups!AX:AX),"True","False")</f>
        <v>False</v>
      </c>
      <c r="CE28" s="25" t="str">
        <f>IF(_xlfn.XLOOKUP(_xlfn.XLOOKUP(B28,'Base stats'!B:B,'Base stats'!E:E),Groups!A:A,Groups!AY:AY),"True","False")</f>
        <v>False</v>
      </c>
      <c r="CF28" s="25" t="str">
        <f>IF(_xlfn.XLOOKUP(_xlfn.XLOOKUP(B28,'Base stats'!B:B,'Base stats'!E:E),Groups!A:A,Groups!AW:AW),"True","False")</f>
        <v>False</v>
      </c>
      <c r="CG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H28" s="25" t="str">
        <f>IF(_xlfn.XLOOKUP(_xlfn.XLOOKUP(B28,'Base stats'!B:B,'Base stats'!E:E),Groups!A:A,Groups!BB:BB),"True","False")</f>
        <v>True</v>
      </c>
      <c r="CI28" s="25" t="str">
        <f>IF(_xlfn.XLOOKUP(_xlfn.XLOOKUP(B28,'Base stats'!B:B,'Base stats'!E:E),Groups!A:A,Groups!BA:BA),"True","False")</f>
        <v>False</v>
      </c>
    </row>
    <row r="29" spans="1:92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stats'!AI:AI)=0,BH29="None",_xlfn.XLOOKUP(_xlfn.XLOOKUP(B29,'Base stats'!B:B,'Base stats'!E:E),Groups!A:A,Groups!B:B)=0), (18 + BQ29 * 2.7) * 0.5,
    IF(AND(_xlfn.XLOOKUP(B29,'Base stats'!B:B,'Base stats'!AI:AI)=0,OR(AO29&lt;0.55,AND(BH29="Intermediate",_xlfn.XLOOKUP(_xlfn.XLOOKUP(B29,'Base stats'!B:B,'Base stats'!E:E),Groups!A:A,Groups!B:B)&lt;2))), (18 + BQ29 * 2.7),
      IF(OR(BH29="Advanced",_xlfn.XLOOKUP(B29,'Base stats'!B:B,'Base stats'!AI:AI)=1,_xlfn.XLOOKUP(_xlfn.XLOOKUP(B29,'Base stats'!B:B,'Base stats'!E:E),Groups!A:A,Groups!B:B)=2), (18 + BQ29 * 2.7) + 250, (18 + BQ29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IF(_xlfn.XLOOKUP(B29,'Base stats'!B:B,'Base stats'!AI:AI)=1,0.99,MIN(MROUND((1-0.6282*EXP(-0.459*AO29))*_xlfn.XLOOKUP(_xlfn.XLOOKUP(B29,'Base stats'!B:B,'Base stats'!E:E),Groups!A:A,Groups!C:C)*IF(_xlfn.XLOOKUP(B29,'Base stats'!B:B,'Base stats'!O:O)=1,0.5,IF(_xlfn.XLOOKUP(B29,'Base stats'!B:B,'Base stats'!O:O)=2,0,1)),0.05),0.985))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W29)),ISNUMBER(SEARCH("IceSheet",BW29))),-50,IF(OR(ISNUMBER(SEARCH("GlacialPlain",BW29)),ISNUMBER(SEARCH("Tundra",BW29))),-40,IF(OR(ISNUMBER(SEARCH("Alpine",BW29)),ISNUMBER(SEARCH("BorealForest",BW29)),ISNUMBER(SEARCH("ColdBog",BW29))),-30,IF(OR(ISNUMBER(SEARCH("TemperateForest",BW29)),ISNUMBER(SEARCH("TemperateSwamp",BW29))),-20,IF(_xlfn.XLOOKUP(_xlfn.XLOOKUP(B29,'Base stats'!B:B,'Base stats'!E:E),Groups!A:A,Groups!F:F)=1,-15,IF(OR(ISNUMBER(SEARCH("Desert",BW29)),ISNUMBER(SEARCH("ExtremeDesert",BW29))),-10,IF(OR(ISNUMBER(SEARCH("Grasslands",BW29)),ISNUMBER(SEARCH("TropicalRainforest",BW29)),ISNUMBER(SEARCH("TropicalSwamp",BW29))),10,0)))))))-IF(CB29="False",MIN(IFERROR(MAX(MROUND(LOG10(_xlfn.XLOOKUP(B29,'Base stats'!B:B,'Base stats'!C:C)^(2/3))*10,5),5),5),30))-_xlfn.XLOOKUP(B29,'Base stats'!B:B,'Base stats'!P:P)+IF(CB29="True",5,0)</f>
        <v>-45</v>
      </c>
      <c r="M29" s="2">
        <f>IF(OR(_xlfn.XLOOKUP(_xlfn.XLOOKUP(B29,'Base stats'!B:B,'Base stats'!E:E),Groups!A:A,Groups!G:G)=2,ISNUMBER(SEARCH("Desert",BW29)),ISNUMBER(SEARCH("ExtremeDesert",BW29)),ISNUMBER(SEARCH("LavaField",BW29))),50,IF(ISNUMBER(SEARCH("Grasslands",BW29)),45,IF(OR(_xlfn.XLOOKUP(_xlfn.XLOOKUP(B29,'Base stats'!B:B,'Base stats'!E:E),Groups!A:A,Groups!G:G)=1,ISNUMBER(SEARCH("TropicalRainforest",BW29)),ISNUMBER(SEARCH("TropicalSwamp",BW29))),40,IF(OR(ISNUMBER(SEARCH("TemperateForest",BW29)),ISNUMBER(SEARCH("TemperateSwamp",BW29))),35,IF(OR(ISNUMBER(SEARCH("Alpine",BW29)),ISNUMBER(SEARCH("BorealForest",BW29)),ISNUMBER(SEARCH("ColdBog",BW29))),30,IF(ISNUMBER(OR(ISNUMBER(SEARCH("GlacialPlain",BW29)),SEARCH("Tundra",BW29))),25,IF(OR(ISNUMBER(SEARCH("SeaIce",BW29)),ISNUMBER(SEARCH("IceSheet",BW29)),ISNUMBER(SEARCH("TropicalSwamp",BW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stats'!AO:AO))*(AO29^0.5)+(_xlfn.XLOOKUP(B29,'Base stats'!B:B,'Base stats'!AO:AO)/1000)^(2/3)+_xlfn.XLOOKUP(B29,'Base stats'!B:B,'Base stats'!AX:AX)/2)+0.5,0.5)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stats'!AP:AP))*(AO29^0.5)+(_xlfn.XLOOKUP(B29,'Base stats'!B:B,'Base stats'!AP:AP)/1000)^(2/3)+_xlfn.XLOOKUP(B29,'Base stats'!B:B,'Base stats'!AX:AX))+_xlfn.XLOOKUP(B29,'Base stats'!B:B,'Base stats'!AV:AV)+0.5,0.5))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stats'!AR:AR))*(AO29^0.5)+(_xlfn.XLOOKUP(B29,'Base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stats'!AQ:AQ)="No","No",MROUND((LOG10(_xlfn.XLOOKUP(B29,'Base stats'!B:B,'Base stats'!AQ:AQ))*(AO29^0.75)+(_xlfn.XLOOKUP(B29,'Base stats'!B:B,'Base stats'!AQ:AQ)/1000)^(2/3)+_xlfn.XLOOKUP(B29,'Base stats'!B:B,'Base stats'!AU:AU)+_xlfn.XLOOKUP(B29,'Base stats'!B:B,'Base stats'!AX:AX))+0.5,0.5))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stats'!AP:AP))*(AO29^0.75)+(_xlfn.XLOOKUP(B29,'Base stats'!B:B,'Base stats'!AP:AP)/1000)^(2/3)+_xlfn.XLOOKUP(B29,'Base stats'!B:B,'Base stats'!AV:AV)+_xlfn.XLOOKUP(B29,'Base stats'!B:B,'Base stats'!AX:AX))+0.5,0.5))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MAX(0.01,MROUND(IF(CB29="True",0.196*(AO29*100*1000)^0.889,IF(_xlfn.XLOOKUP(_xlfn.XLOOKUP(B29,'Base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IF(OR(A29="Queen",A29="Larva"),"No",IFERROR(MAX(IF(_xlfn.XLOOKUP(B29,'Base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stats'!AE:AE)</f>
        <v>Leather_Pig</v>
      </c>
      <c r="BB29" s="23" t="str">
        <f>_xlfn.XLOOKUP(_xlfn.XLOOKUP(B29,'Base stats'!B:B,'Base stats'!E:E),Groups!A:A,Groups!AL:AL)</f>
        <v>QuadrupedAnimalWithHoovesAndTusks</v>
      </c>
      <c r="BC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D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E29" s="2" t="str">
        <f>IF(J29&gt;0.3,"No",_xlfn.XLOOKUP(_xlfn.XLOOKUP(Animals!B29,'Base stats'!B:B,'Base stats'!E:E),Groups!A:A,Groups!AP:AP))</f>
        <v>No</v>
      </c>
      <c r="BF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+ 24*(1-IF(BE29="No",0,BE29)) + 16/3, 12),"No")</f>
        <v>No</v>
      </c>
      <c r="BG29" s="2">
        <f>IF(AND(_xlfn.XLOOKUP(_xlfn.XLOOKUP(B29,'Base stats'!B:B,'Base stats'!E:E),Groups!A:A,Groups!AQ:AQ)=1,AO29&lt;=0.35),8,12)</f>
        <v>12</v>
      </c>
      <c r="BH29" s="2" t="str">
        <f>IF(_xlfn.XLOOKUP(_xlfn.XLOOKUP(B29,'Base stats'!B:B,'Base stats'!E:E),Groups!A:A,Groups!D:D)=0,_xlfn.XLOOKUP(_xlfn.XLOOKUP(B29,'Base stats'!B:B,'Base stats'!E:E),Groups!A:A,Groups!AR:AR),"None")</f>
        <v>None</v>
      </c>
      <c r="BI29" s="2" t="str">
        <f>IF(AND(_xlfn.XLOOKUP(_xlfn.XLOOKUP(B29,'Base stats'!B:B,'Base stats'!E:E),Groups!A:A,Groups!AS:AS)=1,OR('Base stats'!Y29="Carnivore",'Base stats'!Y29="Omnivore")),"true","false")</f>
        <v>false</v>
      </c>
      <c r="BJ29" s="2" t="str">
        <f>IF(BI29="true",MROUND(IF(AND(AO29&gt;0.5,OR(_xlfn.XLOOKUP(_xlfn.XLOOKUP(B29,'Base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K29" s="2">
        <f t="shared" si="3"/>
        <v>0</v>
      </c>
      <c r="BL29" s="25" t="str">
        <f>IF(_xlfn.XLOOKUP(B29,'Base stats'!B:B,'Base stats'!AK:AK)="Standard","No",MROUND((_xlfn.XLOOKUP(B29,'Base stats'!B:B,'Base stats'!AK:AK)/3.6)/I29,0.1))</f>
        <v>No</v>
      </c>
      <c r="BM29" s="25" t="str">
        <f t="shared" si="4"/>
        <v>false</v>
      </c>
      <c r="BN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O29" s="25" t="str" cm="1">
        <f t="array" ref="BO29">IF(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 = "",
  "No",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
)</f>
        <v>Forage</v>
      </c>
      <c r="BP29" s="25" t="str">
        <f>IF(
   AND(
      'Base stats'!AK29="Standard",_xlfn.XLOOKUP(_xlfn.XLOOKUP(B29,'Base stats'!B:B,'Base stats'!E:E),Groups!A:A,Groups!AU:AU)=0,
      OR(
      BN29="True"
      )
   ),
   10,
   IF(
       OR(BL29&lt;&gt;"No",_xlfn.XLOOKUP(_xlfn.XLOOKUP(B29,'Base stats'!B:B,'Base stats'!E:E),Groups!A:A,Groups!AU:AU)=1),
      1,
      "No"
   )
)</f>
        <v>No</v>
      </c>
      <c r="BQ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stats'!AS:AS) * 1.8) * 2) * 2.5 + 10 + I29 * 2,5)+IF(_xlfn.XLOOKUP(B29,'Base stats'!B:B,'Base stats'!AH:AH)=1,50,0)</f>
        <v>140</v>
      </c>
      <c r="BR29" s="8">
        <f t="shared" si="5"/>
        <v>0.9</v>
      </c>
      <c r="BS29" s="8" t="str">
        <f>_xlfn.XLOOKUP(B29,'Base stats'!B:B,'Base stats'!AD:AD)</f>
        <v>3~10</v>
      </c>
      <c r="BT29" s="2" t="str">
        <f>IF(AND(J29&lt;=0.95,OR(_xlfn.XLOOKUP(B29,'Base stats'!B:B,'Base stats'!AH:AH)=1,_xlfn.XLOOKUP(B29,'Base stats'!B:B,'Base stats'!Y:Y)="Carnivore",_xlfn.XLOOKUP(B29,'Base stats'!B:B,'Base stats'!Y:Y)="Omnivore",BD29&gt;0.1)),"true","false")</f>
        <v>false</v>
      </c>
      <c r="BU29" s="2" t="str">
        <f>IF(_xlfn.XLOOKUP(B29,'Base stats'!B:B,'Base stats'!AF:AF)=1,"true","false")</f>
        <v>false</v>
      </c>
      <c r="BV29" s="25" t="str">
        <f>IF(E29="BaseInsect","AnimalInsect",
IF(J29&gt;0.95,"AnimalExotic",
_xlfn.TEXTJOIN(", ",TRUE,
IF(OR(_xlfn.XLOOKUP(B29,'Base stats'!B:B,'Base stats'!AJ:AJ)=1,AND(_xlfn.XLOOKUP(B29,'Base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stats'!AH:AH)=1,AND(BH29&lt;&gt;"None",BQ29&gt;=60),ISNUMBER(SEARCH("Attack target",BO29))),"AnimalFighter","")
)))</f>
        <v>AnimalCommon</v>
      </c>
      <c r="BW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),_xlfn.XLOOKUP(B29,B:B,BW:BW))</f>
        <v>BorealForest ColdBog TemperateForest TemperateSwamp TropicalRainforest TropicalSwamp Glowforest Scarlands</v>
      </c>
      <c r="BX29" s="25" t="str">
        <f>IF(_xlfn.XLOOKUP(B29,'Base stats'!B:B,'Base stats'!AG:AG)=1,"true","false")</f>
        <v>false</v>
      </c>
      <c r="BY29" s="25">
        <f>IF(_xlfn.XLOOKUP(B29,'Base stats'!B:B,'Base stats'!N:N)=1,"No",MAX(0.01,MIN(MROUND(IF(OR(_xlfn.XLOOKUP(B29,'Base stats'!B:B,'Base stats'!AJ:AJ)=1,AND(BI29="True",CB29="False")),POWER(10,3.47*LOG10(_xlfn.XLOOKUP(B29,'Base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stats'!AH:AH)=1),0.5,1)/100,0.025),1)))</f>
        <v>0.17500000000000002</v>
      </c>
      <c r="BZ29" s="25">
        <f>IF(P29="Standard","No",MAX(0.01,IF(_xlfn.XLOOKUP(B29,'Base stats'!B:B,'Base stats'!N:N)=0,MROUND(BY29*P29,0.05),MIN(1,MAX(0.025,MROUND(IF(OR(CB29="true",AND(BI29="false",BN29="false")),POWER(10,4.15*LOG10(_xlfn.XLOOKUP(B29,'Base stats'!B:B,'Base stats'!C:C)*1000)^-0.73),POWER(10,3.47*LOG10(_xlfn.XLOOKUP(B29,'Base stats'!B:B,'Base stats'!C:C)*1000)^-0.96))*IF(_xlfn.XLOOKUP(B29,'Base stats'!B:B,'Base stats'!AH:AH)=1,0.5,1)/100,0.025))))))</f>
        <v>0.15000000000000002</v>
      </c>
      <c r="CA29" s="25" t="str">
        <f>IF(_xlfn.XLOOKUP(_xlfn.XLOOKUP(B29,'Base stats'!B:B,'Base stats'!E:E),Groups!A:A,Groups!AJ:AJ)="Mammal","True","False")</f>
        <v>True</v>
      </c>
      <c r="CB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C29" s="25" t="str">
        <f t="shared" si="6"/>
        <v>False</v>
      </c>
      <c r="CD29" s="25" t="str">
        <f>IF(_xlfn.XLOOKUP(_xlfn.XLOOKUP(B29,'Base stats'!B:B,'Base stats'!E:E),Groups!A:A,Groups!AX:AX),"True","False")</f>
        <v>False</v>
      </c>
      <c r="CE29" s="25" t="str">
        <f>IF(_xlfn.XLOOKUP(_xlfn.XLOOKUP(B29,'Base stats'!B:B,'Base stats'!E:E),Groups!A:A,Groups!AY:AY),"True","False")</f>
        <v>False</v>
      </c>
      <c r="CF29" s="25" t="str">
        <f>IF(_xlfn.XLOOKUP(_xlfn.XLOOKUP(B29,'Base stats'!B:B,'Base stats'!E:E),Groups!A:A,Groups!AW:AW),"True","False")</f>
        <v>False</v>
      </c>
      <c r="CG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H29" s="25" t="str">
        <f>IF(_xlfn.XLOOKUP(_xlfn.XLOOKUP(B29,'Base stats'!B:B,'Base stats'!E:E),Groups!A:A,Groups!BB:BB),"True","False")</f>
        <v>True</v>
      </c>
      <c r="CI29" s="25" t="str">
        <f>IF(_xlfn.XLOOKUP(_xlfn.XLOOKUP(B29,'Base stats'!B:B,'Base stats'!E:E),Groups!A:A,Groups!BA:BA),"True","False")</f>
        <v>False</v>
      </c>
    </row>
    <row r="30" spans="1:92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stats'!AI:AI)=0,BH30="None",_xlfn.XLOOKUP(_xlfn.XLOOKUP(B30,'Base stats'!B:B,'Base stats'!E:E),Groups!A:A,Groups!B:B)=0), (18 + BQ30 * 2.7) * 0.5,
    IF(AND(_xlfn.XLOOKUP(B30,'Base stats'!B:B,'Base stats'!AI:AI)=0,OR(AO30&lt;0.55,AND(BH30="Intermediate",_xlfn.XLOOKUP(_xlfn.XLOOKUP(B30,'Base stats'!B:B,'Base stats'!E:E),Groups!A:A,Groups!B:B)&lt;2))), (18 + BQ30 * 2.7),
      IF(OR(BH30="Advanced",_xlfn.XLOOKUP(B30,'Base stats'!B:B,'Base stats'!AI:AI)=1,_xlfn.XLOOKUP(_xlfn.XLOOKUP(B30,'Base stats'!B:B,'Base stats'!E:E),Groups!A:A,Groups!B:B)=2), (18 + BQ30 * 2.7) + 250, (18 + BQ30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IF(_xlfn.XLOOKUP(B30,'Base stats'!B:B,'Base stats'!AI:AI)=1,0.99,MIN(MROUND((1-0.6282*EXP(-0.459*AO30))*_xlfn.XLOOKUP(_xlfn.XLOOKUP(B30,'Base stats'!B:B,'Base stats'!E:E),Groups!A:A,Groups!C:C)*IF(_xlfn.XLOOKUP(B30,'Base stats'!B:B,'Base stats'!O:O)=1,0.5,IF(_xlfn.XLOOKUP(B30,'Base stats'!B:B,'Base stats'!O:O)=2,0,1)),0.05),0.985))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W30)),ISNUMBER(SEARCH("IceSheet",BW30))),-50,IF(OR(ISNUMBER(SEARCH("GlacialPlain",BW30)),ISNUMBER(SEARCH("Tundra",BW30))),-40,IF(OR(ISNUMBER(SEARCH("Alpine",BW30)),ISNUMBER(SEARCH("BorealForest",BW30)),ISNUMBER(SEARCH("ColdBog",BW30))),-30,IF(OR(ISNUMBER(SEARCH("TemperateForest",BW30)),ISNUMBER(SEARCH("TemperateSwamp",BW30))),-20,IF(_xlfn.XLOOKUP(_xlfn.XLOOKUP(B30,'Base stats'!B:B,'Base stats'!E:E),Groups!A:A,Groups!F:F)=1,-15,IF(OR(ISNUMBER(SEARCH("Desert",BW30)),ISNUMBER(SEARCH("ExtremeDesert",BW30))),-10,IF(OR(ISNUMBER(SEARCH("Grasslands",BW30)),ISNUMBER(SEARCH("TropicalRainforest",BW30)),ISNUMBER(SEARCH("TropicalSwamp",BW30))),10,0)))))))-IF(CB30="False",MIN(IFERROR(MAX(MROUND(LOG10(_xlfn.XLOOKUP(B30,'Base stats'!B:B,'Base stats'!C:C)^(2/3))*10,5),5),5),30))-_xlfn.XLOOKUP(B30,'Base stats'!B:B,'Base stats'!P:P)+IF(CB30="True",5,0)</f>
        <v>0</v>
      </c>
      <c r="M30" s="2">
        <f>IF(OR(_xlfn.XLOOKUP(_xlfn.XLOOKUP(B30,'Base stats'!B:B,'Base stats'!E:E),Groups!A:A,Groups!G:G)=2,ISNUMBER(SEARCH("Desert",BW30)),ISNUMBER(SEARCH("ExtremeDesert",BW30)),ISNUMBER(SEARCH("LavaField",BW30))),50,IF(ISNUMBER(SEARCH("Grasslands",BW30)),45,IF(OR(_xlfn.XLOOKUP(_xlfn.XLOOKUP(B30,'Base stats'!B:B,'Base stats'!E:E),Groups!A:A,Groups!G:G)=1,ISNUMBER(SEARCH("TropicalRainforest",BW30)),ISNUMBER(SEARCH("TropicalSwamp",BW30))),40,IF(OR(ISNUMBER(SEARCH("TemperateForest",BW30)),ISNUMBER(SEARCH("TemperateSwamp",BW30))),35,IF(OR(ISNUMBER(SEARCH("Alpine",BW30)),ISNUMBER(SEARCH("BorealForest",BW30)),ISNUMBER(SEARCH("ColdBog",BW30))),30,IF(ISNUMBER(OR(ISNUMBER(SEARCH("GlacialPlain",BW30)),SEARCH("Tundra",BW30))),25,IF(OR(ISNUMBER(SEARCH("SeaIce",BW30)),ISNUMBER(SEARCH("IceSheet",BW30)),ISNUMBER(SEARCH("TropicalSwamp",BW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stats'!AO:AO))*(AO30^0.5)+(_xlfn.XLOOKUP(B30,'Base stats'!B:B,'Base stats'!AO:AO)/1000)^(2/3)+_xlfn.XLOOKUP(B30,'Base stats'!B:B,'Base stats'!AX:AX)/2)+0.5,0.5)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stats'!AP:AP))*(AO30^0.5)+(_xlfn.XLOOKUP(B30,'Base stats'!B:B,'Base stats'!AP:AP)/1000)^(2/3)+_xlfn.XLOOKUP(B30,'Base stats'!B:B,'Base stats'!AX:AX))+_xlfn.XLOOKUP(B30,'Base stats'!B:B,'Base stats'!AV:AV)+0.5,0.5))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stats'!AR:AR))*(AO30^0.5)+(_xlfn.XLOOKUP(B30,'Base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stats'!AQ:AQ)="No","No",MROUND((LOG10(_xlfn.XLOOKUP(B30,'Base stats'!B:B,'Base stats'!AQ:AQ))*(AO30^0.75)+(_xlfn.XLOOKUP(B30,'Base stats'!B:B,'Base stats'!AQ:AQ)/1000)^(2/3)+_xlfn.XLOOKUP(B30,'Base stats'!B:B,'Base stats'!AU:AU)+_xlfn.XLOOKUP(B30,'Base stats'!B:B,'Base stats'!AX:AX))+0.5,0.5))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stats'!AP:AP))*(AO30^0.75)+(_xlfn.XLOOKUP(B30,'Base stats'!B:B,'Base stats'!AP:AP)/1000)^(2/3)+_xlfn.XLOOKUP(B30,'Base stats'!B:B,'Base stats'!AV:AV)+_xlfn.XLOOKUP(B30,'Base stats'!B:B,'Base stats'!AX:AX))+0.5,0.5))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MAX(0.01,MROUND(IF(CB30="True",0.196*(AO30*100*1000)^0.889,IF(_xlfn.XLOOKUP(_xlfn.XLOOKUP(B30,'Base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IF(OR(A30="Queen",A30="Larva"),"No",IFERROR(MAX(IF(_xlfn.XLOOKUP(B30,'Base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stats'!AE:AE)</f>
        <v>Leather_Pig</v>
      </c>
      <c r="BB30" s="23" t="str">
        <f>_xlfn.XLOOKUP(_xlfn.XLOOKUP(B30,'Base stats'!B:B,'Base stats'!E:E),Groups!A:A,Groups!AL:AL)</f>
        <v>QuadrupedAnimalWithHooves</v>
      </c>
      <c r="BC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D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E30" s="2" t="str">
        <f>IF(J30&gt;0.3,"No",_xlfn.XLOOKUP(_xlfn.XLOOKUP(Animals!B30,'Base stats'!B:B,'Base stats'!E:E),Groups!A:A,Groups!AP:AP))</f>
        <v>No</v>
      </c>
      <c r="BF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+ 24*(1-IF(BE30="No",0,BE30)) + 16/3, 12),"No")</f>
        <v>No</v>
      </c>
      <c r="BG30" s="2">
        <f>IF(AND(_xlfn.XLOOKUP(_xlfn.XLOOKUP(B30,'Base stats'!B:B,'Base stats'!E:E),Groups!A:A,Groups!AQ:AQ)=1,AO30&lt;=0.35),8,12)</f>
        <v>12</v>
      </c>
      <c r="BH30" s="2" t="str">
        <f>IF(_xlfn.XLOOKUP(_xlfn.XLOOKUP(B30,'Base stats'!B:B,'Base stats'!E:E),Groups!A:A,Groups!D:D)=0,_xlfn.XLOOKUP(_xlfn.XLOOKUP(B30,'Base stats'!B:B,'Base stats'!E:E),Groups!A:A,Groups!AR:AR),"None")</f>
        <v>None</v>
      </c>
      <c r="BI30" s="2" t="str">
        <f>IF(AND(_xlfn.XLOOKUP(_xlfn.XLOOKUP(B30,'Base stats'!B:B,'Base stats'!E:E),Groups!A:A,Groups!AS:AS)=1,OR('Base stats'!Y30="Carnivore",'Base stats'!Y30="Omnivore")),"true","false")</f>
        <v>false</v>
      </c>
      <c r="BJ30" s="2" t="str">
        <f>IF(BI30="true",MROUND(IF(AND(AO30&gt;0.5,OR(_xlfn.XLOOKUP(_xlfn.XLOOKUP(B30,'Base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K30" s="2">
        <f t="shared" si="3"/>
        <v>0</v>
      </c>
      <c r="BL30" s="25" t="str">
        <f>IF(_xlfn.XLOOKUP(B30,'Base stats'!B:B,'Base stats'!AK:AK)="Standard","No",MROUND((_xlfn.XLOOKUP(B30,'Base stats'!B:B,'Base stats'!AK:AK)/3.6)/I30,0.1))</f>
        <v>No</v>
      </c>
      <c r="BM30" s="25" t="str">
        <f t="shared" si="4"/>
        <v>false</v>
      </c>
      <c r="BN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O30" s="25" t="str" cm="1">
        <f t="array" ref="BO30">IF(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 = "",
  "No",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
)</f>
        <v>Forage</v>
      </c>
      <c r="BP30" s="25" t="str">
        <f>IF(
   AND(
      'Base stats'!AK30="Standard",_xlfn.XLOOKUP(_xlfn.XLOOKUP(B30,'Base stats'!B:B,'Base stats'!E:E),Groups!A:A,Groups!AU:AU)=0,
      OR(
      BN30="True"
      )
   ),
   10,
   IF(
       OR(BL30&lt;&gt;"No",_xlfn.XLOOKUP(_xlfn.XLOOKUP(B30,'Base stats'!B:B,'Base stats'!E:E),Groups!A:A,Groups!AU:AU)=1),
      1,
      "No"
   )
)</f>
        <v>No</v>
      </c>
      <c r="BQ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stats'!AS:AS) * 1.8) * 2) * 2.5 + 10 + I30 * 2,5)+IF(_xlfn.XLOOKUP(B30,'Base stats'!B:B,'Base stats'!AH:AH)=1,50,0)</f>
        <v>145</v>
      </c>
      <c r="BR30" s="8">
        <f t="shared" si="5"/>
        <v>1.2000000000000002</v>
      </c>
      <c r="BS30" s="8" t="str">
        <f>_xlfn.XLOOKUP(B30,'Base stats'!B:B,'Base stats'!AD:AD)</f>
        <v>3~10</v>
      </c>
      <c r="BT30" s="2" t="str">
        <f>IF(AND(J30&lt;=0.95,OR(_xlfn.XLOOKUP(B30,'Base stats'!B:B,'Base stats'!AH:AH)=1,_xlfn.XLOOKUP(B30,'Base stats'!B:B,'Base stats'!Y:Y)="Carnivore",_xlfn.XLOOKUP(B30,'Base stats'!B:B,'Base stats'!Y:Y)="Omnivore",BD30&gt;0.1)),"true","false")</f>
        <v>false</v>
      </c>
      <c r="BU30" s="2" t="str">
        <f>IF(_xlfn.XLOOKUP(B30,'Base stats'!B:B,'Base stats'!AF:AF)=1,"true","false")</f>
        <v>false</v>
      </c>
      <c r="BV30" s="25" t="str">
        <f>IF(E30="BaseInsect","AnimalInsect",
IF(J30&gt;0.95,"AnimalExotic",
_xlfn.TEXTJOIN(", ",TRUE,
IF(OR(_xlfn.XLOOKUP(B30,'Base stats'!B:B,'Base stats'!AJ:AJ)=1,AND(_xlfn.XLOOKUP(B30,'Base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stats'!AH:AH)=1,AND(BH30&lt;&gt;"None",BQ30&gt;=60),ISNUMBER(SEARCH("Attack target",BO30))),"AnimalFighter","")
)))</f>
        <v>AnimalCommon, AnimalFarm</v>
      </c>
      <c r="BW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),_xlfn.XLOOKUP(B30,B:B,BW:BW))</f>
        <v>Scarlands</v>
      </c>
      <c r="BX30" s="25" t="str">
        <f>IF(_xlfn.XLOOKUP(B30,'Base stats'!B:B,'Base stats'!AG:AG)=1,"true","false")</f>
        <v>false</v>
      </c>
      <c r="BY30" s="25">
        <f>IF(_xlfn.XLOOKUP(B30,'Base stats'!B:B,'Base stats'!N:N)=1,"No",MAX(0.01,MIN(MROUND(IF(OR(_xlfn.XLOOKUP(B30,'Base stats'!B:B,'Base stats'!AJ:AJ)=1,AND(BI30="True",CB30="False")),POWER(10,3.47*LOG10(_xlfn.XLOOKUP(B30,'Base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stats'!AH:AH)=1),0.5,1)/100,0.025),1)))</f>
        <v>0.15000000000000002</v>
      </c>
      <c r="BZ30" s="25" t="str">
        <f>IF(P30="Standard","No",MAX(0.01,IF(_xlfn.XLOOKUP(B30,'Base stats'!B:B,'Base stats'!N:N)=0,MROUND(BY30*P30,0.05),MIN(1,MAX(0.025,MROUND(IF(OR(CB30="true",AND(BI30="false",BN30="false")),POWER(10,4.15*LOG10(_xlfn.XLOOKUP(B30,'Base stats'!B:B,'Base stats'!C:C)*1000)^-0.73),POWER(10,3.47*LOG10(_xlfn.XLOOKUP(B30,'Base stats'!B:B,'Base stats'!C:C)*1000)^-0.96))*IF(_xlfn.XLOOKUP(B30,'Base stats'!B:B,'Base stats'!AH:AH)=1,0.5,1)/100,0.025))))))</f>
        <v>No</v>
      </c>
      <c r="CA30" s="25" t="str">
        <f>IF(_xlfn.XLOOKUP(_xlfn.XLOOKUP(B30,'Base stats'!B:B,'Base stats'!E:E),Groups!A:A,Groups!AJ:AJ)="Mammal","True","False")</f>
        <v>True</v>
      </c>
      <c r="CB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C30" s="25" t="str">
        <f t="shared" si="6"/>
        <v>False</v>
      </c>
      <c r="CD30" s="25" t="str">
        <f>IF(_xlfn.XLOOKUP(_xlfn.XLOOKUP(B30,'Base stats'!B:B,'Base stats'!E:E),Groups!A:A,Groups!AX:AX),"True","False")</f>
        <v>False</v>
      </c>
      <c r="CE30" s="25" t="str">
        <f>IF(_xlfn.XLOOKUP(_xlfn.XLOOKUP(B30,'Base stats'!B:B,'Base stats'!E:E),Groups!A:A,Groups!AY:AY),"True","False")</f>
        <v>False</v>
      </c>
      <c r="CF30" s="25" t="str">
        <f>IF(_xlfn.XLOOKUP(_xlfn.XLOOKUP(B30,'Base stats'!B:B,'Base stats'!E:E),Groups!A:A,Groups!AW:AW),"True","False")</f>
        <v>False</v>
      </c>
      <c r="CG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H30" s="25" t="str">
        <f>IF(_xlfn.XLOOKUP(_xlfn.XLOOKUP(B30,'Base stats'!B:B,'Base stats'!E:E),Groups!A:A,Groups!BB:BB),"True","False")</f>
        <v>True</v>
      </c>
      <c r="CI30" s="25" t="str">
        <f>IF(_xlfn.XLOOKUP(_xlfn.XLOOKUP(B30,'Base stats'!B:B,'Base stats'!E:E),Groups!A:A,Groups!BA:BA),"True","False")</f>
        <v>False</v>
      </c>
    </row>
    <row r="31" spans="1:92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stats'!AI:AI)=0,BH31="None",_xlfn.XLOOKUP(_xlfn.XLOOKUP(B31,'Base stats'!B:B,'Base stats'!E:E),Groups!A:A,Groups!B:B)=0), (18 + BQ31 * 2.7) * 0.5,
    IF(AND(_xlfn.XLOOKUP(B31,'Base stats'!B:B,'Base stats'!AI:AI)=0,OR(AO31&lt;0.55,AND(BH31="Intermediate",_xlfn.XLOOKUP(_xlfn.XLOOKUP(B31,'Base stats'!B:B,'Base stats'!E:E),Groups!A:A,Groups!B:B)&lt;2))), (18 + BQ31 * 2.7),
      IF(OR(BH31="Advanced",_xlfn.XLOOKUP(B31,'Base stats'!B:B,'Base stats'!AI:AI)=1,_xlfn.XLOOKUP(_xlfn.XLOOKUP(B31,'Base stats'!B:B,'Base stats'!E:E),Groups!A:A,Groups!B:B)=2), (18 + BQ31 * 2.7) + 250, (18 + BQ31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IF(_xlfn.XLOOKUP(B31,'Base stats'!B:B,'Base stats'!AI:AI)=1,0.99,MIN(MROUND((1-0.6282*EXP(-0.459*AO31))*_xlfn.XLOOKUP(_xlfn.XLOOKUP(B31,'Base stats'!B:B,'Base stats'!E:E),Groups!A:A,Groups!C:C)*IF(_xlfn.XLOOKUP(B31,'Base stats'!B:B,'Base stats'!O:O)=1,0.5,IF(_xlfn.XLOOKUP(B31,'Base stats'!B:B,'Base stats'!O:O)=2,0,1)),0.05),0.985))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W31)),ISNUMBER(SEARCH("IceSheet",BW31))),-50,IF(OR(ISNUMBER(SEARCH("GlacialPlain",BW31)),ISNUMBER(SEARCH("Tundra",BW31))),-40,IF(OR(ISNUMBER(SEARCH("Alpine",BW31)),ISNUMBER(SEARCH("BorealForest",BW31)),ISNUMBER(SEARCH("ColdBog",BW31))),-30,IF(OR(ISNUMBER(SEARCH("TemperateForest",BW31)),ISNUMBER(SEARCH("TemperateSwamp",BW31))),-20,IF(_xlfn.XLOOKUP(_xlfn.XLOOKUP(B31,'Base stats'!B:B,'Base stats'!E:E),Groups!A:A,Groups!F:F)=1,-15,IF(OR(ISNUMBER(SEARCH("Desert",BW31)),ISNUMBER(SEARCH("ExtremeDesert",BW31))),-10,IF(OR(ISNUMBER(SEARCH("Grasslands",BW31)),ISNUMBER(SEARCH("TropicalRainforest",BW31)),ISNUMBER(SEARCH("TropicalSwamp",BW31))),10,0)))))))-IF(CB31="False",MIN(IFERROR(MAX(MROUND(LOG10(_xlfn.XLOOKUP(B31,'Base stats'!B:B,'Base stats'!C:C)^(2/3))*10,5),5),5),30))-_xlfn.XLOOKUP(B31,'Base stats'!B:B,'Base stats'!P:P)+IF(CB31="True",5,0)</f>
        <v>5</v>
      </c>
      <c r="M31" s="2">
        <f>IF(OR(_xlfn.XLOOKUP(_xlfn.XLOOKUP(B31,'Base stats'!B:B,'Base stats'!E:E),Groups!A:A,Groups!G:G)=2,ISNUMBER(SEARCH("Desert",BW31)),ISNUMBER(SEARCH("ExtremeDesert",BW31)),ISNUMBER(SEARCH("LavaField",BW31))),50,IF(ISNUMBER(SEARCH("Grasslands",BW31)),45,IF(OR(_xlfn.XLOOKUP(_xlfn.XLOOKUP(B31,'Base stats'!B:B,'Base stats'!E:E),Groups!A:A,Groups!G:G)=1,ISNUMBER(SEARCH("TropicalRainforest",BW31)),ISNUMBER(SEARCH("TropicalSwamp",BW31))),40,IF(OR(ISNUMBER(SEARCH("TemperateForest",BW31)),ISNUMBER(SEARCH("TemperateSwamp",BW31))),35,IF(OR(ISNUMBER(SEARCH("Alpine",BW31)),ISNUMBER(SEARCH("BorealForest",BW31)),ISNUMBER(SEARCH("ColdBog",BW31))),30,IF(ISNUMBER(OR(ISNUMBER(SEARCH("GlacialPlain",BW31)),SEARCH("Tundra",BW31))),25,IF(OR(ISNUMBER(SEARCH("SeaIce",BW31)),ISNUMBER(SEARCH("IceSheet",BW31)),ISNUMBER(SEARCH("TropicalSwamp",BW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stats'!AO:AO))*(AO31^0.5)+(_xlfn.XLOOKUP(B31,'Base stats'!B:B,'Base stats'!AO:AO)/1000)^(2/3)+_xlfn.XLOOKUP(B31,'Base stats'!B:B,'Base stats'!AX:AX)/2)+0.5,0.5)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stats'!AP:AP))*(AO31^0.5)+(_xlfn.XLOOKUP(B31,'Base stats'!B:B,'Base stats'!AP:AP)/1000)^(2/3)+_xlfn.XLOOKUP(B31,'Base stats'!B:B,'Base stats'!AX:AX))+_xlfn.XLOOKUP(B31,'Base stats'!B:B,'Base stats'!AV:AV)+0.5,0.5))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stats'!AR:AR))*(AO31^0.5)+(_xlfn.XLOOKUP(B31,'Base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stats'!AQ:AQ)="No","No",MROUND((LOG10(_xlfn.XLOOKUP(B31,'Base stats'!B:B,'Base stats'!AQ:AQ))*(AO31^0.75)+(_xlfn.XLOOKUP(B31,'Base stats'!B:B,'Base stats'!AQ:AQ)/1000)^(2/3)+_xlfn.XLOOKUP(B31,'Base stats'!B:B,'Base stats'!AU:AU)+_xlfn.XLOOKUP(B31,'Base stats'!B:B,'Base stats'!AX:AX))+0.5,0.5))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stats'!AP:AP))*(AO31^0.75)+(_xlfn.XLOOKUP(B31,'Base stats'!B:B,'Base stats'!AP:AP)/1000)^(2/3)+_xlfn.XLOOKUP(B31,'Base stats'!B:B,'Base stats'!AV:AV)+_xlfn.XLOOKUP(B31,'Base stats'!B:B,'Base stats'!AX:AX))+0.5,0.5))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MAX(0.01,MROUND(IF(CB31="True",0.196*(AO31*100*1000)^0.889,IF(_xlfn.XLOOKUP(_xlfn.XLOOKUP(B31,'Base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stats'!AE:AE)</f>
        <v>Leather_Light</v>
      </c>
      <c r="BB31" s="23" t="str">
        <f>_xlfn.XLOOKUP(_xlfn.XLOOKUP(B31,'Base stats'!B:B,'Base stats'!E:E),Groups!A:A,Groups!AL:AL)</f>
        <v>Monkey</v>
      </c>
      <c r="BC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D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E31" s="2" t="str">
        <f>IF(J31&gt;0.3,"No",_xlfn.XLOOKUP(_xlfn.XLOOKUP(Animals!B31,'Base stats'!B:B,'Base stats'!E:E),Groups!A:A,Groups!AP:AP))</f>
        <v>No</v>
      </c>
      <c r="BF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+ 24*(1-IF(BE31="No",0,BE31)) + 16/3, 12),"No")</f>
        <v>36</v>
      </c>
      <c r="BG31" s="2">
        <f>IF(AND(_xlfn.XLOOKUP(_xlfn.XLOOKUP(B31,'Base stats'!B:B,'Base stats'!E:E),Groups!A:A,Groups!AQ:AQ)=1,AO31&lt;=0.35),8,12)</f>
        <v>12</v>
      </c>
      <c r="BH31" s="2" t="str">
        <f>IF(_xlfn.XLOOKUP(_xlfn.XLOOKUP(B31,'Base stats'!B:B,'Base stats'!E:E),Groups!A:A,Groups!D:D)=0,_xlfn.XLOOKUP(_xlfn.XLOOKUP(B31,'Base stats'!B:B,'Base stats'!E:E),Groups!A:A,Groups!AR:AR),"None")</f>
        <v>Advanced</v>
      </c>
      <c r="BI31" s="2" t="str">
        <f>IF(AND(_xlfn.XLOOKUP(_xlfn.XLOOKUP(B31,'Base stats'!B:B,'Base stats'!E:E),Groups!A:A,Groups!AS:AS)=1,OR('Base stats'!Y31="Carnivore",'Base stats'!Y31="Omnivore")),"true","false")</f>
        <v>false</v>
      </c>
      <c r="BJ31" s="2" t="str">
        <f>IF(BI31="true",MROUND(IF(AND(AO31&gt;0.5,OR(_xlfn.XLOOKUP(_xlfn.XLOOKUP(B31,'Base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K31" s="2">
        <f t="shared" si="3"/>
        <v>1</v>
      </c>
      <c r="BL31" s="25" t="str">
        <f>IF(_xlfn.XLOOKUP(B31,'Base stats'!B:B,'Base stats'!AK:AK)="Standard","No",MROUND((_xlfn.XLOOKUP(B31,'Base stats'!B:B,'Base stats'!AK:AK)/3.6)/I31,0.1))</f>
        <v>No</v>
      </c>
      <c r="BM31" s="25" t="str">
        <f t="shared" si="4"/>
        <v>false</v>
      </c>
      <c r="BN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O31" s="25" t="str" cm="1">
        <f t="array" ref="BO31">IF(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 = "",
  "No",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
)</f>
        <v>Forage, Comfort, AttackTarget</v>
      </c>
      <c r="BP31" s="25" t="str">
        <f>IF(
   AND(
      'Base stats'!AK31="Standard",_xlfn.XLOOKUP(_xlfn.XLOOKUP(B31,'Base stats'!B:B,'Base stats'!E:E),Groups!A:A,Groups!AU:AU)=0,
      OR(
      BN31="True"
      )
   ),
   10,
   IF(
       OR(BL31&lt;&gt;"No",_xlfn.XLOOKUP(_xlfn.XLOOKUP(B31,'Base stats'!B:B,'Base stats'!E:E),Groups!A:A,Groups!AU:AU)=1),
      1,
      "No"
   )
)</f>
        <v>No</v>
      </c>
      <c r="BQ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stats'!AS:AS) * 1.8) * 2) * 2.5 + 10 + I31 * 2,5)+IF(_xlfn.XLOOKUP(B31,'Base stats'!B:B,'Base stats'!AH:AH)=1,50,0)</f>
        <v>45</v>
      </c>
      <c r="BR31" s="8">
        <f t="shared" si="5"/>
        <v>0.30000000000000004</v>
      </c>
      <c r="BS31" s="8" t="str">
        <f>_xlfn.XLOOKUP(B31,'Base stats'!B:B,'Base stats'!AD:AD)</f>
        <v>5~15</v>
      </c>
      <c r="BT31" s="2" t="str">
        <f>IF(AND(J31&lt;=0.95,OR(_xlfn.XLOOKUP(B31,'Base stats'!B:B,'Base stats'!AH:AH)=1,_xlfn.XLOOKUP(B31,'Base stats'!B:B,'Base stats'!Y:Y)="Carnivore",_xlfn.XLOOKUP(B31,'Base stats'!B:B,'Base stats'!Y:Y)="Omnivore",BD31&gt;0.1)),"true","false")</f>
        <v>false</v>
      </c>
      <c r="BU31" s="2" t="str">
        <f>IF(_xlfn.XLOOKUP(B31,'Base stats'!B:B,'Base stats'!AF:AF)=1,"true","false")</f>
        <v>false</v>
      </c>
      <c r="BV31" s="25" t="str">
        <f>IF(E31="BaseInsect","AnimalInsect",
IF(J31&gt;0.95,"AnimalExotic",
_xlfn.TEXTJOIN(", ",TRUE,
IF(OR(_xlfn.XLOOKUP(B31,'Base stats'!B:B,'Base stats'!AJ:AJ)=1,AND(_xlfn.XLOOKUP(B31,'Base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stats'!AH:AH)=1,AND(BH31&lt;&gt;"None",BQ31&gt;=60),ISNUMBER(SEARCH("Attack target",BO31))),"AnimalFighter","")
)))</f>
        <v>AnimalUncommon</v>
      </c>
      <c r="BW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),_xlfn.XLOOKUP(B31,B:B,BW:BW))</f>
        <v>TropicalRainforest TropicalSwamp Glowforest</v>
      </c>
      <c r="BX31" s="25" t="str">
        <f>IF(_xlfn.XLOOKUP(B31,'Base stats'!B:B,'Base stats'!AG:AG)=1,"true","false")</f>
        <v>false</v>
      </c>
      <c r="BY31" s="25">
        <f>IF(_xlfn.XLOOKUP(B31,'Base stats'!B:B,'Base stats'!N:N)=1,"No",MAX(0.01,MIN(MROUND(IF(OR(_xlfn.XLOOKUP(B31,'Base stats'!B:B,'Base stats'!AJ:AJ)=1,AND(BI31="True",CB31="False")),POWER(10,3.47*LOG10(_xlfn.XLOOKUP(B31,'Base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stats'!AH:AH)=1),0.5,1)/100,0.025),1)))</f>
        <v>0.375</v>
      </c>
      <c r="BZ31" s="25" t="str">
        <f>IF(P31="Standard","No",MAX(0.01,IF(_xlfn.XLOOKUP(B31,'Base stats'!B:B,'Base stats'!N:N)=0,MROUND(BY31*P31,0.05),MIN(1,MAX(0.025,MROUND(IF(OR(CB31="true",AND(BI31="false",BN31="false")),POWER(10,4.15*LOG10(_xlfn.XLOOKUP(B31,'Base stats'!B:B,'Base stats'!C:C)*1000)^-0.73),POWER(10,3.47*LOG10(_xlfn.XLOOKUP(B31,'Base stats'!B:B,'Base stats'!C:C)*1000)^-0.96))*IF(_xlfn.XLOOKUP(B31,'Base stats'!B:B,'Base stats'!AH:AH)=1,0.5,1)/100,0.025))))))</f>
        <v>No</v>
      </c>
      <c r="CA31" s="25" t="str">
        <f>IF(_xlfn.XLOOKUP(_xlfn.XLOOKUP(B31,'Base stats'!B:B,'Base stats'!E:E),Groups!A:A,Groups!AJ:AJ)="Mammal","True","False")</f>
        <v>True</v>
      </c>
      <c r="CB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C31" s="25" t="str">
        <f t="shared" si="6"/>
        <v>False</v>
      </c>
      <c r="CD31" s="25" t="str">
        <f>IF(_xlfn.XLOOKUP(_xlfn.XLOOKUP(B31,'Base stats'!B:B,'Base stats'!E:E),Groups!A:A,Groups!AX:AX),"True","False")</f>
        <v>False</v>
      </c>
      <c r="CE31" s="25" t="str">
        <f>IF(_xlfn.XLOOKUP(_xlfn.XLOOKUP(B31,'Base stats'!B:B,'Base stats'!E:E),Groups!A:A,Groups!AY:AY),"True","False")</f>
        <v>False</v>
      </c>
      <c r="CF31" s="25" t="str">
        <f>IF(_xlfn.XLOOKUP(_xlfn.XLOOKUP(B31,'Base stats'!B:B,'Base stats'!E:E),Groups!A:A,Groups!AW:AW),"True","False")</f>
        <v>False</v>
      </c>
      <c r="CG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H31" s="25" t="str">
        <f>IF(_xlfn.XLOOKUP(_xlfn.XLOOKUP(B31,'Base stats'!B:B,'Base stats'!E:E),Groups!A:A,Groups!BB:BB),"True","False")</f>
        <v>True</v>
      </c>
      <c r="CI31" s="25" t="str">
        <f>IF(_xlfn.XLOOKUP(_xlfn.XLOOKUP(B31,'Base stats'!B:B,'Base stats'!E:E),Groups!A:A,Groups!BA:BA),"True","False")</f>
        <v>False</v>
      </c>
    </row>
    <row r="32" spans="1:92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stats'!AI:AI)=0,BH32="None",_xlfn.XLOOKUP(_xlfn.XLOOKUP(B32,'Base stats'!B:B,'Base stats'!E:E),Groups!A:A,Groups!B:B)=0), (18 + BQ32 * 2.7) * 0.5,
    IF(AND(_xlfn.XLOOKUP(B32,'Base stats'!B:B,'Base stats'!AI:AI)=0,OR(AO32&lt;0.55,AND(BH32="Intermediate",_xlfn.XLOOKUP(_xlfn.XLOOKUP(B32,'Base stats'!B:B,'Base stats'!E:E),Groups!A:A,Groups!B:B)&lt;2))), (18 + BQ32 * 2.7),
      IF(OR(BH32="Advanced",_xlfn.XLOOKUP(B32,'Base stats'!B:B,'Base stats'!AI:AI)=1,_xlfn.XLOOKUP(_xlfn.XLOOKUP(B32,'Base stats'!B:B,'Base stats'!E:E),Groups!A:A,Groups!B:B)=2), (18 + BQ32 * 2.7) + 250, (18 + BQ32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IF(_xlfn.XLOOKUP(B32,'Base stats'!B:B,'Base stats'!AI:AI)=1,0.99,MIN(MROUND((1-0.6282*EXP(-0.459*AO32))*_xlfn.XLOOKUP(_xlfn.XLOOKUP(B32,'Base stats'!B:B,'Base stats'!E:E),Groups!A:A,Groups!C:C)*IF(_xlfn.XLOOKUP(B32,'Base stats'!B:B,'Base stats'!O:O)=1,0.5,IF(_xlfn.XLOOKUP(B32,'Base stats'!B:B,'Base stats'!O:O)=2,0,1)),0.05),0.985))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W32)),ISNUMBER(SEARCH("IceSheet",BW32))),-50,IF(OR(ISNUMBER(SEARCH("GlacialPlain",BW32)),ISNUMBER(SEARCH("Tundra",BW32))),-40,IF(OR(ISNUMBER(SEARCH("Alpine",BW32)),ISNUMBER(SEARCH("BorealForest",BW32)),ISNUMBER(SEARCH("ColdBog",BW32))),-30,IF(OR(ISNUMBER(SEARCH("TemperateForest",BW32)),ISNUMBER(SEARCH("TemperateSwamp",BW32))),-20,IF(_xlfn.XLOOKUP(_xlfn.XLOOKUP(B32,'Base stats'!B:B,'Base stats'!E:E),Groups!A:A,Groups!F:F)=1,-15,IF(OR(ISNUMBER(SEARCH("Desert",BW32)),ISNUMBER(SEARCH("ExtremeDesert",BW32))),-10,IF(OR(ISNUMBER(SEARCH("Grasslands",BW32)),ISNUMBER(SEARCH("TropicalRainforest",BW32)),ISNUMBER(SEARCH("TropicalSwamp",BW32))),10,0)))))))-IF(CB32="False",MIN(IFERROR(MAX(MROUND(LOG10(_xlfn.XLOOKUP(B32,'Base stats'!B:B,'Base stats'!C:C)^(2/3))*10,5),5),5),30))-_xlfn.XLOOKUP(B32,'Base stats'!B:B,'Base stats'!P:P)+IF(CB32="True",5,0)</f>
        <v>15</v>
      </c>
      <c r="M32" s="2">
        <f>IF(OR(_xlfn.XLOOKUP(_xlfn.XLOOKUP(B32,'Base stats'!B:B,'Base stats'!E:E),Groups!A:A,Groups!G:G)=2,ISNUMBER(SEARCH("Desert",BW32)),ISNUMBER(SEARCH("ExtremeDesert",BW32)),ISNUMBER(SEARCH("LavaField",BW32))),50,IF(ISNUMBER(SEARCH("Grasslands",BW32)),45,IF(OR(_xlfn.XLOOKUP(_xlfn.XLOOKUP(B32,'Base stats'!B:B,'Base stats'!E:E),Groups!A:A,Groups!G:G)=1,ISNUMBER(SEARCH("TropicalRainforest",BW32)),ISNUMBER(SEARCH("TropicalSwamp",BW32))),40,IF(OR(ISNUMBER(SEARCH("TemperateForest",BW32)),ISNUMBER(SEARCH("TemperateSwamp",BW32))),35,IF(OR(ISNUMBER(SEARCH("Alpine",BW32)),ISNUMBER(SEARCH("BorealForest",BW32)),ISNUMBER(SEARCH("ColdBog",BW32))),30,IF(ISNUMBER(OR(ISNUMBER(SEARCH("GlacialPlain",BW32)),SEARCH("Tundra",BW32))),25,IF(OR(ISNUMBER(SEARCH("SeaIce",BW32)),ISNUMBER(SEARCH("IceSheet",BW32)),ISNUMBER(SEARCH("TropicalSwamp",BW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stats'!AO:AO))*(AO32^0.5)+(_xlfn.XLOOKUP(B32,'Base stats'!B:B,'Base stats'!AO:AO)/1000)^(2/3)+_xlfn.XLOOKUP(B32,'Base stats'!B:B,'Base stats'!AX:AX)/2)+0.5,0.5)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stats'!AP:AP))*(AO32^0.5)+(_xlfn.XLOOKUP(B32,'Base stats'!B:B,'Base stats'!AP:AP)/1000)^(2/3)+_xlfn.XLOOKUP(B32,'Base stats'!B:B,'Base stats'!AX:AX))+_xlfn.XLOOKUP(B32,'Base stats'!B:B,'Base stats'!AV:AV)+0.5,0.5))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stats'!AR:AR))*(AO32^0.5)+(_xlfn.XLOOKUP(B32,'Base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stats'!AQ:AQ)="No","No",MROUND((LOG10(_xlfn.XLOOKUP(B32,'Base stats'!B:B,'Base stats'!AQ:AQ))*(AO32^0.75)+(_xlfn.XLOOKUP(B32,'Base stats'!B:B,'Base stats'!AQ:AQ)/1000)^(2/3)+_xlfn.XLOOKUP(B32,'Base stats'!B:B,'Base stats'!AU:AU)+_xlfn.XLOOKUP(B32,'Base stats'!B:B,'Base stats'!AX:AX))+0.5,0.5))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stats'!AP:AP))*(AO32^0.75)+(_xlfn.XLOOKUP(B32,'Base stats'!B:B,'Base stats'!AP:AP)/1000)^(2/3)+_xlfn.XLOOKUP(B32,'Base stats'!B:B,'Base stats'!AV:AV)+_xlfn.XLOOKUP(B32,'Base stats'!B:B,'Base stats'!AX:AX))+0.5,0.5))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MAX(0.01,MROUND(IF(CB32="True",0.196*(AO32*100*1000)^0.889,IF(_xlfn.XLOOKUP(_xlfn.XLOOKUP(B32,'Base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IF(OR(A32="Queen",A32="Larva"),"No",IFERROR(MAX(IF(_xlfn.XLOOKUP(B32,'Base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stats'!AE:AE)</f>
        <v>Leather_Lizard</v>
      </c>
      <c r="BB32" s="23" t="str">
        <f>_xlfn.XLOOKUP(_xlfn.XLOOKUP(B32,'Base stats'!B:B,'Base stats'!E:E),Groups!A:A,Groups!AL:AL)</f>
        <v>QuadrupedAnimalWithClawsTailAndJowl</v>
      </c>
      <c r="BC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D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E32" s="2" t="str">
        <f>IF(J32&gt;0.3,"No",_xlfn.XLOOKUP(_xlfn.XLOOKUP(Animals!B32,'Base stats'!B:B,'Base stats'!E:E),Groups!A:A,Groups!AP:AP))</f>
        <v>No</v>
      </c>
      <c r="BF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+ 24*(1-IF(BE32="No",0,BE32)) + 16/3, 12),"No")</f>
        <v>No</v>
      </c>
      <c r="BG32" s="2">
        <f>IF(AND(_xlfn.XLOOKUP(_xlfn.XLOOKUP(B32,'Base stats'!B:B,'Base stats'!E:E),Groups!A:A,Groups!AQ:AQ)=1,AO32&lt;=0.35),8,12)</f>
        <v>12</v>
      </c>
      <c r="BH32" s="2" t="str">
        <f>IF(_xlfn.XLOOKUP(_xlfn.XLOOKUP(B32,'Base stats'!B:B,'Base stats'!E:E),Groups!A:A,Groups!D:D)=0,_xlfn.XLOOKUP(_xlfn.XLOOKUP(B32,'Base stats'!B:B,'Base stats'!E:E),Groups!A:A,Groups!AR:AR),"None")</f>
        <v>None</v>
      </c>
      <c r="BI32" s="2" t="str">
        <f>IF(AND(_xlfn.XLOOKUP(_xlfn.XLOOKUP(B32,'Base stats'!B:B,'Base stats'!E:E),Groups!A:A,Groups!AS:AS)=1,OR('Base stats'!Y32="Carnivore",'Base stats'!Y32="Omnivore")),"true","false")</f>
        <v>false</v>
      </c>
      <c r="BJ32" s="2" t="str">
        <f>IF(BI32="true",MROUND(IF(AND(AO32&gt;0.5,OR(_xlfn.XLOOKUP(_xlfn.XLOOKUP(B32,'Base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K32" s="2">
        <f t="shared" si="3"/>
        <v>0</v>
      </c>
      <c r="BL32" s="25" t="str">
        <f>IF(_xlfn.XLOOKUP(B32,'Base stats'!B:B,'Base stats'!AK:AK)="Standard","No",MROUND((_xlfn.XLOOKUP(B32,'Base stats'!B:B,'Base stats'!AK:AK)/3.6)/I32,0.1))</f>
        <v>No</v>
      </c>
      <c r="BM32" s="25" t="str">
        <f t="shared" si="4"/>
        <v>false</v>
      </c>
      <c r="BN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O32" s="25" t="str" cm="1">
        <f t="array" ref="BO32">IF(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 = "",
  "No",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
)</f>
        <v>No</v>
      </c>
      <c r="BP32" s="25" t="str">
        <f>IF(
   AND(
      'Base stats'!AK32="Standard",_xlfn.XLOOKUP(_xlfn.XLOOKUP(B32,'Base stats'!B:B,'Base stats'!E:E),Groups!A:A,Groups!AU:AU)=0,
      OR(
      BN32="True"
      )
   ),
   10,
   IF(
       OR(BL32&lt;&gt;"No",_xlfn.XLOOKUP(_xlfn.XLOOKUP(B32,'Base stats'!B:B,'Base stats'!E:E),Groups!A:A,Groups!AU:AU)=1),
      1,
      "No"
   )
)</f>
        <v>No</v>
      </c>
      <c r="BQ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stats'!AS:AS) * 1.8) * 2) * 2.5 + 10 + I32 * 2,5)+IF(_xlfn.XLOOKUP(B32,'Base stats'!B:B,'Base stats'!AH:AH)=1,50,0)</f>
        <v>35</v>
      </c>
      <c r="BR32" s="8">
        <f t="shared" si="5"/>
        <v>0.1</v>
      </c>
      <c r="BS32" s="8" t="str">
        <f>_xlfn.XLOOKUP(B32,'Base stats'!B:B,'Base stats'!AD:AD)</f>
        <v>No</v>
      </c>
      <c r="BT32" s="2" t="str">
        <f>IF(AND(J32&lt;=0.95,OR(_xlfn.XLOOKUP(B32,'Base stats'!B:B,'Base stats'!AH:AH)=1,_xlfn.XLOOKUP(B32,'Base stats'!B:B,'Base stats'!Y:Y)="Carnivore",_xlfn.XLOOKUP(B32,'Base stats'!B:B,'Base stats'!Y:Y)="Omnivore",BD32&gt;0.1)),"true","false")</f>
        <v>false</v>
      </c>
      <c r="BU32" s="2" t="str">
        <f>IF(_xlfn.XLOOKUP(B32,'Base stats'!B:B,'Base stats'!AF:AF)=1,"true","false")</f>
        <v>false</v>
      </c>
      <c r="BV32" s="25" t="str">
        <f>IF(E32="BaseInsect","AnimalInsect",
IF(J32&gt;0.95,"AnimalExotic",
_xlfn.TEXTJOIN(", ",TRUE,
IF(OR(_xlfn.XLOOKUP(B32,'Base stats'!B:B,'Base stats'!AJ:AJ)=1,AND(_xlfn.XLOOKUP(B32,'Base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stats'!AH:AH)=1,AND(BH32&lt;&gt;"None",BQ32&gt;=60),ISNUMBER(SEARCH("Attack target",BO32))),"AnimalFighter","")
)))</f>
        <v>AnimalUncommon</v>
      </c>
      <c r="BW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),_xlfn.XLOOKUP(B32,B:B,BW:BW))</f>
        <v>TropicalRainforest TropicalSwamp</v>
      </c>
      <c r="BX32" s="25" t="str">
        <f>IF(_xlfn.XLOOKUP(B32,'Base stats'!B:B,'Base stats'!AG:AG)=1,"true","false")</f>
        <v>false</v>
      </c>
      <c r="BY32" s="25">
        <f>IF(_xlfn.XLOOKUP(B32,'Base stats'!B:B,'Base stats'!N:N)=1,"No",MAX(0.01,MIN(MROUND(IF(OR(_xlfn.XLOOKUP(B32,'Base stats'!B:B,'Base stats'!AJ:AJ)=1,AND(BI32="True",CB32="False")),POWER(10,3.47*LOG10(_xlfn.XLOOKUP(B32,'Base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stats'!AH:AH)=1),0.5,1)/100,0.025),1)))</f>
        <v>0.60000000000000009</v>
      </c>
      <c r="BZ32" s="25">
        <f>IF(P32="Standard","No",MAX(0.01,IF(_xlfn.XLOOKUP(B32,'Base stats'!B:B,'Base stats'!N:N)=0,MROUND(BY32*P32,0.05),MIN(1,MAX(0.025,MROUND(IF(OR(CB32="true",AND(BI32="false",BN32="false")),POWER(10,4.15*LOG10(_xlfn.XLOOKUP(B32,'Base stats'!B:B,'Base stats'!C:C)*1000)^-0.73),POWER(10,3.47*LOG10(_xlfn.XLOOKUP(B32,'Base stats'!B:B,'Base stats'!C:C)*1000)^-0.96))*IF(_xlfn.XLOOKUP(B32,'Base stats'!B:B,'Base stats'!AH:AH)=1,0.5,1)/100,0.025))))))</f>
        <v>0.5</v>
      </c>
      <c r="CA32" s="25" t="str">
        <f>IF(_xlfn.XLOOKUP(_xlfn.XLOOKUP(B32,'Base stats'!B:B,'Base stats'!E:E),Groups!A:A,Groups!AJ:AJ)="Mammal","True","False")</f>
        <v>False</v>
      </c>
      <c r="CB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C32" s="25" t="str">
        <f t="shared" si="6"/>
        <v>False</v>
      </c>
      <c r="CD32" s="25" t="str">
        <f>IF(_xlfn.XLOOKUP(_xlfn.XLOOKUP(B32,'Base stats'!B:B,'Base stats'!E:E),Groups!A:A,Groups!AX:AX),"True","False")</f>
        <v>False</v>
      </c>
      <c r="CE32" s="25" t="str">
        <f>IF(_xlfn.XLOOKUP(_xlfn.XLOOKUP(B32,'Base stats'!B:B,'Base stats'!E:E),Groups!A:A,Groups!AY:AY),"True","False")</f>
        <v>False</v>
      </c>
      <c r="CF32" s="25" t="str">
        <f>IF(_xlfn.XLOOKUP(_xlfn.XLOOKUP(B32,'Base stats'!B:B,'Base stats'!E:E),Groups!A:A,Groups!AW:AW),"True","False")</f>
        <v>False</v>
      </c>
      <c r="CG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H32" s="25" t="str">
        <f>IF(_xlfn.XLOOKUP(_xlfn.XLOOKUP(B32,'Base stats'!B:B,'Base stats'!E:E),Groups!A:A,Groups!BB:BB),"True","False")</f>
        <v>False</v>
      </c>
      <c r="CI32" s="25" t="str">
        <f>IF(_xlfn.XLOOKUP(_xlfn.XLOOKUP(B32,'Base stats'!B:B,'Base stats'!E:E),Groups!A:A,Groups!BA:BA),"True","False")</f>
        <v>False</v>
      </c>
    </row>
    <row r="33" spans="1:87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stats'!AI:AI)=0,BH33="None",_xlfn.XLOOKUP(_xlfn.XLOOKUP(B33,'Base stats'!B:B,'Base stats'!E:E),Groups!A:A,Groups!B:B)=0), (18 + BQ33 * 2.7) * 0.5,
    IF(AND(_xlfn.XLOOKUP(B33,'Base stats'!B:B,'Base stats'!AI:AI)=0,OR(AO33&lt;0.55,AND(BH33="Intermediate",_xlfn.XLOOKUP(_xlfn.XLOOKUP(B33,'Base stats'!B:B,'Base stats'!E:E),Groups!A:A,Groups!B:B)&lt;2))), (18 + BQ33 * 2.7),
      IF(OR(BH33="Advanced",_xlfn.XLOOKUP(B33,'Base stats'!B:B,'Base stats'!AI:AI)=1,_xlfn.XLOOKUP(_xlfn.XLOOKUP(B33,'Base stats'!B:B,'Base stats'!E:E),Groups!A:A,Groups!B:B)=2), (18 + BQ33 * 2.7) + 250, (18 + BQ33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IF(_xlfn.XLOOKUP(B33,'Base stats'!B:B,'Base stats'!AI:AI)=1,0.99,MIN(MROUND((1-0.6282*EXP(-0.459*AO33))*_xlfn.XLOOKUP(_xlfn.XLOOKUP(B33,'Base stats'!B:B,'Base stats'!E:E),Groups!A:A,Groups!C:C)*IF(_xlfn.XLOOKUP(B33,'Base stats'!B:B,'Base stats'!O:O)=1,0.5,IF(_xlfn.XLOOKUP(B33,'Base stats'!B:B,'Base stats'!O:O)=2,0,1)),0.05),0.985))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W33)),ISNUMBER(SEARCH("IceSheet",BW33))),-50,IF(OR(ISNUMBER(SEARCH("GlacialPlain",BW33)),ISNUMBER(SEARCH("Tundra",BW33))),-40,IF(OR(ISNUMBER(SEARCH("Alpine",BW33)),ISNUMBER(SEARCH("BorealForest",BW33)),ISNUMBER(SEARCH("ColdBog",BW33))),-30,IF(OR(ISNUMBER(SEARCH("TemperateForest",BW33)),ISNUMBER(SEARCH("TemperateSwamp",BW33))),-20,IF(_xlfn.XLOOKUP(_xlfn.XLOOKUP(B33,'Base stats'!B:B,'Base stats'!E:E),Groups!A:A,Groups!F:F)=1,-15,IF(OR(ISNUMBER(SEARCH("Desert",BW33)),ISNUMBER(SEARCH("ExtremeDesert",BW33))),-10,IF(OR(ISNUMBER(SEARCH("Grasslands",BW33)),ISNUMBER(SEARCH("TropicalRainforest",BW33)),ISNUMBER(SEARCH("TropicalSwamp",BW33))),10,0)))))))-IF(CB33="False",MIN(IFERROR(MAX(MROUND(LOG10(_xlfn.XLOOKUP(B33,'Base stats'!B:B,'Base stats'!C:C)^(2/3))*10,5),5),5),30))-_xlfn.XLOOKUP(B33,'Base stats'!B:B,'Base stats'!P:P)+IF(CB33="True",5,0)</f>
        <v>15</v>
      </c>
      <c r="M33" s="2">
        <f>IF(OR(_xlfn.XLOOKUP(_xlfn.XLOOKUP(B33,'Base stats'!B:B,'Base stats'!E:E),Groups!A:A,Groups!G:G)=2,ISNUMBER(SEARCH("Desert",BW33)),ISNUMBER(SEARCH("ExtremeDesert",BW33)),ISNUMBER(SEARCH("LavaField",BW33))),50,IF(ISNUMBER(SEARCH("Grasslands",BW33)),45,IF(OR(_xlfn.XLOOKUP(_xlfn.XLOOKUP(B33,'Base stats'!B:B,'Base stats'!E:E),Groups!A:A,Groups!G:G)=1,ISNUMBER(SEARCH("TropicalRainforest",BW33)),ISNUMBER(SEARCH("TropicalSwamp",BW33))),40,IF(OR(ISNUMBER(SEARCH("TemperateForest",BW33)),ISNUMBER(SEARCH("TemperateSwamp",BW33))),35,IF(OR(ISNUMBER(SEARCH("Alpine",BW33)),ISNUMBER(SEARCH("BorealForest",BW33)),ISNUMBER(SEARCH("ColdBog",BW33))),30,IF(ISNUMBER(OR(ISNUMBER(SEARCH("GlacialPlain",BW33)),SEARCH("Tundra",BW33))),25,IF(OR(ISNUMBER(SEARCH("SeaIce",BW33)),ISNUMBER(SEARCH("IceSheet",BW33)),ISNUMBER(SEARCH("TropicalSwamp",BW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stats'!AO:AO))*(AO33^0.5)+(_xlfn.XLOOKUP(B33,'Base stats'!B:B,'Base stats'!AO:AO)/1000)^(2/3)+_xlfn.XLOOKUP(B33,'Base stats'!B:B,'Base stats'!AX:AX)/2)+0.5,0.5)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stats'!AP:AP))*(AO33^0.5)+(_xlfn.XLOOKUP(B33,'Base stats'!B:B,'Base stats'!AP:AP)/1000)^(2/3)+_xlfn.XLOOKUP(B33,'Base stats'!B:B,'Base stats'!AX:AX))+_xlfn.XLOOKUP(B33,'Base stats'!B:B,'Base stats'!AV:AV)+0.5,0.5))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stats'!AR:AR))*(AO33^0.5)+(_xlfn.XLOOKUP(B33,'Base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stats'!AQ:AQ)="No","No",MROUND((LOG10(_xlfn.XLOOKUP(B33,'Base stats'!B:B,'Base stats'!AQ:AQ))*(AO33^0.75)+(_xlfn.XLOOKUP(B33,'Base stats'!B:B,'Base stats'!AQ:AQ)/1000)^(2/3)+_xlfn.XLOOKUP(B33,'Base stats'!B:B,'Base stats'!AU:AU)+_xlfn.XLOOKUP(B33,'Base stats'!B:B,'Base stats'!AX:AX))+0.5,0.5))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stats'!AP:AP))*(AO33^0.75)+(_xlfn.XLOOKUP(B33,'Base stats'!B:B,'Base stats'!AP:AP)/1000)^(2/3)+_xlfn.XLOOKUP(B33,'Base stats'!B:B,'Base stats'!AV:AV)+_xlfn.XLOOKUP(B33,'Base stats'!B:B,'Base stats'!AX:AX))+0.5,0.5))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MAX(0.01,MROUND(IF(CB33="True",0.196*(AO33*100*1000)^0.889,IF(_xlfn.XLOOKUP(_xlfn.XLOOKUP(B33,'Base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IF(OR(A33="Queen",A33="Larva"),"No",IFERROR(MAX(IF(_xlfn.XLOOKUP(B33,'Base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stats'!AE:AE)</f>
        <v>Leather_Lizard</v>
      </c>
      <c r="BB33" s="23" t="str">
        <f>_xlfn.XLOOKUP(_xlfn.XLOOKUP(B33,'Base stats'!B:B,'Base stats'!E:E),Groups!A:A,Groups!AL:AL)</f>
        <v>Snake</v>
      </c>
      <c r="BC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D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E33" s="2" t="str">
        <f>IF(J33&gt;0.3,"No",_xlfn.XLOOKUP(_xlfn.XLOOKUP(Animals!B33,'Base stats'!B:B,'Base stats'!E:E),Groups!A:A,Groups!AP:AP))</f>
        <v>No</v>
      </c>
      <c r="BF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+ 24*(1-IF(BE33="No",0,BE33)) + 16/3, 12),"No")</f>
        <v>No</v>
      </c>
      <c r="BG33" s="2">
        <f>IF(AND(_xlfn.XLOOKUP(_xlfn.XLOOKUP(B33,'Base stats'!B:B,'Base stats'!E:E),Groups!A:A,Groups!AQ:AQ)=1,AO33&lt;=0.35),8,12)</f>
        <v>12</v>
      </c>
      <c r="BH33" s="2" t="str">
        <f>IF(_xlfn.XLOOKUP(_xlfn.XLOOKUP(B33,'Base stats'!B:B,'Base stats'!E:E),Groups!A:A,Groups!D:D)=0,_xlfn.XLOOKUP(_xlfn.XLOOKUP(B33,'Base stats'!B:B,'Base stats'!E:E),Groups!A:A,Groups!AR:AR),"None")</f>
        <v>None</v>
      </c>
      <c r="BI33" s="2" t="str">
        <f>IF(AND(_xlfn.XLOOKUP(_xlfn.XLOOKUP(B33,'Base stats'!B:B,'Base stats'!E:E),Groups!A:A,Groups!AS:AS)=1,OR('Base stats'!Y33="Carnivore",'Base stats'!Y33="Omnivore")),"true","false")</f>
        <v>true</v>
      </c>
      <c r="BJ33" s="2">
        <f>IF(BI33="true",MROUND(IF(AND(AO33&gt;0.5,OR(_xlfn.XLOOKUP(_xlfn.XLOOKUP(B33,'Base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K33" s="2">
        <f t="shared" si="3"/>
        <v>0</v>
      </c>
      <c r="BL33" s="25" t="str">
        <f>IF(_xlfn.XLOOKUP(B33,'Base stats'!B:B,'Base stats'!AK:AK)="Standard","No",MROUND((_xlfn.XLOOKUP(B33,'Base stats'!B:B,'Base stats'!AK:AK)/3.6)/I33,0.1))</f>
        <v>No</v>
      </c>
      <c r="BM33" s="25" t="str">
        <f t="shared" si="4"/>
        <v>false</v>
      </c>
      <c r="BN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O33" s="25" t="str" cm="1">
        <f t="array" ref="BO33">IF(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 = "",
  "No",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
)</f>
        <v>No</v>
      </c>
      <c r="BP33" s="25" t="str">
        <f>IF(
   AND(
      'Base stats'!AK33="Standard",_xlfn.XLOOKUP(_xlfn.XLOOKUP(B33,'Base stats'!B:B,'Base stats'!E:E),Groups!A:A,Groups!AU:AU)=0,
      OR(
      BN33="True"
      )
   ),
   10,
   IF(
       OR(BL33&lt;&gt;"No",_xlfn.XLOOKUP(_xlfn.XLOOKUP(B33,'Base stats'!B:B,'Base stats'!E:E),Groups!A:A,Groups!AU:AU)=1),
      1,
      "No"
   )
)</f>
        <v>No</v>
      </c>
      <c r="BQ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stats'!AS:AS) * 1.8) * 2) * 2.5 + 10 + I33 * 2,5)+IF(_xlfn.XLOOKUP(B33,'Base stats'!B:B,'Base stats'!AH:AH)=1,50,0)</f>
        <v>40</v>
      </c>
      <c r="BR33" s="8">
        <f t="shared" si="5"/>
        <v>0.1</v>
      </c>
      <c r="BS33" s="8" t="str">
        <f>_xlfn.XLOOKUP(B33,'Base stats'!B:B,'Base stats'!AD:AD)</f>
        <v>No</v>
      </c>
      <c r="BT33" s="2" t="str">
        <f>IF(AND(J33&lt;=0.95,OR(_xlfn.XLOOKUP(B33,'Base stats'!B:B,'Base stats'!AH:AH)=1,_xlfn.XLOOKUP(B33,'Base stats'!B:B,'Base stats'!Y:Y)="Carnivore",_xlfn.XLOOKUP(B33,'Base stats'!B:B,'Base stats'!Y:Y)="Omnivore",BD33&gt;0.1)),"true","false")</f>
        <v>true</v>
      </c>
      <c r="BU33" s="2" t="str">
        <f>IF(_xlfn.XLOOKUP(B33,'Base stats'!B:B,'Base stats'!AF:AF)=1,"true","false")</f>
        <v>false</v>
      </c>
      <c r="BV33" s="25" t="str">
        <f>IF(E33="BaseInsect","AnimalInsect",
IF(J33&gt;0.95,"AnimalExotic",
_xlfn.TEXTJOIN(", ",TRUE,
IF(OR(_xlfn.XLOOKUP(B33,'Base stats'!B:B,'Base stats'!AJ:AJ)=1,AND(_xlfn.XLOOKUP(B33,'Base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stats'!AH:AH)=1,AND(BH33&lt;&gt;"None",BQ33&gt;=60),ISNUMBER(SEARCH("Attack target",BO33))),"AnimalFighter","")
)))</f>
        <v>AnimalUncommon</v>
      </c>
      <c r="BW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),_xlfn.XLOOKUP(B33,B:B,BW:BW))</f>
        <v>TropicalRainforest TropicalSwamp Glowforest</v>
      </c>
      <c r="BX33" s="25" t="str">
        <f>IF(_xlfn.XLOOKUP(B33,'Base stats'!B:B,'Base stats'!AG:AG)=1,"true","false")</f>
        <v>false</v>
      </c>
      <c r="BY33" s="25">
        <f>IF(_xlfn.XLOOKUP(B33,'Base stats'!B:B,'Base stats'!N:N)=1,"No",MAX(0.01,MIN(MROUND(IF(OR(_xlfn.XLOOKUP(B33,'Base stats'!B:B,'Base stats'!AJ:AJ)=1,AND(BI33="True",CB33="False")),POWER(10,3.47*LOG10(_xlfn.XLOOKUP(B33,'Base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stats'!AH:AH)=1),0.5,1)/100,0.025),1)))</f>
        <v>0.35000000000000003</v>
      </c>
      <c r="BZ33" s="25" t="str">
        <f>IF(P33="Standard","No",MAX(0.01,IF(_xlfn.XLOOKUP(B33,'Base stats'!B:B,'Base stats'!N:N)=0,MROUND(BY33*P33,0.05),MIN(1,MAX(0.025,MROUND(IF(OR(CB33="true",AND(BI33="false",BN33="false")),POWER(10,4.15*LOG10(_xlfn.XLOOKUP(B33,'Base stats'!B:B,'Base stats'!C:C)*1000)^-0.73),POWER(10,3.47*LOG10(_xlfn.XLOOKUP(B33,'Base stats'!B:B,'Base stats'!C:C)*1000)^-0.96))*IF(_xlfn.XLOOKUP(B33,'Base stats'!B:B,'Base stats'!AH:AH)=1,0.5,1)/100,0.025))))))</f>
        <v>No</v>
      </c>
      <c r="CA33" s="25" t="str">
        <f>IF(_xlfn.XLOOKUP(_xlfn.XLOOKUP(B33,'Base stats'!B:B,'Base stats'!E:E),Groups!A:A,Groups!AJ:AJ)="Mammal","True","False")</f>
        <v>False</v>
      </c>
      <c r="CB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C33" s="25" t="str">
        <f t="shared" si="6"/>
        <v>False</v>
      </c>
      <c r="CD33" s="25" t="str">
        <f>IF(_xlfn.XLOOKUP(_xlfn.XLOOKUP(B33,'Base stats'!B:B,'Base stats'!E:E),Groups!A:A,Groups!AX:AX),"True","False")</f>
        <v>False</v>
      </c>
      <c r="CE33" s="25" t="str">
        <f>IF(_xlfn.XLOOKUP(_xlfn.XLOOKUP(B33,'Base stats'!B:B,'Base stats'!E:E),Groups!A:A,Groups!AY:AY),"True","False")</f>
        <v>False</v>
      </c>
      <c r="CF33" s="25" t="str">
        <f>IF(_xlfn.XLOOKUP(_xlfn.XLOOKUP(B33,'Base stats'!B:B,'Base stats'!E:E),Groups!A:A,Groups!AW:AW),"True","False")</f>
        <v>False</v>
      </c>
      <c r="CG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H33" s="25" t="str">
        <f>IF(_xlfn.XLOOKUP(_xlfn.XLOOKUP(B33,'Base stats'!B:B,'Base stats'!E:E),Groups!A:A,Groups!BB:BB),"True","False")</f>
        <v>False</v>
      </c>
      <c r="CI33" s="25" t="str">
        <f>IF(_xlfn.XLOOKUP(_xlfn.XLOOKUP(B33,'Base stats'!B:B,'Base stats'!E:E),Groups!A:A,Groups!BA:BA),"True","False")</f>
        <v>True</v>
      </c>
    </row>
    <row r="34" spans="1:87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stats'!AI:AI)=0,BH34="None",_xlfn.XLOOKUP(_xlfn.XLOOKUP(B34,'Base stats'!B:B,'Base stats'!E:E),Groups!A:A,Groups!B:B)=0), (18 + BQ34 * 2.7) * 0.5,
    IF(AND(_xlfn.XLOOKUP(B34,'Base stats'!B:B,'Base stats'!AI:AI)=0,OR(AO34&lt;0.55,AND(BH34="Intermediate",_xlfn.XLOOKUP(_xlfn.XLOOKUP(B34,'Base stats'!B:B,'Base stats'!E:E),Groups!A:A,Groups!B:B)&lt;2))), (18 + BQ34 * 2.7),
      IF(OR(BH34="Advanced",_xlfn.XLOOKUP(B34,'Base stats'!B:B,'Base stats'!AI:AI)=1,_xlfn.XLOOKUP(_xlfn.XLOOKUP(B34,'Base stats'!B:B,'Base stats'!E:E),Groups!A:A,Groups!B:B)=2), (18 + BQ34 * 2.7) + 250, (18 + BQ34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IF(_xlfn.XLOOKUP(B34,'Base stats'!B:B,'Base stats'!AI:AI)=1,0.99,MIN(MROUND((1-0.6282*EXP(-0.459*AO34))*_xlfn.XLOOKUP(_xlfn.XLOOKUP(B34,'Base stats'!B:B,'Base stats'!E:E),Groups!A:A,Groups!C:C)*IF(_xlfn.XLOOKUP(B34,'Base stats'!B:B,'Base stats'!O:O)=1,0.5,IF(_xlfn.XLOOKUP(B34,'Base stats'!B:B,'Base stats'!O:O)=2,0,1)),0.05),0.985))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W34)),ISNUMBER(SEARCH("IceSheet",BW34))),-50,IF(OR(ISNUMBER(SEARCH("GlacialPlain",BW34)),ISNUMBER(SEARCH("Tundra",BW34))),-40,IF(OR(ISNUMBER(SEARCH("Alpine",BW34)),ISNUMBER(SEARCH("BorealForest",BW34)),ISNUMBER(SEARCH("ColdBog",BW34))),-30,IF(OR(ISNUMBER(SEARCH("TemperateForest",BW34)),ISNUMBER(SEARCH("TemperateSwamp",BW34))),-20,IF(_xlfn.XLOOKUP(_xlfn.XLOOKUP(B34,'Base stats'!B:B,'Base stats'!E:E),Groups!A:A,Groups!F:F)=1,-15,IF(OR(ISNUMBER(SEARCH("Desert",BW34)),ISNUMBER(SEARCH("ExtremeDesert",BW34))),-10,IF(OR(ISNUMBER(SEARCH("Grasslands",BW34)),ISNUMBER(SEARCH("TropicalRainforest",BW34)),ISNUMBER(SEARCH("TropicalSwamp",BW34))),10,0)))))))-IF(CB34="False",MIN(IFERROR(MAX(MROUND(LOG10(_xlfn.XLOOKUP(B34,'Base stats'!B:B,'Base stats'!C:C)^(2/3))*10,5),5),5),30))-_xlfn.XLOOKUP(B34,'Base stats'!B:B,'Base stats'!P:P)+IF(CB34="True",5,0)</f>
        <v>15</v>
      </c>
      <c r="M34" s="2">
        <f>IF(OR(_xlfn.XLOOKUP(_xlfn.XLOOKUP(B34,'Base stats'!B:B,'Base stats'!E:E),Groups!A:A,Groups!G:G)=2,ISNUMBER(SEARCH("Desert",BW34)),ISNUMBER(SEARCH("ExtremeDesert",BW34)),ISNUMBER(SEARCH("LavaField",BW34))),50,IF(ISNUMBER(SEARCH("Grasslands",BW34)),45,IF(OR(_xlfn.XLOOKUP(_xlfn.XLOOKUP(B34,'Base stats'!B:B,'Base stats'!E:E),Groups!A:A,Groups!G:G)=1,ISNUMBER(SEARCH("TropicalRainforest",BW34)),ISNUMBER(SEARCH("TropicalSwamp",BW34))),40,IF(OR(ISNUMBER(SEARCH("TemperateForest",BW34)),ISNUMBER(SEARCH("TemperateSwamp",BW34))),35,IF(OR(ISNUMBER(SEARCH("Alpine",BW34)),ISNUMBER(SEARCH("BorealForest",BW34)),ISNUMBER(SEARCH("ColdBog",BW34))),30,IF(ISNUMBER(OR(ISNUMBER(SEARCH("GlacialPlain",BW34)),SEARCH("Tundra",BW34))),25,IF(OR(ISNUMBER(SEARCH("SeaIce",BW34)),ISNUMBER(SEARCH("IceSheet",BW34)),ISNUMBER(SEARCH("TropicalSwamp",BW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stats'!AO:AO))*(AO34^0.5)+(_xlfn.XLOOKUP(B34,'Base stats'!B:B,'Base stats'!AO:AO)/1000)^(2/3)+_xlfn.XLOOKUP(B34,'Base stats'!B:B,'Base stats'!AX:AX)/2)+0.5,0.5)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stats'!AP:AP))*(AO34^0.5)+(_xlfn.XLOOKUP(B34,'Base stats'!B:B,'Base stats'!AP:AP)/1000)^(2/3)+_xlfn.XLOOKUP(B34,'Base stats'!B:B,'Base stats'!AX:AX))+_xlfn.XLOOKUP(B34,'Base stats'!B:B,'Base stats'!AV:AV)+0.5,0.5))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stats'!AR:AR))*(AO34^0.5)+(_xlfn.XLOOKUP(B34,'Base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stats'!AQ:AQ)="No","No",MROUND((LOG10(_xlfn.XLOOKUP(B34,'Base stats'!B:B,'Base stats'!AQ:AQ))*(AO34^0.75)+(_xlfn.XLOOKUP(B34,'Base stats'!B:B,'Base stats'!AQ:AQ)/1000)^(2/3)+_xlfn.XLOOKUP(B34,'Base stats'!B:B,'Base stats'!AU:AU)+_xlfn.XLOOKUP(B34,'Base stats'!B:B,'Base stats'!AX:AX))+0.5,0.5))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stats'!AP:AP))*(AO34^0.75)+(_xlfn.XLOOKUP(B34,'Base stats'!B:B,'Base stats'!AP:AP)/1000)^(2/3)+_xlfn.XLOOKUP(B34,'Base stats'!B:B,'Base stats'!AV:AV)+_xlfn.XLOOKUP(B34,'Base stats'!B:B,'Base stats'!AX:AX))+0.5,0.5))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MAX(0.01,MROUND(IF(CB34="True",0.196*(AO34*100*1000)^0.889,IF(_xlfn.XLOOKUP(_xlfn.XLOOKUP(B34,'Base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stats'!AE:AE)</f>
        <v>Leather_Lizard</v>
      </c>
      <c r="BB34" s="23" t="str">
        <f>_xlfn.XLOOKUP(_xlfn.XLOOKUP(B34,'Base stats'!B:B,'Base stats'!E:E),Groups!A:A,Groups!AL:AL)</f>
        <v>TurtleLike</v>
      </c>
      <c r="BC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D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E34" s="2" t="str">
        <f>IF(J34&gt;0.3,"No",_xlfn.XLOOKUP(_xlfn.XLOOKUP(Animals!B34,'Base stats'!B:B,'Base stats'!E:E),Groups!A:A,Groups!AP:AP))</f>
        <v>No</v>
      </c>
      <c r="BF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+ 24*(1-IF(BE34="No",0,BE34)) + 16/3, 12),"No")</f>
        <v>No</v>
      </c>
      <c r="BG34" s="2">
        <f>IF(AND(_xlfn.XLOOKUP(_xlfn.XLOOKUP(B34,'Base stats'!B:B,'Base stats'!E:E),Groups!A:A,Groups!AQ:AQ)=1,AO34&lt;=0.35),8,12)</f>
        <v>12</v>
      </c>
      <c r="BH34" s="2" t="str">
        <f>IF(_xlfn.XLOOKUP(_xlfn.XLOOKUP(B34,'Base stats'!B:B,'Base stats'!E:E),Groups!A:A,Groups!D:D)=0,_xlfn.XLOOKUP(_xlfn.XLOOKUP(B34,'Base stats'!B:B,'Base stats'!E:E),Groups!A:A,Groups!AR:AR),"None")</f>
        <v>None</v>
      </c>
      <c r="BI34" s="2" t="str">
        <f>IF(AND(_xlfn.XLOOKUP(_xlfn.XLOOKUP(B34,'Base stats'!B:B,'Base stats'!E:E),Groups!A:A,Groups!AS:AS)=1,OR('Base stats'!Y34="Carnivore",'Base stats'!Y34="Omnivore")),"true","false")</f>
        <v>false</v>
      </c>
      <c r="BJ34" s="2" t="str">
        <f>IF(BI34="true",MROUND(IF(AND(AO34&gt;0.5,OR(_xlfn.XLOOKUP(_xlfn.XLOOKUP(B34,'Base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K34" s="2">
        <f t="shared" si="3"/>
        <v>0</v>
      </c>
      <c r="BL34" s="25" t="str">
        <f>IF(_xlfn.XLOOKUP(B34,'Base stats'!B:B,'Base stats'!AK:AK)="Standard","No",MROUND((_xlfn.XLOOKUP(B34,'Base stats'!B:B,'Base stats'!AK:AK)/3.6)/I34,0.1))</f>
        <v>No</v>
      </c>
      <c r="BM34" s="25" t="str">
        <f t="shared" si="4"/>
        <v>false</v>
      </c>
      <c r="BN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O34" s="25" t="str" cm="1">
        <f t="array" ref="BO34">IF(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 = "",
  "No",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
)</f>
        <v>No</v>
      </c>
      <c r="BP34" s="25" t="str">
        <f>IF(
   AND(
      'Base stats'!AK34="Standard",_xlfn.XLOOKUP(_xlfn.XLOOKUP(B34,'Base stats'!B:B,'Base stats'!E:E),Groups!A:A,Groups!AU:AU)=0,
      OR(
      BN34="True"
      )
   ),
   10,
   IF(
       OR(BL34&lt;&gt;"No",_xlfn.XLOOKUP(_xlfn.XLOOKUP(B34,'Base stats'!B:B,'Base stats'!E:E),Groups!A:A,Groups!AU:AU)=1),
      1,
      "No"
   )
)</f>
        <v>No</v>
      </c>
      <c r="BQ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stats'!AS:AS) * 1.8) * 2) * 2.5 + 10 + I34 * 2,5)+IF(_xlfn.XLOOKUP(B34,'Base stats'!B:B,'Base stats'!AH:AH)=1,50,0)</f>
        <v>80</v>
      </c>
      <c r="BR34" s="8">
        <f t="shared" si="5"/>
        <v>0.2</v>
      </c>
      <c r="BS34" s="8" t="str">
        <f>_xlfn.XLOOKUP(B34,'Base stats'!B:B,'Base stats'!AD:AD)</f>
        <v>No</v>
      </c>
      <c r="BT34" s="2" t="str">
        <f>IF(AND(J34&lt;=0.95,OR(_xlfn.XLOOKUP(B34,'Base stats'!B:B,'Base stats'!AH:AH)=1,_xlfn.XLOOKUP(B34,'Base stats'!B:B,'Base stats'!Y:Y)="Carnivore",_xlfn.XLOOKUP(B34,'Base stats'!B:B,'Base stats'!Y:Y)="Omnivore",BD34&gt;0.1)),"true","false")</f>
        <v>false</v>
      </c>
      <c r="BU34" s="2" t="str">
        <f>IF(_xlfn.XLOOKUP(B34,'Base stats'!B:B,'Base stats'!AF:AF)=1,"true","false")</f>
        <v>false</v>
      </c>
      <c r="BV34" s="25" t="str">
        <f>IF(E34="BaseInsect","AnimalInsect",
IF(J34&gt;0.95,"AnimalExotic",
_xlfn.TEXTJOIN(", ",TRUE,
IF(OR(_xlfn.XLOOKUP(B34,'Base stats'!B:B,'Base stats'!AJ:AJ)=1,AND(_xlfn.XLOOKUP(B34,'Base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stats'!AH:AH)=1,AND(BH34&lt;&gt;"None",BQ34&gt;=60),ISNUMBER(SEARCH("Attack target",BO34))),"AnimalFighter","")
)))</f>
        <v>AnimalUncommon</v>
      </c>
      <c r="BW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),_xlfn.XLOOKUP(B34,B:B,BW:BW))</f>
        <v>TropicalRainforest TropicalSwamp Glowforest</v>
      </c>
      <c r="BX34" s="25" t="str">
        <f>IF(_xlfn.XLOOKUP(B34,'Base stats'!B:B,'Base stats'!AG:AG)=1,"true","false")</f>
        <v>false</v>
      </c>
      <c r="BY34" s="25">
        <f>IF(_xlfn.XLOOKUP(B34,'Base stats'!B:B,'Base stats'!N:N)=1,"No",MAX(0.01,MIN(MROUND(IF(OR(_xlfn.XLOOKUP(B34,'Base stats'!B:B,'Base stats'!AJ:AJ)=1,AND(BI34="True",CB34="False")),POWER(10,3.47*LOG10(_xlfn.XLOOKUP(B34,'Base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stats'!AH:AH)=1),0.5,1)/100,0.025),1)))</f>
        <v>0.25</v>
      </c>
      <c r="BZ34" s="25" t="str">
        <f>IF(P34="Standard","No",MAX(0.01,IF(_xlfn.XLOOKUP(B34,'Base stats'!B:B,'Base stats'!N:N)=0,MROUND(BY34*P34,0.05),MIN(1,MAX(0.025,MROUND(IF(OR(CB34="true",AND(BI34="false",BN34="false")),POWER(10,4.15*LOG10(_xlfn.XLOOKUP(B34,'Base stats'!B:B,'Base stats'!C:C)*1000)^-0.73),POWER(10,3.47*LOG10(_xlfn.XLOOKUP(B34,'Base stats'!B:B,'Base stats'!C:C)*1000)^-0.96))*IF(_xlfn.XLOOKUP(B34,'Base stats'!B:B,'Base stats'!AH:AH)=1,0.5,1)/100,0.025))))))</f>
        <v>No</v>
      </c>
      <c r="CA34" s="25" t="str">
        <f>IF(_xlfn.XLOOKUP(_xlfn.XLOOKUP(B34,'Base stats'!B:B,'Base stats'!E:E),Groups!A:A,Groups!AJ:AJ)="Mammal","True","False")</f>
        <v>False</v>
      </c>
      <c r="CB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C34" s="25" t="str">
        <f t="shared" si="6"/>
        <v>False</v>
      </c>
      <c r="CD34" s="25" t="str">
        <f>IF(_xlfn.XLOOKUP(_xlfn.XLOOKUP(B34,'Base stats'!B:B,'Base stats'!E:E),Groups!A:A,Groups!AX:AX),"True","False")</f>
        <v>False</v>
      </c>
      <c r="CE34" s="25" t="str">
        <f>IF(_xlfn.XLOOKUP(_xlfn.XLOOKUP(B34,'Base stats'!B:B,'Base stats'!E:E),Groups!A:A,Groups!AY:AY),"True","False")</f>
        <v>False</v>
      </c>
      <c r="CF34" s="25" t="str">
        <f>IF(_xlfn.XLOOKUP(_xlfn.XLOOKUP(B34,'Base stats'!B:B,'Base stats'!E:E),Groups!A:A,Groups!AW:AW),"True","False")</f>
        <v>False</v>
      </c>
      <c r="CG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H34" s="25" t="str">
        <f>IF(_xlfn.XLOOKUP(_xlfn.XLOOKUP(B34,'Base stats'!B:B,'Base stats'!E:E),Groups!A:A,Groups!BB:BB),"True","False")</f>
        <v>False</v>
      </c>
      <c r="CI34" s="25" t="str">
        <f>IF(_xlfn.XLOOKUP(_xlfn.XLOOKUP(B34,'Base stats'!B:B,'Base stats'!E:E),Groups!A:A,Groups!BA:BA),"True","False")</f>
        <v>False</v>
      </c>
    </row>
    <row r="35" spans="1:87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stats'!AI:AI)=0,BH35="None",_xlfn.XLOOKUP(_xlfn.XLOOKUP(B35,'Base stats'!B:B,'Base stats'!E:E),Groups!A:A,Groups!B:B)=0), (18 + BQ35 * 2.7) * 0.5,
    IF(AND(_xlfn.XLOOKUP(B35,'Base stats'!B:B,'Base stats'!AI:AI)=0,OR(AO35&lt;0.55,AND(BH35="Intermediate",_xlfn.XLOOKUP(_xlfn.XLOOKUP(B35,'Base stats'!B:B,'Base stats'!E:E),Groups!A:A,Groups!B:B)&lt;2))), (18 + BQ35 * 2.7),
      IF(OR(BH35="Advanced",_xlfn.XLOOKUP(B35,'Base stats'!B:B,'Base stats'!AI:AI)=1,_xlfn.XLOOKUP(_xlfn.XLOOKUP(B35,'Base stats'!B:B,'Base stats'!E:E),Groups!A:A,Groups!B:B)=2), (18 + BQ35 * 2.7) + 250, (18 + BQ35 * 2.7))
    )
  ))
  + AO35 * 80
  + IF(COUNTIF(EggMilk!K$2:K$998, A35) &gt; 0, 125, 0)
  + IF(COUNTIF(EggMilk!P$2:P$998, A35) &gt; 0, 90, 0)
  + IF(COUNTIF(EggMilk!A$2:A$998, A35) &gt; 0, 90, 0)
)
* (0.8 + 0.4 * J35)
* 0.75,25)</f>
        <v>25</v>
      </c>
      <c r="I35" s="2">
        <f>MROUND(ROUNDDOWN(_xlfn.XLOOKUP(B35,'Base stats'!B:B,'Base stats'!L:L)/3.6/(23.3/11),1),0.5)</f>
        <v>1.5</v>
      </c>
      <c r="J35" s="2">
        <f>IF(_xlfn.XLOOKUP(B35,'Base stats'!B:B,'Base stats'!AI:AI)=1,0.99,MIN(MROUND((1-0.6282*EXP(-0.459*AO35))*_xlfn.XLOOKUP(_xlfn.XLOOKUP(B35,'Base stats'!B:B,'Base stats'!E:E),Groups!A:A,Groups!C:C)*IF(_xlfn.XLOOKUP(B35,'Base stats'!B:B,'Base stats'!O:O)=1,0.5,IF(_xlfn.XLOOKUP(B35,'Base stats'!B:B,'Base stats'!O:O)=2,0,1)),0.05),0.985))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W35)),ISNUMBER(SEARCH("IceSheet",BW35))),-50,IF(OR(ISNUMBER(SEARCH("GlacialPlain",BW35)),ISNUMBER(SEARCH("Tundra",BW35))),-40,IF(OR(ISNUMBER(SEARCH("Alpine",BW35)),ISNUMBER(SEARCH("BorealForest",BW35)),ISNUMBER(SEARCH("ColdBog",BW35))),-30,IF(OR(ISNUMBER(SEARCH("TemperateForest",BW35)),ISNUMBER(SEARCH("TemperateSwamp",BW35))),-20,IF(_xlfn.XLOOKUP(_xlfn.XLOOKUP(B35,'Base stats'!B:B,'Base stats'!E:E),Groups!A:A,Groups!F:F)=1,-15,IF(OR(ISNUMBER(SEARCH("Desert",BW35)),ISNUMBER(SEARCH("ExtremeDesert",BW35))),-10,IF(OR(ISNUMBER(SEARCH("Grasslands",BW35)),ISNUMBER(SEARCH("TropicalRainforest",BW35)),ISNUMBER(SEARCH("TropicalSwamp",BW35))),10,0)))))))-IF(CB35="False",MIN(IFERROR(MAX(MROUND(LOG10(_xlfn.XLOOKUP(B35,'Base stats'!B:B,'Base stats'!C:C)^(2/3))*10,5),5),5),30))-_xlfn.XLOOKUP(B35,'Base stats'!B:B,'Base stats'!P:P)+IF(CB35="True",5,0)</f>
        <v>-25</v>
      </c>
      <c r="M35" s="2">
        <f>IF(OR(_xlfn.XLOOKUP(_xlfn.XLOOKUP(B35,'Base stats'!B:B,'Base stats'!E:E),Groups!A:A,Groups!G:G)=2,ISNUMBER(SEARCH("Desert",BW35)),ISNUMBER(SEARCH("ExtremeDesert",BW35)),ISNUMBER(SEARCH("LavaField",BW35))),50,IF(ISNUMBER(SEARCH("Grasslands",BW35)),45,IF(OR(_xlfn.XLOOKUP(_xlfn.XLOOKUP(B35,'Base stats'!B:B,'Base stats'!E:E),Groups!A:A,Groups!G:G)=1,ISNUMBER(SEARCH("TropicalRainforest",BW35)),ISNUMBER(SEARCH("TropicalSwamp",BW35))),40,IF(OR(ISNUMBER(SEARCH("TemperateForest",BW35)),ISNUMBER(SEARCH("TemperateSwamp",BW35))),35,IF(OR(ISNUMBER(SEARCH("Alpine",BW35)),ISNUMBER(SEARCH("BorealForest",BW35)),ISNUMBER(SEARCH("ColdBog",BW35))),30,IF(ISNUMBER(OR(ISNUMBER(SEARCH("GlacialPlain",BW35)),SEARCH("Tundra",BW35))),25,IF(OR(ISNUMBER(SEARCH("SeaIce",BW35)),ISNUMBER(SEARCH("IceSheet",BW35)),ISNUMBER(SEARCH("TropicalSwamp",BW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stats'!AO:AO))*(AO35^0.5)+(_xlfn.XLOOKUP(B35,'Base stats'!B:B,'Base stats'!AO:AO)/1000)^(2/3)+_xlfn.XLOOKUP(B35,'Base stats'!B:B,'Base stats'!AX:AX)/2)+0.5,0.5)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stats'!AP:AP))*(AO35^0.5)+(_xlfn.XLOOKUP(B35,'Base stats'!B:B,'Base stats'!AP:AP)/1000)^(2/3)+_xlfn.XLOOKUP(B35,'Base stats'!B:B,'Base stats'!AX:AX))+_xlfn.XLOOKUP(B35,'Base stats'!B:B,'Base stats'!AV:AV)+0.5,0.5))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stats'!AR:AR))*(AO35^0.5)+(_xlfn.XLOOKUP(B35,'Base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stats'!AQ:AQ)="No","No",MROUND((LOG10(_xlfn.XLOOKUP(B35,'Base stats'!B:B,'Base stats'!AQ:AQ))*(AO35^0.75)+(_xlfn.XLOOKUP(B35,'Base stats'!B:B,'Base stats'!AQ:AQ)/1000)^(2/3)+_xlfn.XLOOKUP(B35,'Base stats'!B:B,'Base stats'!AU:AU)+_xlfn.XLOOKUP(B35,'Base stats'!B:B,'Base stats'!AX:AX))+0.5,0.5))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stats'!AP:AP))*(AO35^0.75)+(_xlfn.XLOOKUP(B35,'Base stats'!B:B,'Base stats'!AP:AP)/1000)^(2/3)+_xlfn.XLOOKUP(B35,'Base stats'!B:B,'Base stats'!AV:AV)+_xlfn.XLOOKUP(B35,'Base stats'!B:B,'Base stats'!AX:AX))+0.5,0.5))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MAX(0.01,MROUND(IF(CB35="True",0.196*(AO35*100*1000)^0.889,IF(_xlfn.XLOOKUP(_xlfn.XLOOKUP(B35,'Base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IF(OR(A35="Queen",A35="Larva"),"No",IFERROR(MAX(IF(_xlfn.XLOOKUP(B35,'Base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stats'!AE:AE)</f>
        <v>Leather_Light</v>
      </c>
      <c r="BB35" s="23" t="str">
        <f>_xlfn.XLOOKUP(_xlfn.XLOOKUP(B35,'Base stats'!B:B,'Base stats'!E:E),Groups!A:A,Groups!AL:AL)</f>
        <v>QuadrupedAnimalWithPawsAndTail</v>
      </c>
      <c r="BC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D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E35" s="2" t="str">
        <f>IF(J35&gt;0.3,"No",_xlfn.XLOOKUP(_xlfn.XLOOKUP(Animals!B35,'Base stats'!B:B,'Base stats'!E:E),Groups!A:A,Groups!AP:AP))</f>
        <v>No</v>
      </c>
      <c r="BF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+ 24*(1-IF(BE35="No",0,BE35)) + 16/3, 12),"No")</f>
        <v>36</v>
      </c>
      <c r="BG35" s="2">
        <f>IF(AND(_xlfn.XLOOKUP(_xlfn.XLOOKUP(B35,'Base stats'!B:B,'Base stats'!E:E),Groups!A:A,Groups!AQ:AQ)=1,AO35&lt;=0.35),8,12)</f>
        <v>8</v>
      </c>
      <c r="BH35" s="2" t="str">
        <f>IF(_xlfn.XLOOKUP(_xlfn.XLOOKUP(B35,'Base stats'!B:B,'Base stats'!E:E),Groups!A:A,Groups!D:D)=0,_xlfn.XLOOKUP(_xlfn.XLOOKUP(B35,'Base stats'!B:B,'Base stats'!E:E),Groups!A:A,Groups!AR:AR),"None")</f>
        <v>None</v>
      </c>
      <c r="BI35" s="2" t="str">
        <f>IF(AND(_xlfn.XLOOKUP(_xlfn.XLOOKUP(B35,'Base stats'!B:B,'Base stats'!E:E),Groups!A:A,Groups!AS:AS)=1,OR('Base stats'!Y35="Carnivore",'Base stats'!Y35="Omnivore")),"true","false")</f>
        <v>false</v>
      </c>
      <c r="BJ35" s="2" t="str">
        <f>IF(BI35="true",MROUND(IF(AND(AO35&gt;0.5,OR(_xlfn.XLOOKUP(_xlfn.XLOOKUP(B35,'Base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K35" s="2">
        <f t="shared" si="3"/>
        <v>0</v>
      </c>
      <c r="BL35" s="25" t="str">
        <f>IF(_xlfn.XLOOKUP(B35,'Base stats'!B:B,'Base stats'!AK:AK)="Standard","No",MROUND((_xlfn.XLOOKUP(B35,'Base stats'!B:B,'Base stats'!AK:AK)/3.6)/I35,0.1))</f>
        <v>No</v>
      </c>
      <c r="BM35" s="25" t="str">
        <f t="shared" si="4"/>
        <v>false</v>
      </c>
      <c r="BN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O35" s="25" t="str" cm="1">
        <f t="array" ref="BO35">IF(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 = "",
  "No",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
)</f>
        <v>Forage, Comfort</v>
      </c>
      <c r="BP35" s="25" t="str">
        <f>IF(
   AND(
      'Base stats'!AK35="Standard",_xlfn.XLOOKUP(_xlfn.XLOOKUP(B35,'Base stats'!B:B,'Base stats'!E:E),Groups!A:A,Groups!AU:AU)=0,
      OR(
      BN35="True"
      )
   ),
   10,
   IF(
       OR(BL35&lt;&gt;"No",_xlfn.XLOOKUP(_xlfn.XLOOKUP(B35,'Base stats'!B:B,'Base stats'!E:E),Groups!A:A,Groups!AU:AU)=1),
      1,
      "No"
   )
)</f>
        <v>No</v>
      </c>
      <c r="BQ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stats'!AS:AS) * 1.8) * 2) * 2.5 + 10 + I35 * 2,5)+IF(_xlfn.XLOOKUP(B35,'Base stats'!B:B,'Base stats'!AH:AH)=1,50,0)</f>
        <v>20</v>
      </c>
      <c r="BR35" s="8">
        <f t="shared" si="5"/>
        <v>0.2</v>
      </c>
      <c r="BS35" s="8" t="str">
        <f>_xlfn.XLOOKUP(B35,'Base stats'!B:B,'Base stats'!AD:AD)</f>
        <v>1~6</v>
      </c>
      <c r="BT35" s="2" t="str">
        <f>IF(AND(J35&lt;=0.95,OR(_xlfn.XLOOKUP(B35,'Base stats'!B:B,'Base stats'!AH:AH)=1,_xlfn.XLOOKUP(B35,'Base stats'!B:B,'Base stats'!Y:Y)="Carnivore",_xlfn.XLOOKUP(B35,'Base stats'!B:B,'Base stats'!Y:Y)="Omnivore",BD35&gt;0.1)),"true","false")</f>
        <v>false</v>
      </c>
      <c r="BU35" s="2" t="str">
        <f>IF(_xlfn.XLOOKUP(B35,'Base stats'!B:B,'Base stats'!AF:AF)=1,"true","false")</f>
        <v>false</v>
      </c>
      <c r="BV35" s="25" t="str">
        <f>IF(E35="BaseInsect","AnimalInsect",
IF(J35&gt;0.95,"AnimalExotic",
_xlfn.TEXTJOIN(", ",TRUE,
IF(OR(_xlfn.XLOOKUP(B35,'Base stats'!B:B,'Base stats'!AJ:AJ)=1,AND(_xlfn.XLOOKUP(B35,'Base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stats'!AH:AH)=1,AND(BH35&lt;&gt;"None",BQ35&gt;=60),ISNUMBER(SEARCH("Attack target",BO35))),"AnimalFighter","")
)))</f>
        <v>AnimalCommon</v>
      </c>
      <c r="BW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),_xlfn.XLOOKUP(B35,B:B,BW:BW))</f>
        <v>BorealForest ColdBog TemperateForest TemperateSwamp AridShrubland Desert TropicalRainforest TropicalSwamp Grasslands Glowforest LavaField Scarlands</v>
      </c>
      <c r="BX35" s="25" t="str">
        <f>IF(_xlfn.XLOOKUP(B35,'Base stats'!B:B,'Base stats'!AG:AG)=1,"true","false")</f>
        <v>false</v>
      </c>
      <c r="BY35" s="25">
        <f>IF(_xlfn.XLOOKUP(B35,'Base stats'!B:B,'Base stats'!N:N)=1,"No",MAX(0.01,MIN(MROUND(IF(OR(_xlfn.XLOOKUP(B35,'Base stats'!B:B,'Base stats'!AJ:AJ)=1,AND(BI35="True",CB35="False")),POWER(10,3.47*LOG10(_xlfn.XLOOKUP(B35,'Base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stats'!AH:AH)=1),0.5,1)/100,0.025),1)))</f>
        <v>1</v>
      </c>
      <c r="BZ35" s="25">
        <f>IF(P35="Standard","No",MAX(0.01,IF(_xlfn.XLOOKUP(B35,'Base stats'!B:B,'Base stats'!N:N)=0,MROUND(BY35*P35,0.05),MIN(1,MAX(0.025,MROUND(IF(OR(CB35="true",AND(BI35="false",BN35="false")),POWER(10,4.15*LOG10(_xlfn.XLOOKUP(B35,'Base stats'!B:B,'Base stats'!C:C)*1000)^-0.73),POWER(10,3.47*LOG10(_xlfn.XLOOKUP(B35,'Base stats'!B:B,'Base stats'!C:C)*1000)^-0.96))*IF(_xlfn.XLOOKUP(B35,'Base stats'!B:B,'Base stats'!AH:AH)=1,0.5,1)/100,0.025))))))</f>
        <v>0.8</v>
      </c>
      <c r="CA35" s="25" t="str">
        <f>IF(_xlfn.XLOOKUP(_xlfn.XLOOKUP(B35,'Base stats'!B:B,'Base stats'!E:E),Groups!A:A,Groups!AJ:AJ)="Mammal","True","False")</f>
        <v>True</v>
      </c>
      <c r="CB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C35" s="25" t="str">
        <f t="shared" si="6"/>
        <v>False</v>
      </c>
      <c r="CD35" s="25" t="str">
        <f>IF(_xlfn.XLOOKUP(_xlfn.XLOOKUP(B35,'Base stats'!B:B,'Base stats'!E:E),Groups!A:A,Groups!AX:AX),"True","False")</f>
        <v>False</v>
      </c>
      <c r="CE35" s="25" t="str">
        <f>IF(_xlfn.XLOOKUP(_xlfn.XLOOKUP(B35,'Base stats'!B:B,'Base stats'!E:E),Groups!A:A,Groups!AY:AY),"True","False")</f>
        <v>False</v>
      </c>
      <c r="CF35" s="25" t="str">
        <f>IF(_xlfn.XLOOKUP(_xlfn.XLOOKUP(B35,'Base stats'!B:B,'Base stats'!E:E),Groups!A:A,Groups!AW:AW),"True","False")</f>
        <v>False</v>
      </c>
      <c r="CG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H35" s="25" t="str">
        <f>IF(_xlfn.XLOOKUP(_xlfn.XLOOKUP(B35,'Base stats'!B:B,'Base stats'!E:E),Groups!A:A,Groups!BB:BB),"True","False")</f>
        <v>True</v>
      </c>
      <c r="CI35" s="25" t="str">
        <f>IF(_xlfn.XLOOKUP(_xlfn.XLOOKUP(B35,'Base stats'!B:B,'Base stats'!E:E),Groups!A:A,Groups!BA:BA),"True","False")</f>
        <v>False</v>
      </c>
    </row>
    <row r="36" spans="1:87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stats'!AI:AI)=0,BH36="None",_xlfn.XLOOKUP(_xlfn.XLOOKUP(B36,'Base stats'!B:B,'Base stats'!E:E),Groups!A:A,Groups!B:B)=0), (18 + BQ36 * 2.7) * 0.5,
    IF(AND(_xlfn.XLOOKUP(B36,'Base stats'!B:B,'Base stats'!AI:AI)=0,OR(AO36&lt;0.55,AND(BH36="Intermediate",_xlfn.XLOOKUP(_xlfn.XLOOKUP(B36,'Base stats'!B:B,'Base stats'!E:E),Groups!A:A,Groups!B:B)&lt;2))), (18 + BQ36 * 2.7),
      IF(OR(BH36="Advanced",_xlfn.XLOOKUP(B36,'Base stats'!B:B,'Base stats'!AI:AI)=1,_xlfn.XLOOKUP(_xlfn.XLOOKUP(B36,'Base stats'!B:B,'Base stats'!E:E),Groups!A:A,Groups!B:B)=2), (18 + BQ36 * 2.7) + 250, (18 + BQ36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IF(_xlfn.XLOOKUP(B36,'Base stats'!B:B,'Base stats'!AI:AI)=1,0.99,MIN(MROUND((1-0.6282*EXP(-0.459*AO36))*_xlfn.XLOOKUP(_xlfn.XLOOKUP(B36,'Base stats'!B:B,'Base stats'!E:E),Groups!A:A,Groups!C:C)*IF(_xlfn.XLOOKUP(B36,'Base stats'!B:B,'Base stats'!O:O)=1,0.5,IF(_xlfn.XLOOKUP(B36,'Base stats'!B:B,'Base stats'!O:O)=2,0,1)),0.05),0.985))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W36)),ISNUMBER(SEARCH("IceSheet",BW36))),-50,IF(OR(ISNUMBER(SEARCH("GlacialPlain",BW36)),ISNUMBER(SEARCH("Tundra",BW36))),-40,IF(OR(ISNUMBER(SEARCH("Alpine",BW36)),ISNUMBER(SEARCH("BorealForest",BW36)),ISNUMBER(SEARCH("ColdBog",BW36))),-30,IF(OR(ISNUMBER(SEARCH("TemperateForest",BW36)),ISNUMBER(SEARCH("TemperateSwamp",BW36))),-20,IF(_xlfn.XLOOKUP(_xlfn.XLOOKUP(B36,'Base stats'!B:B,'Base stats'!E:E),Groups!A:A,Groups!F:F)=1,-15,IF(OR(ISNUMBER(SEARCH("Desert",BW36)),ISNUMBER(SEARCH("ExtremeDesert",BW36))),-10,IF(OR(ISNUMBER(SEARCH("Grasslands",BW36)),ISNUMBER(SEARCH("TropicalRainforest",BW36)),ISNUMBER(SEARCH("TropicalSwamp",BW36))),10,0)))))))-IF(CB36="False",MIN(IFERROR(MAX(MROUND(LOG10(_xlfn.XLOOKUP(B36,'Base stats'!B:B,'Base stats'!C:C)^(2/3))*10,5),5),5),30))-_xlfn.XLOOKUP(B36,'Base stats'!B:B,'Base stats'!P:P)+IF(CB36="True",5,0)</f>
        <v>-45</v>
      </c>
      <c r="M36" s="2">
        <f>IF(OR(_xlfn.XLOOKUP(_xlfn.XLOOKUP(B36,'Base stats'!B:B,'Base stats'!E:E),Groups!A:A,Groups!G:G)=2,ISNUMBER(SEARCH("Desert",BW36)),ISNUMBER(SEARCH("ExtremeDesert",BW36)),ISNUMBER(SEARCH("LavaField",BW36))),50,IF(ISNUMBER(SEARCH("Grasslands",BW36)),45,IF(OR(_xlfn.XLOOKUP(_xlfn.XLOOKUP(B36,'Base stats'!B:B,'Base stats'!E:E),Groups!A:A,Groups!G:G)=1,ISNUMBER(SEARCH("TropicalRainforest",BW36)),ISNUMBER(SEARCH("TropicalSwamp",BW36))),40,IF(OR(ISNUMBER(SEARCH("TemperateForest",BW36)),ISNUMBER(SEARCH("TemperateSwamp",BW36))),35,IF(OR(ISNUMBER(SEARCH("Alpine",BW36)),ISNUMBER(SEARCH("BorealForest",BW36)),ISNUMBER(SEARCH("ColdBog",BW36))),30,IF(ISNUMBER(OR(ISNUMBER(SEARCH("GlacialPlain",BW36)),SEARCH("Tundra",BW36))),25,IF(OR(ISNUMBER(SEARCH("SeaIce",BW36)),ISNUMBER(SEARCH("IceSheet",BW36)),ISNUMBER(SEARCH("TropicalSwamp",BW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stats'!AO:AO))*(AO36^0.5)+(_xlfn.XLOOKUP(B36,'Base stats'!B:B,'Base stats'!AO:AO)/1000)^(2/3)+_xlfn.XLOOKUP(B36,'Base stats'!B:B,'Base stats'!AX:AX)/2)+0.5,0.5)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stats'!AP:AP))*(AO36^0.5)+(_xlfn.XLOOKUP(B36,'Base stats'!B:B,'Base stats'!AP:AP)/1000)^(2/3)+_xlfn.XLOOKUP(B36,'Base stats'!B:B,'Base stats'!AX:AX))+_xlfn.XLOOKUP(B36,'Base stats'!B:B,'Base stats'!AV:AV)+0.5,0.5))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stats'!AR:AR))*(AO36^0.5)+(_xlfn.XLOOKUP(B36,'Base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stats'!AQ:AQ)="No","No",MROUND((LOG10(_xlfn.XLOOKUP(B36,'Base stats'!B:B,'Base stats'!AQ:AQ))*(AO36^0.75)+(_xlfn.XLOOKUP(B36,'Base stats'!B:B,'Base stats'!AQ:AQ)/1000)^(2/3)+_xlfn.XLOOKUP(B36,'Base stats'!B:B,'Base stats'!AU:AU)+_xlfn.XLOOKUP(B36,'Base stats'!B:B,'Base stats'!AX:AX))+0.5,0.5))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stats'!AP:AP))*(AO36^0.75)+(_xlfn.XLOOKUP(B36,'Base stats'!B:B,'Base stats'!AP:AP)/1000)^(2/3)+_xlfn.XLOOKUP(B36,'Base stats'!B:B,'Base stats'!AV:AV)+_xlfn.XLOOKUP(B36,'Base stats'!B:B,'Base stats'!AX:AX))+0.5,0.5))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MAX(0.01,MROUND(IF(CB36="True",0.196*(AO36*100*1000)^0.889,IF(_xlfn.XLOOKUP(_xlfn.XLOOKUP(B36,'Base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IF(OR(A36="Queen",A36="Larva"),"No",IFERROR(MAX(IF(_xlfn.XLOOKUP(B36,'Base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stats'!AE:AE)</f>
        <v>Leather_Squirrel</v>
      </c>
      <c r="BB36" s="23" t="str">
        <f>_xlfn.XLOOKUP(_xlfn.XLOOKUP(B36,'Base stats'!B:B,'Base stats'!E:E),Groups!A:A,Groups!AL:AL)</f>
        <v>QuadrupedAnimalWithPawsAndTail</v>
      </c>
      <c r="BC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D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E36" s="2" t="str">
        <f>IF(J36&gt;0.3,"No",_xlfn.XLOOKUP(_xlfn.XLOOKUP(Animals!B36,'Base stats'!B:B,'Base stats'!E:E),Groups!A:A,Groups!AP:AP))</f>
        <v>No</v>
      </c>
      <c r="BF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+ 24*(1-IF(BE36="No",0,BE36)) + 16/3, 12),"No")</f>
        <v>36</v>
      </c>
      <c r="BG36" s="2">
        <f>IF(AND(_xlfn.XLOOKUP(_xlfn.XLOOKUP(B36,'Base stats'!B:B,'Base stats'!E:E),Groups!A:A,Groups!AQ:AQ)=1,AO36&lt;=0.35),8,12)</f>
        <v>8</v>
      </c>
      <c r="BH36" s="2" t="str">
        <f>IF(_xlfn.XLOOKUP(_xlfn.XLOOKUP(B36,'Base stats'!B:B,'Base stats'!E:E),Groups!A:A,Groups!D:D)=0,_xlfn.XLOOKUP(_xlfn.XLOOKUP(B36,'Base stats'!B:B,'Base stats'!E:E),Groups!A:A,Groups!AR:AR),"None")</f>
        <v>None</v>
      </c>
      <c r="BI36" s="2" t="str">
        <f>IF(AND(_xlfn.XLOOKUP(_xlfn.XLOOKUP(B36,'Base stats'!B:B,'Base stats'!E:E),Groups!A:A,Groups!AS:AS)=1,OR('Base stats'!Y36="Carnivore",'Base stats'!Y36="Omnivore")),"true","false")</f>
        <v>false</v>
      </c>
      <c r="BJ36" s="2" t="str">
        <f>IF(BI36="true",MROUND(IF(AND(AO36&gt;0.5,OR(_xlfn.XLOOKUP(_xlfn.XLOOKUP(B36,'Base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K36" s="2">
        <f t="shared" si="3"/>
        <v>0</v>
      </c>
      <c r="BL36" s="25" t="str">
        <f>IF(_xlfn.XLOOKUP(B36,'Base stats'!B:B,'Base stats'!AK:AK)="Standard","No",MROUND((_xlfn.XLOOKUP(B36,'Base stats'!B:B,'Base stats'!AK:AK)/3.6)/I36,0.1))</f>
        <v>No</v>
      </c>
      <c r="BM36" s="25" t="str">
        <f t="shared" si="4"/>
        <v>false</v>
      </c>
      <c r="BN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O36" s="25" t="str" cm="1">
        <f t="array" ref="BO36">IF(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 = "",
  "No",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
)</f>
        <v>Comfort</v>
      </c>
      <c r="BP36" s="25" t="str">
        <f>IF(
   AND(
      'Base stats'!AK36="Standard",_xlfn.XLOOKUP(_xlfn.XLOOKUP(B36,'Base stats'!B:B,'Base stats'!E:E),Groups!A:A,Groups!AU:AU)=0,
      OR(
      BN36="True"
      )
   ),
   10,
   IF(
       OR(BL36&lt;&gt;"No",_xlfn.XLOOKUP(_xlfn.XLOOKUP(B36,'Base stats'!B:B,'Base stats'!E:E),Groups!A:A,Groups!AU:AU)=1),
      1,
      "No"
   )
)</f>
        <v>No</v>
      </c>
      <c r="BQ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stats'!AS:AS) * 1.8) * 2) * 2.5 + 10 + I36 * 2,5)+IF(_xlfn.XLOOKUP(B36,'Base stats'!B:B,'Base stats'!AH:AH)=1,50,0)</f>
        <v>25</v>
      </c>
      <c r="BR36" s="8">
        <f t="shared" si="5"/>
        <v>0.25</v>
      </c>
      <c r="BS36" s="8" t="str">
        <f>_xlfn.XLOOKUP(B36,'Base stats'!B:B,'Base stats'!AD:AD)</f>
        <v>No</v>
      </c>
      <c r="BT36" s="2" t="str">
        <f>IF(AND(J36&lt;=0.95,OR(_xlfn.XLOOKUP(B36,'Base stats'!B:B,'Base stats'!AH:AH)=1,_xlfn.XLOOKUP(B36,'Base stats'!B:B,'Base stats'!Y:Y)="Carnivore",_xlfn.XLOOKUP(B36,'Base stats'!B:B,'Base stats'!Y:Y)="Omnivore",BD36&gt;0.1)),"true","false")</f>
        <v>false</v>
      </c>
      <c r="BU36" s="2" t="str">
        <f>IF(_xlfn.XLOOKUP(B36,'Base stats'!B:B,'Base stats'!AF:AF)=1,"true","false")</f>
        <v>false</v>
      </c>
      <c r="BV36" s="25" t="str">
        <f>IF(E36="BaseInsect","AnimalInsect",
IF(J36&gt;0.95,"AnimalExotic",
_xlfn.TEXTJOIN(", ",TRUE,
IF(OR(_xlfn.XLOOKUP(B36,'Base stats'!B:B,'Base stats'!AJ:AJ)=1,AND(_xlfn.XLOOKUP(B36,'Base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stats'!AH:AH)=1,AND(BH36&lt;&gt;"None",BQ36&gt;=60),ISNUMBER(SEARCH("Attack target",BO36))),"AnimalFighter","")
)))</f>
        <v>AnimalCommon</v>
      </c>
      <c r="BW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),_xlfn.XLOOKUP(B36,B:B,BW:BW))</f>
        <v>BorealForest ColdBog TemperateForest TemperateSwamp GlacialPlain</v>
      </c>
      <c r="BX36" s="25" t="str">
        <f>IF(_xlfn.XLOOKUP(B36,'Base stats'!B:B,'Base stats'!AG:AG)=1,"true","false")</f>
        <v>false</v>
      </c>
      <c r="BY36" s="25">
        <f>IF(_xlfn.XLOOKUP(B36,'Base stats'!B:B,'Base stats'!N:N)=1,"No",MAX(0.01,MIN(MROUND(IF(OR(_xlfn.XLOOKUP(B36,'Base stats'!B:B,'Base stats'!AJ:AJ)=1,AND(BI36="True",CB36="False")),POWER(10,3.47*LOG10(_xlfn.XLOOKUP(B36,'Base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stats'!AH:AH)=1),0.5,1)/100,0.025),1)))</f>
        <v>0.92500000000000004</v>
      </c>
      <c r="BZ36" s="25" t="str">
        <f>IF(P36="Standard","No",MAX(0.01,IF(_xlfn.XLOOKUP(B36,'Base stats'!B:B,'Base stats'!N:N)=0,MROUND(BY36*P36,0.05),MIN(1,MAX(0.025,MROUND(IF(OR(CB36="true",AND(BI36="false",BN36="false")),POWER(10,4.15*LOG10(_xlfn.XLOOKUP(B36,'Base stats'!B:B,'Base stats'!C:C)*1000)^-0.73),POWER(10,3.47*LOG10(_xlfn.XLOOKUP(B36,'Base stats'!B:B,'Base stats'!C:C)*1000)^-0.96))*IF(_xlfn.XLOOKUP(B36,'Base stats'!B:B,'Base stats'!AH:AH)=1,0.5,1)/100,0.025))))))</f>
        <v>No</v>
      </c>
      <c r="CA36" s="25" t="str">
        <f>IF(_xlfn.XLOOKUP(_xlfn.XLOOKUP(B36,'Base stats'!B:B,'Base stats'!E:E),Groups!A:A,Groups!AJ:AJ)="Mammal","True","False")</f>
        <v>True</v>
      </c>
      <c r="CB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C36" s="25" t="str">
        <f t="shared" si="6"/>
        <v>False</v>
      </c>
      <c r="CD36" s="25" t="str">
        <f>IF(_xlfn.XLOOKUP(_xlfn.XLOOKUP(B36,'Base stats'!B:B,'Base stats'!E:E),Groups!A:A,Groups!AX:AX),"True","False")</f>
        <v>False</v>
      </c>
      <c r="CE36" s="25" t="str">
        <f>IF(_xlfn.XLOOKUP(_xlfn.XLOOKUP(B36,'Base stats'!B:B,'Base stats'!E:E),Groups!A:A,Groups!AY:AY),"True","False")</f>
        <v>False</v>
      </c>
      <c r="CF36" s="25" t="str">
        <f>IF(_xlfn.XLOOKUP(_xlfn.XLOOKUP(B36,'Base stats'!B:B,'Base stats'!E:E),Groups!A:A,Groups!AW:AW),"True","False")</f>
        <v>False</v>
      </c>
      <c r="CG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H36" s="25" t="str">
        <f>IF(_xlfn.XLOOKUP(_xlfn.XLOOKUP(B36,'Base stats'!B:B,'Base stats'!E:E),Groups!A:A,Groups!BB:BB),"True","False")</f>
        <v>True</v>
      </c>
      <c r="CI36" s="25" t="str">
        <f>IF(_xlfn.XLOOKUP(_xlfn.XLOOKUP(B36,'Base stats'!B:B,'Base stats'!E:E),Groups!A:A,Groups!BA:BA),"True","False")</f>
        <v>False</v>
      </c>
    </row>
    <row r="37" spans="1:87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stats'!AI:AI)=0,BH37="None",_xlfn.XLOOKUP(_xlfn.XLOOKUP(B37,'Base stats'!B:B,'Base stats'!E:E),Groups!A:A,Groups!B:B)=0), (18 + BQ37 * 2.7) * 0.5,
    IF(AND(_xlfn.XLOOKUP(B37,'Base stats'!B:B,'Base stats'!AI:AI)=0,OR(AO37&lt;0.55,AND(BH37="Intermediate",_xlfn.XLOOKUP(_xlfn.XLOOKUP(B37,'Base stats'!B:B,'Base stats'!E:E),Groups!A:A,Groups!B:B)&lt;2))), (18 + BQ37 * 2.7),
      IF(OR(BH37="Advanced",_xlfn.XLOOKUP(B37,'Base stats'!B:B,'Base stats'!AI:AI)=1,_xlfn.XLOOKUP(_xlfn.XLOOKUP(B37,'Base stats'!B:B,'Base stats'!E:E),Groups!A:A,Groups!B:B)=2), (18 + BQ37 * 2.7) + 250, (18 + BQ37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IF(_xlfn.XLOOKUP(B37,'Base stats'!B:B,'Base stats'!AI:AI)=1,0.99,MIN(MROUND((1-0.6282*EXP(-0.459*AO37))*_xlfn.XLOOKUP(_xlfn.XLOOKUP(B37,'Base stats'!B:B,'Base stats'!E:E),Groups!A:A,Groups!C:C)*IF(_xlfn.XLOOKUP(B37,'Base stats'!B:B,'Base stats'!O:O)=1,0.5,IF(_xlfn.XLOOKUP(B37,'Base stats'!B:B,'Base stats'!O:O)=2,0,1)),0.05),0.985))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W37)),ISNUMBER(SEARCH("IceSheet",BW37))),-50,IF(OR(ISNUMBER(SEARCH("GlacialPlain",BW37)),ISNUMBER(SEARCH("Tundra",BW37))),-40,IF(OR(ISNUMBER(SEARCH("Alpine",BW37)),ISNUMBER(SEARCH("BorealForest",BW37)),ISNUMBER(SEARCH("ColdBog",BW37))),-30,IF(OR(ISNUMBER(SEARCH("TemperateForest",BW37)),ISNUMBER(SEARCH("TemperateSwamp",BW37))),-20,IF(_xlfn.XLOOKUP(_xlfn.XLOOKUP(B37,'Base stats'!B:B,'Base stats'!E:E),Groups!A:A,Groups!F:F)=1,-15,IF(OR(ISNUMBER(SEARCH("Desert",BW37)),ISNUMBER(SEARCH("ExtremeDesert",BW37))),-10,IF(OR(ISNUMBER(SEARCH("Grasslands",BW37)),ISNUMBER(SEARCH("TropicalRainforest",BW37)),ISNUMBER(SEARCH("TropicalSwamp",BW37))),10,0)))))))-IF(CB37="False",MIN(IFERROR(MAX(MROUND(LOG10(_xlfn.XLOOKUP(B37,'Base stats'!B:B,'Base stats'!C:C)^(2/3))*10,5),5),5),30))-_xlfn.XLOOKUP(B37,'Base stats'!B:B,'Base stats'!P:P)+IF(CB37="True",5,0)</f>
        <v>5</v>
      </c>
      <c r="M37" s="2">
        <f>IF(OR(_xlfn.XLOOKUP(_xlfn.XLOOKUP(B37,'Base stats'!B:B,'Base stats'!E:E),Groups!A:A,Groups!G:G)=2,ISNUMBER(SEARCH("Desert",BW37)),ISNUMBER(SEARCH("ExtremeDesert",BW37)),ISNUMBER(SEARCH("LavaField",BW37))),50,IF(ISNUMBER(SEARCH("Grasslands",BW37)),45,IF(OR(_xlfn.XLOOKUP(_xlfn.XLOOKUP(B37,'Base stats'!B:B,'Base stats'!E:E),Groups!A:A,Groups!G:G)=1,ISNUMBER(SEARCH("TropicalRainforest",BW37)),ISNUMBER(SEARCH("TropicalSwamp",BW37))),40,IF(OR(ISNUMBER(SEARCH("TemperateForest",BW37)),ISNUMBER(SEARCH("TemperateSwamp",BW37))),35,IF(OR(ISNUMBER(SEARCH("Alpine",BW37)),ISNUMBER(SEARCH("BorealForest",BW37)),ISNUMBER(SEARCH("ColdBog",BW37))),30,IF(ISNUMBER(OR(ISNUMBER(SEARCH("GlacialPlain",BW37)),SEARCH("Tundra",BW37))),25,IF(OR(ISNUMBER(SEARCH("SeaIce",BW37)),ISNUMBER(SEARCH("IceSheet",BW37)),ISNUMBER(SEARCH("TropicalSwamp",BW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stats'!AO:AO))*(AO37^0.5)+(_xlfn.XLOOKUP(B37,'Base stats'!B:B,'Base stats'!AO:AO)/1000)^(2/3)+_xlfn.XLOOKUP(B37,'Base stats'!B:B,'Base stats'!AX:AX)/2)+0.5,0.5)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stats'!AP:AP))*(AO37^0.5)+(_xlfn.XLOOKUP(B37,'Base stats'!B:B,'Base stats'!AP:AP)/1000)^(2/3)+_xlfn.XLOOKUP(B37,'Base stats'!B:B,'Base stats'!AX:AX))+_xlfn.XLOOKUP(B37,'Base stats'!B:B,'Base stats'!AV:AV)+0.5,0.5))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stats'!AR:AR))*(AO37^0.5)+(_xlfn.XLOOKUP(B37,'Base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stats'!AQ:AQ)="No","No",MROUND((LOG10(_xlfn.XLOOKUP(B37,'Base stats'!B:B,'Base stats'!AQ:AQ))*(AO37^0.75)+(_xlfn.XLOOKUP(B37,'Base stats'!B:B,'Base stats'!AQ:AQ)/1000)^(2/3)+_xlfn.XLOOKUP(B37,'Base stats'!B:B,'Base stats'!AU:AU)+_xlfn.XLOOKUP(B37,'Base stats'!B:B,'Base stats'!AX:AX))+0.5,0.5))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stats'!AP:AP))*(AO37^0.75)+(_xlfn.XLOOKUP(B37,'Base stats'!B:B,'Base stats'!AP:AP)/1000)^(2/3)+_xlfn.XLOOKUP(B37,'Base stats'!B:B,'Base stats'!AV:AV)+_xlfn.XLOOKUP(B37,'Base stats'!B:B,'Base stats'!AX:AX))+0.5,0.5))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MAX(0.01,MROUND(IF(CB37="True",0.196*(AO37*100*1000)^0.889,IF(_xlfn.XLOOKUP(_xlfn.XLOOKUP(B37,'Base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IF(OR(A37="Queen",A37="Larva"),"No",IFERROR(MAX(IF(_xlfn.XLOOKUP(B37,'Base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stats'!AE:AE)</f>
        <v>Leather_Light</v>
      </c>
      <c r="BB37" s="23" t="str">
        <f>_xlfn.XLOOKUP(_xlfn.XLOOKUP(B37,'Base stats'!B:B,'Base stats'!E:E),Groups!A:A,Groups!AL:AL)</f>
        <v>QuadrupedAnimalWithPaws</v>
      </c>
      <c r="BC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D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E37" s="2">
        <f>IF(J37&gt;0.3,"No",_xlfn.XLOOKUP(_xlfn.XLOOKUP(Animals!B37,'Base stats'!B:B,'Base stats'!E:E),Groups!A:A,Groups!AP:AP))</f>
        <v>0.5</v>
      </c>
      <c r="BF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+ 24*(1-IF(BE37="No",0,BE37)) + 16/3, 12),"No")</f>
        <v>24</v>
      </c>
      <c r="BG37" s="2">
        <f>IF(AND(_xlfn.XLOOKUP(_xlfn.XLOOKUP(B37,'Base stats'!B:B,'Base stats'!E:E),Groups!A:A,Groups!AQ:AQ)=1,AO37&lt;=0.35),8,12)</f>
        <v>8</v>
      </c>
      <c r="BH37" s="2" t="str">
        <f>IF(_xlfn.XLOOKUP(_xlfn.XLOOKUP(B37,'Base stats'!B:B,'Base stats'!E:E),Groups!A:A,Groups!D:D)=0,_xlfn.XLOOKUP(_xlfn.XLOOKUP(B37,'Base stats'!B:B,'Base stats'!E:E),Groups!A:A,Groups!AR:AR),"None")</f>
        <v>None</v>
      </c>
      <c r="BI37" s="2" t="str">
        <f>IF(AND(_xlfn.XLOOKUP(_xlfn.XLOOKUP(B37,'Base stats'!B:B,'Base stats'!E:E),Groups!A:A,Groups!AS:AS)=1,OR('Base stats'!Y37="Carnivore",'Base stats'!Y37="Omnivore")),"true","false")</f>
        <v>false</v>
      </c>
      <c r="BJ37" s="2" t="str">
        <f>IF(BI37="true",MROUND(IF(AND(AO37&gt;0.5,OR(_xlfn.XLOOKUP(_xlfn.XLOOKUP(B37,'Base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K37" s="2">
        <f t="shared" si="3"/>
        <v>0</v>
      </c>
      <c r="BL37" s="25" t="str">
        <f>IF(_xlfn.XLOOKUP(B37,'Base stats'!B:B,'Base stats'!AK:AK)="Standard","No",MROUND((_xlfn.XLOOKUP(B37,'Base stats'!B:B,'Base stats'!AK:AK)/3.6)/I37,0.1))</f>
        <v>No</v>
      </c>
      <c r="BM37" s="25" t="str">
        <f t="shared" si="4"/>
        <v>false</v>
      </c>
      <c r="BN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O37" s="25" t="str" cm="1">
        <f t="array" ref="BO37">IF(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 = "",
  "No",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
)</f>
        <v>Comfort</v>
      </c>
      <c r="BP37" s="25" t="str">
        <f>IF(
   AND(
      'Base stats'!AK37="Standard",_xlfn.XLOOKUP(_xlfn.XLOOKUP(B37,'Base stats'!B:B,'Base stats'!E:E),Groups!A:A,Groups!AU:AU)=0,
      OR(
      BN37="True"
      )
   ),
   10,
   IF(
       OR(BL37&lt;&gt;"No",_xlfn.XLOOKUP(_xlfn.XLOOKUP(B37,'Base stats'!B:B,'Base stats'!E:E),Groups!A:A,Groups!AU:AU)=1),
      1,
      "No"
   )
)</f>
        <v>No</v>
      </c>
      <c r="BQ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stats'!AS:AS) * 1.8) * 2) * 2.5 + 10 + I37 * 2,5)+IF(_xlfn.XLOOKUP(B37,'Base stats'!B:B,'Base stats'!AH:AH)=1,50,0)</f>
        <v>25</v>
      </c>
      <c r="BR37" s="8">
        <f t="shared" si="5"/>
        <v>0.25</v>
      </c>
      <c r="BS37" s="8" t="str">
        <f>_xlfn.XLOOKUP(B37,'Base stats'!B:B,'Base stats'!AD:AD)</f>
        <v>3~8</v>
      </c>
      <c r="BT37" s="2" t="str">
        <f>IF(AND(J37&lt;=0.95,OR(_xlfn.XLOOKUP(B37,'Base stats'!B:B,'Base stats'!AH:AH)=1,_xlfn.XLOOKUP(B37,'Base stats'!B:B,'Base stats'!Y:Y)="Carnivore",_xlfn.XLOOKUP(B37,'Base stats'!B:B,'Base stats'!Y:Y)="Omnivore",BD37&gt;0.1)),"true","false")</f>
        <v>false</v>
      </c>
      <c r="BU37" s="2" t="str">
        <f>IF(_xlfn.XLOOKUP(B37,'Base stats'!B:B,'Base stats'!AF:AF)=1,"true","false")</f>
        <v>false</v>
      </c>
      <c r="BV37" s="25" t="str">
        <f>IF(E37="BaseInsect","AnimalInsect",
IF(J37&gt;0.95,"AnimalExotic",
_xlfn.TEXTJOIN(", ",TRUE,
IF(OR(_xlfn.XLOOKUP(B37,'Base stats'!B:B,'Base stats'!AJ:AJ)=1,AND(_xlfn.XLOOKUP(B37,'Base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stats'!AH:AH)=1,AND(BH37&lt;&gt;"None",BQ37&gt;=60),ISNUMBER(SEARCH("Attack target",BO37))),"AnimalFighter","")
)))</f>
        <v>AnimalCommon</v>
      </c>
      <c r="BW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),_xlfn.XLOOKUP(B37,B:B,BW:BW))</f>
        <v>TropicalRainforest TropicalSwamp Glowforest</v>
      </c>
      <c r="BX37" s="25" t="str">
        <f>IF(_xlfn.XLOOKUP(B37,'Base stats'!B:B,'Base stats'!AG:AG)=1,"true","false")</f>
        <v>false</v>
      </c>
      <c r="BY37" s="25">
        <f>IF(_xlfn.XLOOKUP(B37,'Base stats'!B:B,'Base stats'!N:N)=1,"No",MAX(0.01,MIN(MROUND(IF(OR(_xlfn.XLOOKUP(B37,'Base stats'!B:B,'Base stats'!AJ:AJ)=1,AND(BI37="True",CB37="False")),POWER(10,3.47*LOG10(_xlfn.XLOOKUP(B37,'Base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stats'!AH:AH)=1),0.5,1)/100,0.025),1)))</f>
        <v>0.85000000000000009</v>
      </c>
      <c r="BZ37" s="25" t="str">
        <f>IF(P37="Standard","No",MAX(0.01,IF(_xlfn.XLOOKUP(B37,'Base stats'!B:B,'Base stats'!N:N)=0,MROUND(BY37*P37,0.05),MIN(1,MAX(0.025,MROUND(IF(OR(CB37="true",AND(BI37="false",BN37="false")),POWER(10,4.15*LOG10(_xlfn.XLOOKUP(B37,'Base stats'!B:B,'Base stats'!C:C)*1000)^-0.73),POWER(10,3.47*LOG10(_xlfn.XLOOKUP(B37,'Base stats'!B:B,'Base stats'!C:C)*1000)^-0.96))*IF(_xlfn.XLOOKUP(B37,'Base stats'!B:B,'Base stats'!AH:AH)=1,0.5,1)/100,0.025))))))</f>
        <v>No</v>
      </c>
      <c r="CA37" s="25" t="str">
        <f>IF(_xlfn.XLOOKUP(_xlfn.XLOOKUP(B37,'Base stats'!B:B,'Base stats'!E:E),Groups!A:A,Groups!AJ:AJ)="Mammal","True","False")</f>
        <v>True</v>
      </c>
      <c r="CB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C37" s="25" t="str">
        <f t="shared" si="6"/>
        <v>False</v>
      </c>
      <c r="CD37" s="25" t="str">
        <f>IF(_xlfn.XLOOKUP(_xlfn.XLOOKUP(B37,'Base stats'!B:B,'Base stats'!E:E),Groups!A:A,Groups!AX:AX),"True","False")</f>
        <v>False</v>
      </c>
      <c r="CE37" s="25" t="str">
        <f>IF(_xlfn.XLOOKUP(_xlfn.XLOOKUP(B37,'Base stats'!B:B,'Base stats'!E:E),Groups!A:A,Groups!AY:AY),"True","False")</f>
        <v>False</v>
      </c>
      <c r="CF37" s="25" t="str">
        <f>IF(_xlfn.XLOOKUP(_xlfn.XLOOKUP(B37,'Base stats'!B:B,'Base stats'!E:E),Groups!A:A,Groups!AW:AW),"True","False")</f>
        <v>False</v>
      </c>
      <c r="CG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H37" s="25" t="str">
        <f>IF(_xlfn.XLOOKUP(_xlfn.XLOOKUP(B37,'Base stats'!B:B,'Base stats'!E:E),Groups!A:A,Groups!BB:BB),"True","False")</f>
        <v>True</v>
      </c>
      <c r="CI37" s="25" t="str">
        <f>IF(_xlfn.XLOOKUP(_xlfn.XLOOKUP(B37,'Base stats'!B:B,'Base stats'!E:E),Groups!A:A,Groups!BA:BA),"True","False")</f>
        <v>False</v>
      </c>
    </row>
    <row r="38" spans="1:87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stats'!AI:AI)=0,BH38="None",_xlfn.XLOOKUP(_xlfn.XLOOKUP(B38,'Base stats'!B:B,'Base stats'!E:E),Groups!A:A,Groups!B:B)=0), (18 + BQ38 * 2.7) * 0.5,
    IF(AND(_xlfn.XLOOKUP(B38,'Base stats'!B:B,'Base stats'!AI:AI)=0,OR(AO38&lt;0.55,AND(BH38="Intermediate",_xlfn.XLOOKUP(_xlfn.XLOOKUP(B38,'Base stats'!B:B,'Base stats'!E:E),Groups!A:A,Groups!B:B)&lt;2))), (18 + BQ38 * 2.7),
      IF(OR(BH38="Advanced",_xlfn.XLOOKUP(B38,'Base stats'!B:B,'Base stats'!AI:AI)=1,_xlfn.XLOOKUP(_xlfn.XLOOKUP(B38,'Base stats'!B:B,'Base stats'!E:E),Groups!A:A,Groups!B:B)=2), (18 + BQ38 * 2.7) + 250, (18 + BQ38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IF(_xlfn.XLOOKUP(B38,'Base stats'!B:B,'Base stats'!AI:AI)=1,0.99,MIN(MROUND((1-0.6282*EXP(-0.459*AO38))*_xlfn.XLOOKUP(_xlfn.XLOOKUP(B38,'Base stats'!B:B,'Base stats'!E:E),Groups!A:A,Groups!C:C)*IF(_xlfn.XLOOKUP(B38,'Base stats'!B:B,'Base stats'!O:O)=1,0.5,IF(_xlfn.XLOOKUP(B38,'Base stats'!B:B,'Base stats'!O:O)=2,0,1)),0.05),0.985))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W38)),ISNUMBER(SEARCH("IceSheet",BW38))),-50,IF(OR(ISNUMBER(SEARCH("GlacialPlain",BW38)),ISNUMBER(SEARCH("Tundra",BW38))),-40,IF(OR(ISNUMBER(SEARCH("Alpine",BW38)),ISNUMBER(SEARCH("BorealForest",BW38)),ISNUMBER(SEARCH("ColdBog",BW38))),-30,IF(OR(ISNUMBER(SEARCH("TemperateForest",BW38)),ISNUMBER(SEARCH("TemperateSwamp",BW38))),-20,IF(_xlfn.XLOOKUP(_xlfn.XLOOKUP(B38,'Base stats'!B:B,'Base stats'!E:E),Groups!A:A,Groups!F:F)=1,-15,IF(OR(ISNUMBER(SEARCH("Desert",BW38)),ISNUMBER(SEARCH("ExtremeDesert",BW38))),-10,IF(OR(ISNUMBER(SEARCH("Grasslands",BW38)),ISNUMBER(SEARCH("TropicalRainforest",BW38)),ISNUMBER(SEARCH("TropicalSwamp",BW38))),10,0)))))))-IF(CB38="False",MIN(IFERROR(MAX(MROUND(LOG10(_xlfn.XLOOKUP(B38,'Base stats'!B:B,'Base stats'!C:C)^(2/3))*10,5),5),5),30))-_xlfn.XLOOKUP(B38,'Base stats'!B:B,'Base stats'!P:P)+IF(CB38="True",5,0)</f>
        <v>5</v>
      </c>
      <c r="M38" s="2">
        <f>IF(OR(_xlfn.XLOOKUP(_xlfn.XLOOKUP(B38,'Base stats'!B:B,'Base stats'!E:E),Groups!A:A,Groups!G:G)=2,ISNUMBER(SEARCH("Desert",BW38)),ISNUMBER(SEARCH("ExtremeDesert",BW38)),ISNUMBER(SEARCH("LavaField",BW38))),50,IF(ISNUMBER(SEARCH("Grasslands",BW38)),45,IF(OR(_xlfn.XLOOKUP(_xlfn.XLOOKUP(B38,'Base stats'!B:B,'Base stats'!E:E),Groups!A:A,Groups!G:G)=1,ISNUMBER(SEARCH("TropicalRainforest",BW38)),ISNUMBER(SEARCH("TropicalSwamp",BW38))),40,IF(OR(ISNUMBER(SEARCH("TemperateForest",BW38)),ISNUMBER(SEARCH("TemperateSwamp",BW38))),35,IF(OR(ISNUMBER(SEARCH("Alpine",BW38)),ISNUMBER(SEARCH("BorealForest",BW38)),ISNUMBER(SEARCH("ColdBog",BW38))),30,IF(ISNUMBER(OR(ISNUMBER(SEARCH("GlacialPlain",BW38)),SEARCH("Tundra",BW38))),25,IF(OR(ISNUMBER(SEARCH("SeaIce",BW38)),ISNUMBER(SEARCH("IceSheet",BW38)),ISNUMBER(SEARCH("TropicalSwamp",BW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stats'!AO:AO))*(AO38^0.5)+(_xlfn.XLOOKUP(B38,'Base stats'!B:B,'Base stats'!AO:AO)/1000)^(2/3)+_xlfn.XLOOKUP(B38,'Base stats'!B:B,'Base stats'!AX:AX)/2)+0.5,0.5)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stats'!AP:AP))*(AO38^0.5)+(_xlfn.XLOOKUP(B38,'Base stats'!B:B,'Base stats'!AP:AP)/1000)^(2/3)+_xlfn.XLOOKUP(B38,'Base stats'!B:B,'Base stats'!AX:AX))+_xlfn.XLOOKUP(B38,'Base stats'!B:B,'Base stats'!AV:AV)+0.5,0.5))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stats'!AR:AR))*(AO38^0.5)+(_xlfn.XLOOKUP(B38,'Base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stats'!AQ:AQ)="No","No",MROUND((LOG10(_xlfn.XLOOKUP(B38,'Base stats'!B:B,'Base stats'!AQ:AQ))*(AO38^0.75)+(_xlfn.XLOOKUP(B38,'Base stats'!B:B,'Base stats'!AQ:AQ)/1000)^(2/3)+_xlfn.XLOOKUP(B38,'Base stats'!B:B,'Base stats'!AU:AU)+_xlfn.XLOOKUP(B38,'Base stats'!B:B,'Base stats'!AX:AX))+0.5,0.5))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stats'!AP:AP))*(AO38^0.75)+(_xlfn.XLOOKUP(B38,'Base stats'!B:B,'Base stats'!AP:AP)/1000)^(2/3)+_xlfn.XLOOKUP(B38,'Base stats'!B:B,'Base stats'!AV:AV)+_xlfn.XLOOKUP(B38,'Base stats'!B:B,'Base stats'!AX:AX))+0.5,0.5))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MAX(0.01,MROUND(IF(CB38="True",0.196*(AO38*100*1000)^0.889,IF(_xlfn.XLOOKUP(_xlfn.XLOOKUP(B38,'Base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stats'!AE:AE)</f>
        <v>Leather_Chinchilla</v>
      </c>
      <c r="BB38" s="23" t="str">
        <f>_xlfn.XLOOKUP(_xlfn.XLOOKUP(B38,'Base stats'!B:B,'Base stats'!E:E),Groups!A:A,Groups!AL:AL)</f>
        <v>QuadrupedAnimalWithPawsAndTail</v>
      </c>
      <c r="BC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D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E38" s="2" t="str">
        <f>IF(J38&gt;0.3,"No",_xlfn.XLOOKUP(_xlfn.XLOOKUP(Animals!B38,'Base stats'!B:B,'Base stats'!E:E),Groups!A:A,Groups!AP:AP))</f>
        <v>No</v>
      </c>
      <c r="BF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+ 24*(1-IF(BE38="No",0,BE38)) + 16/3, 12),"No")</f>
        <v>36</v>
      </c>
      <c r="BG38" s="2">
        <f>IF(AND(_xlfn.XLOOKUP(_xlfn.XLOOKUP(B38,'Base stats'!B:B,'Base stats'!E:E),Groups!A:A,Groups!AQ:AQ)=1,AO38&lt;=0.35),8,12)</f>
        <v>8</v>
      </c>
      <c r="BH38" s="2" t="str">
        <f>IF(_xlfn.XLOOKUP(_xlfn.XLOOKUP(B38,'Base stats'!B:B,'Base stats'!E:E),Groups!A:A,Groups!D:D)=0,_xlfn.XLOOKUP(_xlfn.XLOOKUP(B38,'Base stats'!B:B,'Base stats'!E:E),Groups!A:A,Groups!AR:AR),"None")</f>
        <v>None</v>
      </c>
      <c r="BI38" s="2" t="str">
        <f>IF(AND(_xlfn.XLOOKUP(_xlfn.XLOOKUP(B38,'Base stats'!B:B,'Base stats'!E:E),Groups!A:A,Groups!AS:AS)=1,OR('Base stats'!Y38="Carnivore",'Base stats'!Y38="Omnivore")),"true","false")</f>
        <v>false</v>
      </c>
      <c r="BJ38" s="2" t="str">
        <f>IF(BI38="true",MROUND(IF(AND(AO38&gt;0.5,OR(_xlfn.XLOOKUP(_xlfn.XLOOKUP(B38,'Base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K38" s="2">
        <f t="shared" si="3"/>
        <v>0</v>
      </c>
      <c r="BL38" s="25" t="str">
        <f>IF(_xlfn.XLOOKUP(B38,'Base stats'!B:B,'Base stats'!AK:AK)="Standard","No",MROUND((_xlfn.XLOOKUP(B38,'Base stats'!B:B,'Base stats'!AK:AK)/3.6)/I38,0.1))</f>
        <v>No</v>
      </c>
      <c r="BM38" s="25" t="str">
        <f t="shared" si="4"/>
        <v>false</v>
      </c>
      <c r="BN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O38" s="25" t="str" cm="1">
        <f t="array" ref="BO38">IF(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 = "",
  "No",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
)</f>
        <v>Comfort</v>
      </c>
      <c r="BP38" s="25" t="str">
        <f>IF(
   AND(
      'Base stats'!AK38="Standard",_xlfn.XLOOKUP(_xlfn.XLOOKUP(B38,'Base stats'!B:B,'Base stats'!E:E),Groups!A:A,Groups!AU:AU)=0,
      OR(
      BN38="True"
      )
   ),
   10,
   IF(
       OR(BL38&lt;&gt;"No",_xlfn.XLOOKUP(_xlfn.XLOOKUP(B38,'Base stats'!B:B,'Base stats'!E:E),Groups!A:A,Groups!AU:AU)=1),
      1,
      "No"
   )
)</f>
        <v>No</v>
      </c>
      <c r="BQ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stats'!AS:AS) * 1.8) * 2) * 2.5 + 10 + I38 * 2,5)+IF(_xlfn.XLOOKUP(B38,'Base stats'!B:B,'Base stats'!AH:AH)=1,50,0)</f>
        <v>25</v>
      </c>
      <c r="BR38" s="8">
        <f t="shared" si="5"/>
        <v>0.25</v>
      </c>
      <c r="BS38" s="8" t="str">
        <f>_xlfn.XLOOKUP(B38,'Base stats'!B:B,'Base stats'!AD:AD)</f>
        <v>5~15</v>
      </c>
      <c r="BT38" s="2" t="str">
        <f>IF(AND(J38&lt;=0.95,OR(_xlfn.XLOOKUP(B38,'Base stats'!B:B,'Base stats'!AH:AH)=1,_xlfn.XLOOKUP(B38,'Base stats'!B:B,'Base stats'!Y:Y)="Carnivore",_xlfn.XLOOKUP(B38,'Base stats'!B:B,'Base stats'!Y:Y)="Omnivore",BD38&gt;0.1)),"true","false")</f>
        <v>false</v>
      </c>
      <c r="BU38" s="2" t="str">
        <f>IF(_xlfn.XLOOKUP(B38,'Base stats'!B:B,'Base stats'!AF:AF)=1,"true","false")</f>
        <v>false</v>
      </c>
      <c r="BV38" s="25" t="str">
        <f>IF(E38="BaseInsect","AnimalInsect",
IF(J38&gt;0.95,"AnimalExotic",
_xlfn.TEXTJOIN(", ",TRUE,
IF(OR(_xlfn.XLOOKUP(B38,'Base stats'!B:B,'Base stats'!AJ:AJ)=1,AND(_xlfn.XLOOKUP(B38,'Base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stats'!AH:AH)=1,AND(BH38&lt;&gt;"None",BQ38&gt;=60),ISNUMBER(SEARCH("Attack target",BO38))),"AnimalFighter","")
)))</f>
        <v>AnimalCommon</v>
      </c>
      <c r="BW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),_xlfn.XLOOKUP(B38,B:B,BW:BW))</f>
        <v>TropicalRainforest TropicalSwamp Glowforest</v>
      </c>
      <c r="BX38" s="25" t="str">
        <f>IF(_xlfn.XLOOKUP(B38,'Base stats'!B:B,'Base stats'!AG:AG)=1,"true","false")</f>
        <v>false</v>
      </c>
      <c r="BY38" s="25">
        <f>IF(_xlfn.XLOOKUP(B38,'Base stats'!B:B,'Base stats'!N:N)=1,"No",MAX(0.01,MIN(MROUND(IF(OR(_xlfn.XLOOKUP(B38,'Base stats'!B:B,'Base stats'!AJ:AJ)=1,AND(BI38="True",CB38="False")),POWER(10,3.47*LOG10(_xlfn.XLOOKUP(B38,'Base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stats'!AH:AH)=1),0.5,1)/100,0.025),1)))</f>
        <v>0.9</v>
      </c>
      <c r="BZ38" s="25" t="str">
        <f>IF(P38="Standard","No",MAX(0.01,IF(_xlfn.XLOOKUP(B38,'Base stats'!B:B,'Base stats'!N:N)=0,MROUND(BY38*P38,0.05),MIN(1,MAX(0.025,MROUND(IF(OR(CB38="true",AND(BI38="false",BN38="false")),POWER(10,4.15*LOG10(_xlfn.XLOOKUP(B38,'Base stats'!B:B,'Base stats'!C:C)*1000)^-0.73),POWER(10,3.47*LOG10(_xlfn.XLOOKUP(B38,'Base stats'!B:B,'Base stats'!C:C)*1000)^-0.96))*IF(_xlfn.XLOOKUP(B38,'Base stats'!B:B,'Base stats'!AH:AH)=1,0.5,1)/100,0.025))))))</f>
        <v>No</v>
      </c>
      <c r="CA38" s="25" t="str">
        <f>IF(_xlfn.XLOOKUP(_xlfn.XLOOKUP(B38,'Base stats'!B:B,'Base stats'!E:E),Groups!A:A,Groups!AJ:AJ)="Mammal","True","False")</f>
        <v>True</v>
      </c>
      <c r="CB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C38" s="25" t="str">
        <f t="shared" si="6"/>
        <v>False</v>
      </c>
      <c r="CD38" s="25" t="str">
        <f>IF(_xlfn.XLOOKUP(_xlfn.XLOOKUP(B38,'Base stats'!B:B,'Base stats'!E:E),Groups!A:A,Groups!AX:AX),"True","False")</f>
        <v>False</v>
      </c>
      <c r="CE38" s="25" t="str">
        <f>IF(_xlfn.XLOOKUP(_xlfn.XLOOKUP(B38,'Base stats'!B:B,'Base stats'!E:E),Groups!A:A,Groups!AY:AY),"True","False")</f>
        <v>False</v>
      </c>
      <c r="CF38" s="25" t="str">
        <f>IF(_xlfn.XLOOKUP(_xlfn.XLOOKUP(B38,'Base stats'!B:B,'Base stats'!E:E),Groups!A:A,Groups!AW:AW),"True","False")</f>
        <v>False</v>
      </c>
      <c r="CG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H38" s="25" t="str">
        <f>IF(_xlfn.XLOOKUP(_xlfn.XLOOKUP(B38,'Base stats'!B:B,'Base stats'!E:E),Groups!A:A,Groups!BB:BB),"True","False")</f>
        <v>True</v>
      </c>
      <c r="CI38" s="25" t="str">
        <f>IF(_xlfn.XLOOKUP(_xlfn.XLOOKUP(B38,'Base stats'!B:B,'Base stats'!E:E),Groups!A:A,Groups!BA:BA),"True","False")</f>
        <v>False</v>
      </c>
    </row>
    <row r="39" spans="1:87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stats'!AI:AI)=0,BH39="None",_xlfn.XLOOKUP(_xlfn.XLOOKUP(B39,'Base stats'!B:B,'Base stats'!E:E),Groups!A:A,Groups!B:B)=0), (18 + BQ39 * 2.7) * 0.5,
    IF(AND(_xlfn.XLOOKUP(B39,'Base stats'!B:B,'Base stats'!AI:AI)=0,OR(AO39&lt;0.55,AND(BH39="Intermediate",_xlfn.XLOOKUP(_xlfn.XLOOKUP(B39,'Base stats'!B:B,'Base stats'!E:E),Groups!A:A,Groups!B:B)&lt;2))), (18 + BQ39 * 2.7),
      IF(OR(BH39="Advanced",_xlfn.XLOOKUP(B39,'Base stats'!B:B,'Base stats'!AI:AI)=1,_xlfn.XLOOKUP(_xlfn.XLOOKUP(B39,'Base stats'!B:B,'Base stats'!E:E),Groups!A:A,Groups!B:B)=2), (18 + BQ39 * 2.7) + 250, (18 + BQ39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IF(_xlfn.XLOOKUP(B39,'Base stats'!B:B,'Base stats'!AI:AI)=1,0.99,MIN(MROUND((1-0.6282*EXP(-0.459*AO39))*_xlfn.XLOOKUP(_xlfn.XLOOKUP(B39,'Base stats'!B:B,'Base stats'!E:E),Groups!A:A,Groups!C:C)*IF(_xlfn.XLOOKUP(B39,'Base stats'!B:B,'Base stats'!O:O)=1,0.5,IF(_xlfn.XLOOKUP(B39,'Base stats'!B:B,'Base stats'!O:O)=2,0,1)),0.05),0.985))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W39)),ISNUMBER(SEARCH("IceSheet",BW39))),-50,IF(OR(ISNUMBER(SEARCH("GlacialPlain",BW39)),ISNUMBER(SEARCH("Tundra",BW39))),-40,IF(OR(ISNUMBER(SEARCH("Alpine",BW39)),ISNUMBER(SEARCH("BorealForest",BW39)),ISNUMBER(SEARCH("ColdBog",BW39))),-30,IF(OR(ISNUMBER(SEARCH("TemperateForest",BW39)),ISNUMBER(SEARCH("TemperateSwamp",BW39))),-20,IF(_xlfn.XLOOKUP(_xlfn.XLOOKUP(B39,'Base stats'!B:B,'Base stats'!E:E),Groups!A:A,Groups!F:F)=1,-15,IF(OR(ISNUMBER(SEARCH("Desert",BW39)),ISNUMBER(SEARCH("ExtremeDesert",BW39))),-10,IF(OR(ISNUMBER(SEARCH("Grasslands",BW39)),ISNUMBER(SEARCH("TropicalRainforest",BW39)),ISNUMBER(SEARCH("TropicalSwamp",BW39))),10,0)))))))-IF(CB39="False",MIN(IFERROR(MAX(MROUND(LOG10(_xlfn.XLOOKUP(B39,'Base stats'!B:B,'Base stats'!C:C)^(2/3))*10,5),5),5),30))-_xlfn.XLOOKUP(B39,'Base stats'!B:B,'Base stats'!P:P)+IF(CB39="True",5,0)</f>
        <v>0</v>
      </c>
      <c r="M39" s="2">
        <f>IF(OR(_xlfn.XLOOKUP(_xlfn.XLOOKUP(B39,'Base stats'!B:B,'Base stats'!E:E),Groups!A:A,Groups!G:G)=2,ISNUMBER(SEARCH("Desert",BW39)),ISNUMBER(SEARCH("ExtremeDesert",BW39)),ISNUMBER(SEARCH("LavaField",BW39))),50,IF(ISNUMBER(SEARCH("Grasslands",BW39)),45,IF(OR(_xlfn.XLOOKUP(_xlfn.XLOOKUP(B39,'Base stats'!B:B,'Base stats'!E:E),Groups!A:A,Groups!G:G)=1,ISNUMBER(SEARCH("TropicalRainforest",BW39)),ISNUMBER(SEARCH("TropicalSwamp",BW39))),40,IF(OR(ISNUMBER(SEARCH("TemperateForest",BW39)),ISNUMBER(SEARCH("TemperateSwamp",BW39))),35,IF(OR(ISNUMBER(SEARCH("Alpine",BW39)),ISNUMBER(SEARCH("BorealForest",BW39)),ISNUMBER(SEARCH("ColdBog",BW39))),30,IF(ISNUMBER(OR(ISNUMBER(SEARCH("GlacialPlain",BW39)),SEARCH("Tundra",BW39))),25,IF(OR(ISNUMBER(SEARCH("SeaIce",BW39)),ISNUMBER(SEARCH("IceSheet",BW39)),ISNUMBER(SEARCH("TropicalSwamp",BW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stats'!AO:AO))*(AO39^0.5)+(_xlfn.XLOOKUP(B39,'Base stats'!B:B,'Base stats'!AO:AO)/1000)^(2/3)+_xlfn.XLOOKUP(B39,'Base stats'!B:B,'Base stats'!AX:AX)/2)+0.5,0.5)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stats'!AP:AP))*(AO39^0.5)+(_xlfn.XLOOKUP(B39,'Base stats'!B:B,'Base stats'!AP:AP)/1000)^(2/3)+_xlfn.XLOOKUP(B39,'Base stats'!B:B,'Base stats'!AX:AX))+_xlfn.XLOOKUP(B39,'Base stats'!B:B,'Base stats'!AV:AV)+0.5,0.5))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stats'!AR:AR))*(AO39^0.5)+(_xlfn.XLOOKUP(B39,'Base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stats'!AQ:AQ)="No","No",MROUND((LOG10(_xlfn.XLOOKUP(B39,'Base stats'!B:B,'Base stats'!AQ:AQ))*(AO39^0.75)+(_xlfn.XLOOKUP(B39,'Base stats'!B:B,'Base stats'!AQ:AQ)/1000)^(2/3)+_xlfn.XLOOKUP(B39,'Base stats'!B:B,'Base stats'!AU:AU)+_xlfn.XLOOKUP(B39,'Base stats'!B:B,'Base stats'!AX:AX))+0.5,0.5))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stats'!AP:AP))*(AO39^0.75)+(_xlfn.XLOOKUP(B39,'Base stats'!B:B,'Base stats'!AP:AP)/1000)^(2/3)+_xlfn.XLOOKUP(B39,'Base stats'!B:B,'Base stats'!AV:AV)+_xlfn.XLOOKUP(B39,'Base stats'!B:B,'Base stats'!AX:AX))+0.5,0.5))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MAX(0.01,MROUND(IF(CB39="True",0.196*(AO39*100*1000)^0.889,IF(_xlfn.XLOOKUP(_xlfn.XLOOKUP(B39,'Base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stats'!AE:AE)</f>
        <v>Leather_Light</v>
      </c>
      <c r="BB39" s="23" t="str">
        <f>_xlfn.XLOOKUP(_xlfn.XLOOKUP(B39,'Base stats'!B:B,'Base stats'!E:E),Groups!A:A,Groups!AL:AL)</f>
        <v>QuadrupedAnimalWithPaws</v>
      </c>
      <c r="BC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D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E39" s="2" t="str">
        <f>IF(J39&gt;0.3,"No",_xlfn.XLOOKUP(_xlfn.XLOOKUP(Animals!B39,'Base stats'!B:B,'Base stats'!E:E),Groups!A:A,Groups!AP:AP))</f>
        <v>No</v>
      </c>
      <c r="BF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+ 24*(1-IF(BE39="No",0,BE39)) + 16/3, 12),"No")</f>
        <v>No</v>
      </c>
      <c r="BG39" s="2">
        <f>IF(AND(_xlfn.XLOOKUP(_xlfn.XLOOKUP(B39,'Base stats'!B:B,'Base stats'!E:E),Groups!A:A,Groups!AQ:AQ)=1,AO39&lt;=0.35),8,12)</f>
        <v>12</v>
      </c>
      <c r="BH39" s="2" t="str">
        <f>IF(_xlfn.XLOOKUP(_xlfn.XLOOKUP(B39,'Base stats'!B:B,'Base stats'!E:E),Groups!A:A,Groups!D:D)=0,_xlfn.XLOOKUP(_xlfn.XLOOKUP(B39,'Base stats'!B:B,'Base stats'!E:E),Groups!A:A,Groups!AR:AR),"None")</f>
        <v>None</v>
      </c>
      <c r="BI39" s="2" t="str">
        <f>IF(AND(_xlfn.XLOOKUP(_xlfn.XLOOKUP(B39,'Base stats'!B:B,'Base stats'!E:E),Groups!A:A,Groups!AS:AS)=1,OR('Base stats'!Y39="Carnivore",'Base stats'!Y39="Omnivore")),"true","false")</f>
        <v>false</v>
      </c>
      <c r="BJ39" s="2" t="str">
        <f>IF(BI39="true",MROUND(IF(AND(AO39&gt;0.5,OR(_xlfn.XLOOKUP(_xlfn.XLOOKUP(B39,'Base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K39" s="2">
        <f t="shared" si="3"/>
        <v>0</v>
      </c>
      <c r="BL39" s="25" t="str">
        <f>IF(_xlfn.XLOOKUP(B39,'Base stats'!B:B,'Base stats'!AK:AK)="Standard","No",MROUND((_xlfn.XLOOKUP(B39,'Base stats'!B:B,'Base stats'!AK:AK)/3.6)/I39,0.1))</f>
        <v>No</v>
      </c>
      <c r="BM39" s="25" t="str">
        <f t="shared" si="4"/>
        <v>true</v>
      </c>
      <c r="BN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O39" s="25" t="str" cm="1">
        <f t="array" ref="BO39">IF(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 = "",
  "No",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
)</f>
        <v>No</v>
      </c>
      <c r="BP39" s="25">
        <f>IF(
   AND(
      'Base stats'!AK39="Standard",_xlfn.XLOOKUP(_xlfn.XLOOKUP(B39,'Base stats'!B:B,'Base stats'!E:E),Groups!A:A,Groups!AU:AU)=0,
      OR(
      BN39="True"
      )
   ),
   10,
   IF(
       OR(BL39&lt;&gt;"No",_xlfn.XLOOKUP(_xlfn.XLOOKUP(B39,'Base stats'!B:B,'Base stats'!E:E),Groups!A:A,Groups!AU:AU)=1),
      1,
      "No"
   )
)</f>
        <v>1</v>
      </c>
      <c r="BQ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stats'!AS:AS) * 1.8) * 2) * 2.5 + 10 + I39 * 2,5)+IF(_xlfn.XLOOKUP(B39,'Base stats'!B:B,'Base stats'!AH:AH)=1,50,0)</f>
        <v>80</v>
      </c>
      <c r="BR39" s="8">
        <f t="shared" si="5"/>
        <v>0.60000000000000009</v>
      </c>
      <c r="BS39" s="8" t="str">
        <f>_xlfn.XLOOKUP(B39,'Base stats'!B:B,'Base stats'!AD:AD)</f>
        <v>5~15</v>
      </c>
      <c r="BT39" s="2" t="str">
        <f>IF(AND(J39&lt;=0.95,OR(_xlfn.XLOOKUP(B39,'Base stats'!B:B,'Base stats'!AH:AH)=1,_xlfn.XLOOKUP(B39,'Base stats'!B:B,'Base stats'!Y:Y)="Carnivore",_xlfn.XLOOKUP(B39,'Base stats'!B:B,'Base stats'!Y:Y)="Omnivore",BD39&gt;0.1)),"true","false")</f>
        <v>false</v>
      </c>
      <c r="BU39" s="2" t="str">
        <f>IF(_xlfn.XLOOKUP(B39,'Base stats'!B:B,'Base stats'!AF:AF)=1,"true","false")</f>
        <v>false</v>
      </c>
      <c r="BV39" s="25" t="str">
        <f>IF(E39="BaseInsect","AnimalInsect",
IF(J39&gt;0.95,"AnimalExotic",
_xlfn.TEXTJOIN(", ",TRUE,
IF(OR(_xlfn.XLOOKUP(B39,'Base stats'!B:B,'Base stats'!AJ:AJ)=1,AND(_xlfn.XLOOKUP(B39,'Base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stats'!AH:AH)=1,AND(BH39&lt;&gt;"None",BQ39&gt;=60),ISNUMBER(SEARCH("Attack target",BO39))),"AnimalFighter","")
)))</f>
        <v>AnimalUncommon</v>
      </c>
      <c r="BW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),_xlfn.XLOOKUP(B39,B:B,BW:BW))</f>
        <v>TropicalRainforest TropicalSwamp Glowforest</v>
      </c>
      <c r="BX39" s="25" t="str">
        <f>IF(_xlfn.XLOOKUP(B39,'Base stats'!B:B,'Base stats'!AG:AG)=1,"true","false")</f>
        <v>false</v>
      </c>
      <c r="BY39" s="25">
        <f>IF(_xlfn.XLOOKUP(B39,'Base stats'!B:B,'Base stats'!N:N)=1,"No",MAX(0.01,MIN(MROUND(IF(OR(_xlfn.XLOOKUP(B39,'Base stats'!B:B,'Base stats'!AJ:AJ)=1,AND(BI39="True",CB39="False")),POWER(10,3.47*LOG10(_xlfn.XLOOKUP(B39,'Base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stats'!AH:AH)=1),0.5,1)/100,0.025),1)))</f>
        <v>0.22500000000000001</v>
      </c>
      <c r="BZ39" s="25" t="str">
        <f>IF(P39="Standard","No",MAX(0.01,IF(_xlfn.XLOOKUP(B39,'Base stats'!B:B,'Base stats'!N:N)=0,MROUND(BY39*P39,0.05),MIN(1,MAX(0.025,MROUND(IF(OR(CB39="true",AND(BI39="false",BN39="false")),POWER(10,4.15*LOG10(_xlfn.XLOOKUP(B39,'Base stats'!B:B,'Base stats'!C:C)*1000)^-0.73),POWER(10,3.47*LOG10(_xlfn.XLOOKUP(B39,'Base stats'!B:B,'Base stats'!C:C)*1000)^-0.96))*IF(_xlfn.XLOOKUP(B39,'Base stats'!B:B,'Base stats'!AH:AH)=1,0.5,1)/100,0.025))))))</f>
        <v>No</v>
      </c>
      <c r="CA39" s="25" t="str">
        <f>IF(_xlfn.XLOOKUP(_xlfn.XLOOKUP(B39,'Base stats'!B:B,'Base stats'!E:E),Groups!A:A,Groups!AJ:AJ)="Mammal","True","False")</f>
        <v>True</v>
      </c>
      <c r="CB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C39" s="25" t="str">
        <f t="shared" si="6"/>
        <v>False</v>
      </c>
      <c r="CD39" s="25" t="str">
        <f>IF(_xlfn.XLOOKUP(_xlfn.XLOOKUP(B39,'Base stats'!B:B,'Base stats'!E:E),Groups!A:A,Groups!AX:AX),"True","False")</f>
        <v>False</v>
      </c>
      <c r="CE39" s="25" t="str">
        <f>IF(_xlfn.XLOOKUP(_xlfn.XLOOKUP(B39,'Base stats'!B:B,'Base stats'!E:E),Groups!A:A,Groups!AY:AY),"True","False")</f>
        <v>False</v>
      </c>
      <c r="CF39" s="25" t="str">
        <f>IF(_xlfn.XLOOKUP(_xlfn.XLOOKUP(B39,'Base stats'!B:B,'Base stats'!E:E),Groups!A:A,Groups!AW:AW),"True","False")</f>
        <v>False</v>
      </c>
      <c r="CG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H39" s="25" t="str">
        <f>IF(_xlfn.XLOOKUP(_xlfn.XLOOKUP(B39,'Base stats'!B:B,'Base stats'!E:E),Groups!A:A,Groups!BB:BB),"True","False")</f>
        <v>True</v>
      </c>
      <c r="CI39" s="25" t="str">
        <f>IF(_xlfn.XLOOKUP(_xlfn.XLOOKUP(B39,'Base stats'!B:B,'Base stats'!E:E),Groups!A:A,Groups!BA:BA),"True","False")</f>
        <v>False</v>
      </c>
    </row>
    <row r="40" spans="1:87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stats'!AI:AI)=0,BH40="None",_xlfn.XLOOKUP(_xlfn.XLOOKUP(B40,'Base stats'!B:B,'Base stats'!E:E),Groups!A:A,Groups!B:B)=0), (18 + BQ40 * 2.7) * 0.5,
    IF(AND(_xlfn.XLOOKUP(B40,'Base stats'!B:B,'Base stats'!AI:AI)=0,OR(AO40&lt;0.55,AND(BH40="Intermediate",_xlfn.XLOOKUP(_xlfn.XLOOKUP(B40,'Base stats'!B:B,'Base stats'!E:E),Groups!A:A,Groups!B:B)&lt;2))), (18 + BQ40 * 2.7),
      IF(OR(BH40="Advanced",_xlfn.XLOOKUP(B40,'Base stats'!B:B,'Base stats'!AI:AI)=1,_xlfn.XLOOKUP(_xlfn.XLOOKUP(B40,'Base stats'!B:B,'Base stats'!E:E),Groups!A:A,Groups!B:B)=2), (18 + BQ40 * 2.7) + 250, (18 + BQ40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IF(_xlfn.XLOOKUP(B40,'Base stats'!B:B,'Base stats'!AI:AI)=1,0.99,MIN(MROUND((1-0.6282*EXP(-0.459*AO40))*_xlfn.XLOOKUP(_xlfn.XLOOKUP(B40,'Base stats'!B:B,'Base stats'!E:E),Groups!A:A,Groups!C:C)*IF(_xlfn.XLOOKUP(B40,'Base stats'!B:B,'Base stats'!O:O)=1,0.5,IF(_xlfn.XLOOKUP(B40,'Base stats'!B:B,'Base stats'!O:O)=2,0,1)),0.05),0.985))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W40)),ISNUMBER(SEARCH("IceSheet",BW40))),-50,IF(OR(ISNUMBER(SEARCH("GlacialPlain",BW40)),ISNUMBER(SEARCH("Tundra",BW40))),-40,IF(OR(ISNUMBER(SEARCH("Alpine",BW40)),ISNUMBER(SEARCH("BorealForest",BW40)),ISNUMBER(SEARCH("ColdBog",BW40))),-30,IF(OR(ISNUMBER(SEARCH("TemperateForest",BW40)),ISNUMBER(SEARCH("TemperateSwamp",BW40))),-20,IF(_xlfn.XLOOKUP(_xlfn.XLOOKUP(B40,'Base stats'!B:B,'Base stats'!E:E),Groups!A:A,Groups!F:F)=1,-15,IF(OR(ISNUMBER(SEARCH("Desert",BW40)),ISNUMBER(SEARCH("ExtremeDesert",BW40))),-10,IF(OR(ISNUMBER(SEARCH("Grasslands",BW40)),ISNUMBER(SEARCH("TropicalRainforest",BW40)),ISNUMBER(SEARCH("TropicalSwamp",BW40))),10,0)))))))-IF(CB40="False",MIN(IFERROR(MAX(MROUND(LOG10(_xlfn.XLOOKUP(B40,'Base stats'!B:B,'Base stats'!C:C)^(2/3))*10,5),5),5),30))-_xlfn.XLOOKUP(B40,'Base stats'!B:B,'Base stats'!P:P)+IF(CB40="True",5,0)</f>
        <v>-30</v>
      </c>
      <c r="M40" s="2">
        <f>IF(OR(_xlfn.XLOOKUP(_xlfn.XLOOKUP(B40,'Base stats'!B:B,'Base stats'!E:E),Groups!A:A,Groups!G:G)=2,ISNUMBER(SEARCH("Desert",BW40)),ISNUMBER(SEARCH("ExtremeDesert",BW40)),ISNUMBER(SEARCH("LavaField",BW40))),50,IF(ISNUMBER(SEARCH("Grasslands",BW40)),45,IF(OR(_xlfn.XLOOKUP(_xlfn.XLOOKUP(B40,'Base stats'!B:B,'Base stats'!E:E),Groups!A:A,Groups!G:G)=1,ISNUMBER(SEARCH("TropicalRainforest",BW40)),ISNUMBER(SEARCH("TropicalSwamp",BW40))),40,IF(OR(ISNUMBER(SEARCH("TemperateForest",BW40)),ISNUMBER(SEARCH("TemperateSwamp",BW40))),35,IF(OR(ISNUMBER(SEARCH("Alpine",BW40)),ISNUMBER(SEARCH("BorealForest",BW40)),ISNUMBER(SEARCH("ColdBog",BW40))),30,IF(ISNUMBER(OR(ISNUMBER(SEARCH("GlacialPlain",BW40)),SEARCH("Tundra",BW40))),25,IF(OR(ISNUMBER(SEARCH("SeaIce",BW40)),ISNUMBER(SEARCH("IceSheet",BW40)),ISNUMBER(SEARCH("TropicalSwamp",BW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stats'!AO:AO))*(AO40^0.5)+(_xlfn.XLOOKUP(B40,'Base stats'!B:B,'Base stats'!AO:AO)/1000)^(2/3)+_xlfn.XLOOKUP(B40,'Base stats'!B:B,'Base stats'!AX:AX)/2)+0.5,0.5)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stats'!AP:AP))*(AO40^0.5)+(_xlfn.XLOOKUP(B40,'Base stats'!B:B,'Base stats'!AP:AP)/1000)^(2/3)+_xlfn.XLOOKUP(B40,'Base stats'!B:B,'Base stats'!AX:AX))+_xlfn.XLOOKUP(B40,'Base stats'!B:B,'Base stats'!AV:AV)+0.5,0.5))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stats'!AR:AR))*(AO40^0.5)+(_xlfn.XLOOKUP(B40,'Base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stats'!AQ:AQ)="No","No",MROUND((LOG10(_xlfn.XLOOKUP(B40,'Base stats'!B:B,'Base stats'!AQ:AQ))*(AO40^0.75)+(_xlfn.XLOOKUP(B40,'Base stats'!B:B,'Base stats'!AQ:AQ)/1000)^(2/3)+_xlfn.XLOOKUP(B40,'Base stats'!B:B,'Base stats'!AU:AU)+_xlfn.XLOOKUP(B40,'Base stats'!B:B,'Base stats'!AX:AX))+0.5,0.5))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stats'!AP:AP))*(AO40^0.75)+(_xlfn.XLOOKUP(B40,'Base stats'!B:B,'Base stats'!AP:AP)/1000)^(2/3)+_xlfn.XLOOKUP(B40,'Base stats'!B:B,'Base stats'!AV:AV)+_xlfn.XLOOKUP(B40,'Base stats'!B:B,'Base stats'!AX:AX))+0.5,0.5))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MAX(0.01,MROUND(IF(CB40="True",0.196*(AO40*100*1000)^0.889,IF(_xlfn.XLOOKUP(_xlfn.XLOOKUP(B40,'Base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stats'!AE:AE)</f>
        <v>Leather_Light</v>
      </c>
      <c r="BB40" s="23" t="str">
        <f>_xlfn.XLOOKUP(_xlfn.XLOOKUP(B40,'Base stats'!B:B,'Base stats'!E:E),Groups!A:A,Groups!AL:AL)</f>
        <v>QuadrupedAnimalWithPawsAndTail</v>
      </c>
      <c r="BC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D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E40" s="2" t="str">
        <f>IF(J40&gt;0.3,"No",_xlfn.XLOOKUP(_xlfn.XLOOKUP(Animals!B40,'Base stats'!B:B,'Base stats'!E:E),Groups!A:A,Groups!AP:AP))</f>
        <v>No</v>
      </c>
      <c r="BF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+ 24*(1-IF(BE40="No",0,BE40)) + 16/3, 12),"No")</f>
        <v>48</v>
      </c>
      <c r="BG40" s="2">
        <f>IF(AND(_xlfn.XLOOKUP(_xlfn.XLOOKUP(B40,'Base stats'!B:B,'Base stats'!E:E),Groups!A:A,Groups!AQ:AQ)=1,AO40&lt;=0.35),8,12)</f>
        <v>12</v>
      </c>
      <c r="BH40" s="2" t="str">
        <f>IF(_xlfn.XLOOKUP(_xlfn.XLOOKUP(B40,'Base stats'!B:B,'Base stats'!E:E),Groups!A:A,Groups!D:D)=0,_xlfn.XLOOKUP(_xlfn.XLOOKUP(B40,'Base stats'!B:B,'Base stats'!E:E),Groups!A:A,Groups!AR:AR),"None")</f>
        <v>None</v>
      </c>
      <c r="BI40" s="2" t="str">
        <f>IF(AND(_xlfn.XLOOKUP(_xlfn.XLOOKUP(B40,'Base stats'!B:B,'Base stats'!E:E),Groups!A:A,Groups!AS:AS)=1,OR('Base stats'!Y40="Carnivore",'Base stats'!Y40="Omnivore")),"true","false")</f>
        <v>false</v>
      </c>
      <c r="BJ40" s="2" t="str">
        <f>IF(BI40="true",MROUND(IF(AND(AO40&gt;0.5,OR(_xlfn.XLOOKUP(_xlfn.XLOOKUP(B40,'Base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K40" s="2">
        <f t="shared" si="3"/>
        <v>0</v>
      </c>
      <c r="BL40" s="25">
        <f>IF(_xlfn.XLOOKUP(B40,'Base stats'!B:B,'Base stats'!AK:AK)="Standard","No",MROUND((_xlfn.XLOOKUP(B40,'Base stats'!B:B,'Base stats'!AK:AK)/3.6)/I40,0.1))</f>
        <v>1.4000000000000001</v>
      </c>
      <c r="BM40" s="25" t="str">
        <f t="shared" si="4"/>
        <v>true</v>
      </c>
      <c r="BN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O40" s="25" t="str" cm="1">
        <f t="array" ref="BO40">IF(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 = "",
  "No",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
)</f>
        <v>No</v>
      </c>
      <c r="BP40" s="25">
        <f>IF(
   AND(
      'Base stats'!AK40="Standard",_xlfn.XLOOKUP(_xlfn.XLOOKUP(B40,'Base stats'!B:B,'Base stats'!E:E),Groups!A:A,Groups!AU:AU)=0,
      OR(
      BN40="True"
      )
   ),
   10,
   IF(
       OR(BL40&lt;&gt;"No",_xlfn.XLOOKUP(_xlfn.XLOOKUP(B40,'Base stats'!B:B,'Base stats'!E:E),Groups!A:A,Groups!AU:AU)=1),
      1,
      "No"
   )
)</f>
        <v>1</v>
      </c>
      <c r="BQ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stats'!AS:AS) * 1.8) * 2) * 2.5 + 10 + I40 * 2,5)+IF(_xlfn.XLOOKUP(B40,'Base stats'!B:B,'Base stats'!AH:AH)=1,50,0)</f>
        <v>60</v>
      </c>
      <c r="BR40" s="8">
        <f t="shared" si="5"/>
        <v>0.55000000000000004</v>
      </c>
      <c r="BS40" s="8" t="str">
        <f>_xlfn.XLOOKUP(B40,'Base stats'!B:B,'Base stats'!AD:AD)</f>
        <v>3~10</v>
      </c>
      <c r="BT40" s="2" t="str">
        <f>IF(AND(J40&lt;=0.95,OR(_xlfn.XLOOKUP(B40,'Base stats'!B:B,'Base stats'!AH:AH)=1,_xlfn.XLOOKUP(B40,'Base stats'!B:B,'Base stats'!Y:Y)="Carnivore",_xlfn.XLOOKUP(B40,'Base stats'!B:B,'Base stats'!Y:Y)="Omnivore",BD40&gt;0.1)),"true","false")</f>
        <v>false</v>
      </c>
      <c r="BU40" s="2" t="str">
        <f>IF(_xlfn.XLOOKUP(B40,'Base stats'!B:B,'Base stats'!AF:AF)=1,"true","false")</f>
        <v>false</v>
      </c>
      <c r="BV40" s="25" t="str">
        <f>IF(E40="BaseInsect","AnimalInsect",
IF(J40&gt;0.95,"AnimalExotic",
_xlfn.TEXTJOIN(", ",TRUE,
IF(OR(_xlfn.XLOOKUP(B40,'Base stats'!B:B,'Base stats'!AJ:AJ)=1,AND(_xlfn.XLOOKUP(B40,'Base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stats'!AH:AH)=1,AND(BH40&lt;&gt;"None",BQ40&gt;=60),ISNUMBER(SEARCH("Attack target",BO40))),"AnimalFighter","")
)))</f>
        <v>AnimalCommon</v>
      </c>
      <c r="BW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),_xlfn.XLOOKUP(B40,B:B,BW:BW))</f>
        <v/>
      </c>
      <c r="BX40" s="25" t="str">
        <f>IF(_xlfn.XLOOKUP(B40,'Base stats'!B:B,'Base stats'!AG:AG)=1,"true","false")</f>
        <v>false</v>
      </c>
      <c r="BY40" s="25">
        <f>IF(_xlfn.XLOOKUP(B40,'Base stats'!B:B,'Base stats'!N:N)=1,"No",MAX(0.01,MIN(MROUND(IF(OR(_xlfn.XLOOKUP(B40,'Base stats'!B:B,'Base stats'!AJ:AJ)=1,AND(BI40="True",CB40="False")),POWER(10,3.47*LOG10(_xlfn.XLOOKUP(B40,'Base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stats'!AH:AH)=1),0.5,1)/100,0.025),1)))</f>
        <v>0.22500000000000001</v>
      </c>
      <c r="BZ40" s="25" t="str">
        <f>IF(P40="Standard","No",MAX(0.01,IF(_xlfn.XLOOKUP(B40,'Base stats'!B:B,'Base stats'!N:N)=0,MROUND(BY40*P40,0.05),MIN(1,MAX(0.025,MROUND(IF(OR(CB40="true",AND(BI40="false",BN40="false")),POWER(10,4.15*LOG10(_xlfn.XLOOKUP(B40,'Base stats'!B:B,'Base stats'!C:C)*1000)^-0.73),POWER(10,3.47*LOG10(_xlfn.XLOOKUP(B40,'Base stats'!B:B,'Base stats'!C:C)*1000)^-0.96))*IF(_xlfn.XLOOKUP(B40,'Base stats'!B:B,'Base stats'!AH:AH)=1,0.5,1)/100,0.025))))))</f>
        <v>No</v>
      </c>
      <c r="CA40" s="25" t="str">
        <f>IF(_xlfn.XLOOKUP(_xlfn.XLOOKUP(B40,'Base stats'!B:B,'Base stats'!E:E),Groups!A:A,Groups!AJ:AJ)="Mammal","True","False")</f>
        <v>True</v>
      </c>
      <c r="CB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C40" s="25" t="str">
        <f t="shared" si="6"/>
        <v>False</v>
      </c>
      <c r="CD40" s="25" t="str">
        <f>IF(_xlfn.XLOOKUP(_xlfn.XLOOKUP(B40,'Base stats'!B:B,'Base stats'!E:E),Groups!A:A,Groups!AX:AX),"True","False")</f>
        <v>False</v>
      </c>
      <c r="CE40" s="25" t="str">
        <f>IF(_xlfn.XLOOKUP(_xlfn.XLOOKUP(B40,'Base stats'!B:B,'Base stats'!E:E),Groups!A:A,Groups!AY:AY),"True","False")</f>
        <v>False</v>
      </c>
      <c r="CF40" s="25" t="str">
        <f>IF(_xlfn.XLOOKUP(_xlfn.XLOOKUP(B40,'Base stats'!B:B,'Base stats'!E:E),Groups!A:A,Groups!AW:AW),"True","False")</f>
        <v>False</v>
      </c>
      <c r="CG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H40" s="25" t="str">
        <f>IF(_xlfn.XLOOKUP(_xlfn.XLOOKUP(B40,'Base stats'!B:B,'Base stats'!E:E),Groups!A:A,Groups!BB:BB),"True","False")</f>
        <v>True</v>
      </c>
      <c r="CI40" s="25" t="str">
        <f>IF(_xlfn.XLOOKUP(_xlfn.XLOOKUP(B40,'Base stats'!B:B,'Base stats'!E:E),Groups!A:A,Groups!BA:BA),"True","False")</f>
        <v>False</v>
      </c>
    </row>
    <row r="41" spans="1:87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stats'!AI:AI)=0,BH41="None",_xlfn.XLOOKUP(_xlfn.XLOOKUP(B41,'Base stats'!B:B,'Base stats'!E:E),Groups!A:A,Groups!B:B)=0), (18 + BQ41 * 2.7) * 0.5,
    IF(AND(_xlfn.XLOOKUP(B41,'Base stats'!B:B,'Base stats'!AI:AI)=0,OR(AO41&lt;0.55,AND(BH41="Intermediate",_xlfn.XLOOKUP(_xlfn.XLOOKUP(B41,'Base stats'!B:B,'Base stats'!E:E),Groups!A:A,Groups!B:B)&lt;2))), (18 + BQ41 * 2.7),
      IF(OR(BH41="Advanced",_xlfn.XLOOKUP(B41,'Base stats'!B:B,'Base stats'!AI:AI)=1,_xlfn.XLOOKUP(_xlfn.XLOOKUP(B41,'Base stats'!B:B,'Base stats'!E:E),Groups!A:A,Groups!B:B)=2), (18 + BQ41 * 2.7) + 250, (18 + BQ41 * 2.7))
    )
  ))
  + AO41 * 80
  + IF(COUNTIF(EggMilk!K$2:K$998, A41) &gt; 0, 125, 0)
  + IF(COUNTIF(EggMilk!P$2:P$998, A41) &gt; 0, 90, 0)
  + IF(COUNTIF(EggMilk!A$2:A$998, A41) &gt; 0, 90, 0)
)
* (0.8 + 0.4 * J41)
* 0.75,25)</f>
        <v>125</v>
      </c>
      <c r="I41" s="2">
        <f>MROUND(ROUNDDOWN(_xlfn.XLOOKUP(B41,'Base stats'!B:B,'Base stats'!L:L)/3.6/(23.3/11),1),0.5)</f>
        <v>3.5</v>
      </c>
      <c r="J41" s="2">
        <f>IF(_xlfn.XLOOKUP(B41,'Base stats'!B:B,'Base stats'!AI:AI)=1,0.99,MIN(MROUND((1-0.6282*EXP(-0.459*AO41))*_xlfn.XLOOKUP(_xlfn.XLOOKUP(B41,'Base stats'!B:B,'Base stats'!E:E),Groups!A:A,Groups!C:C)*IF(_xlfn.XLOOKUP(B41,'Base stats'!B:B,'Base stats'!O:O)=1,0.5,IF(_xlfn.XLOOKUP(B41,'Base stats'!B:B,'Base stats'!O:O)=2,0,1)),0.05),0.985))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W41)),ISNUMBER(SEARCH("IceSheet",BW41))),-50,IF(OR(ISNUMBER(SEARCH("GlacialPlain",BW41)),ISNUMBER(SEARCH("Tundra",BW41))),-40,IF(OR(ISNUMBER(SEARCH("Alpine",BW41)),ISNUMBER(SEARCH("BorealForest",BW41)),ISNUMBER(SEARCH("ColdBog",BW41))),-30,IF(OR(ISNUMBER(SEARCH("TemperateForest",BW41)),ISNUMBER(SEARCH("TemperateSwamp",BW41))),-20,IF(_xlfn.XLOOKUP(_xlfn.XLOOKUP(B41,'Base stats'!B:B,'Base stats'!E:E),Groups!A:A,Groups!F:F)=1,-15,IF(OR(ISNUMBER(SEARCH("Desert",BW41)),ISNUMBER(SEARCH("ExtremeDesert",BW41))),-10,IF(OR(ISNUMBER(SEARCH("Grasslands",BW41)),ISNUMBER(SEARCH("TropicalRainforest",BW41)),ISNUMBER(SEARCH("TropicalSwamp",BW41))),10,0)))))))-IF(CB41="False",MIN(IFERROR(MAX(MROUND(LOG10(_xlfn.XLOOKUP(B41,'Base stats'!B:B,'Base stats'!C:C)^(2/3))*10,5),5),5),30))-_xlfn.XLOOKUP(B41,'Base stats'!B:B,'Base stats'!P:P)+IF(CB41="True",5,0)</f>
        <v>-25</v>
      </c>
      <c r="M41" s="2">
        <f>IF(OR(_xlfn.XLOOKUP(_xlfn.XLOOKUP(B41,'Base stats'!B:B,'Base stats'!E:E),Groups!A:A,Groups!G:G)=2,ISNUMBER(SEARCH("Desert",BW41)),ISNUMBER(SEARCH("ExtremeDesert",BW41)),ISNUMBER(SEARCH("LavaField",BW41))),50,IF(ISNUMBER(SEARCH("Grasslands",BW41)),45,IF(OR(_xlfn.XLOOKUP(_xlfn.XLOOKUP(B41,'Base stats'!B:B,'Base stats'!E:E),Groups!A:A,Groups!G:G)=1,ISNUMBER(SEARCH("TropicalRainforest",BW41)),ISNUMBER(SEARCH("TropicalSwamp",BW41))),40,IF(OR(ISNUMBER(SEARCH("TemperateForest",BW41)),ISNUMBER(SEARCH("TemperateSwamp",BW41))),35,IF(OR(ISNUMBER(SEARCH("Alpine",BW41)),ISNUMBER(SEARCH("BorealForest",BW41)),ISNUMBER(SEARCH("ColdBog",BW41))),30,IF(ISNUMBER(OR(ISNUMBER(SEARCH("GlacialPlain",BW41)),SEARCH("Tundra",BW41))),25,IF(OR(ISNUMBER(SEARCH("SeaIce",BW41)),ISNUMBER(SEARCH("IceSheet",BW41)),ISNUMBER(SEARCH("TropicalSwamp",BW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stats'!AO:AO))*(AO41^0.5)+(_xlfn.XLOOKUP(B41,'Base stats'!B:B,'Base stats'!AO:AO)/1000)^(2/3)+_xlfn.XLOOKUP(B41,'Base stats'!B:B,'Base stats'!AX:AX)/2)+0.5,0.5)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stats'!AP:AP))*(AO41^0.5)+(_xlfn.XLOOKUP(B41,'Base stats'!B:B,'Base stats'!AP:AP)/1000)^(2/3)+_xlfn.XLOOKUP(B41,'Base stats'!B:B,'Base stats'!AX:AX))+_xlfn.XLOOKUP(B41,'Base stats'!B:B,'Base stats'!AV:AV)+0.5,0.5))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stats'!AR:AR))*(AO41^0.5)+(_xlfn.XLOOKUP(B41,'Base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stats'!AQ:AQ)="No","No",MROUND((LOG10(_xlfn.XLOOKUP(B41,'Base stats'!B:B,'Base stats'!AQ:AQ))*(AO41^0.75)+(_xlfn.XLOOKUP(B41,'Base stats'!B:B,'Base stats'!AQ:AQ)/1000)^(2/3)+_xlfn.XLOOKUP(B41,'Base stats'!B:B,'Base stats'!AU:AU)+_xlfn.XLOOKUP(B41,'Base stats'!B:B,'Base stats'!AX:AX))+0.5,0.5))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stats'!AP:AP))*(AO41^0.75)+(_xlfn.XLOOKUP(B41,'Base stats'!B:B,'Base stats'!AP:AP)/1000)^(2/3)+_xlfn.XLOOKUP(B41,'Base stats'!B:B,'Base stats'!AV:AV)+_xlfn.XLOOKUP(B41,'Base stats'!B:B,'Base stats'!AX:AX))+0.5,0.5))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MAX(0.01,MROUND(IF(CB41="True",0.196*(AO41*100*1000)^0.889,IF(_xlfn.XLOOKUP(_xlfn.XLOOKUP(B41,'Base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stats'!AE:AE)</f>
        <v>Leather_Light</v>
      </c>
      <c r="BB41" s="23" t="str">
        <f>_xlfn.XLOOKUP(_xlfn.XLOOKUP(B41,'Base stats'!B:B,'Base stats'!E:E),Groups!A:A,Groups!AL:AL)</f>
        <v>QuadrupedAnimalWithPawsAndTail</v>
      </c>
      <c r="BC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D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E41" s="2" t="str">
        <f>IF(J41&gt;0.3,"No",_xlfn.XLOOKUP(_xlfn.XLOOKUP(Animals!B41,'Base stats'!B:B,'Base stats'!E:E),Groups!A:A,Groups!AP:AP))</f>
        <v>No</v>
      </c>
      <c r="BF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+ 24*(1-IF(BE41="No",0,BE41)) + 16/3, 12),"No")</f>
        <v>36</v>
      </c>
      <c r="BG41" s="2">
        <f>IF(AND(_xlfn.XLOOKUP(_xlfn.XLOOKUP(B41,'Base stats'!B:B,'Base stats'!E:E),Groups!A:A,Groups!AQ:AQ)=1,AO41&lt;=0.35),8,12)</f>
        <v>12</v>
      </c>
      <c r="BH41" s="2" t="str">
        <f>IF(_xlfn.XLOOKUP(_xlfn.XLOOKUP(B41,'Base stats'!B:B,'Base stats'!E:E),Groups!A:A,Groups!D:D)=0,_xlfn.XLOOKUP(_xlfn.XLOOKUP(B41,'Base stats'!B:B,'Base stats'!E:E),Groups!A:A,Groups!AR:AR),"None")</f>
        <v>None</v>
      </c>
      <c r="BI41" s="2" t="str">
        <f>IF(AND(_xlfn.XLOOKUP(_xlfn.XLOOKUP(B41,'Base stats'!B:B,'Base stats'!E:E),Groups!A:A,Groups!AS:AS)=1,OR('Base stats'!Y41="Carnivore",'Base stats'!Y41="Omnivore")),"true","false")</f>
        <v>false</v>
      </c>
      <c r="BJ41" s="2" t="str">
        <f>IF(BI41="true",MROUND(IF(AND(AO41&gt;0.5,OR(_xlfn.XLOOKUP(_xlfn.XLOOKUP(B41,'Base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K41" s="2">
        <f t="shared" si="3"/>
        <v>0</v>
      </c>
      <c r="BL41" s="25" t="str">
        <f>IF(_xlfn.XLOOKUP(B41,'Base stats'!B:B,'Base stats'!AK:AK)="Standard","No",MROUND((_xlfn.XLOOKUP(B41,'Base stats'!B:B,'Base stats'!AK:AK)/3.6)/I41,0.1))</f>
        <v>No</v>
      </c>
      <c r="BM41" s="25" t="str">
        <f t="shared" si="4"/>
        <v>false</v>
      </c>
      <c r="BN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O41" s="25" t="str" cm="1">
        <f t="array" ref="BO41">IF(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 = "",
  "No",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
)</f>
        <v>Forage, Comfort</v>
      </c>
      <c r="BP41" s="25" t="str">
        <f>IF(
   AND(
      'Base stats'!AK41="Standard",_xlfn.XLOOKUP(_xlfn.XLOOKUP(B41,'Base stats'!B:B,'Base stats'!E:E),Groups!A:A,Groups!AU:AU)=0,
      OR(
      BN41="True"
      )
   ),
   10,
   IF(
       OR(BL41&lt;&gt;"No",_xlfn.XLOOKUP(_xlfn.XLOOKUP(B41,'Base stats'!B:B,'Base stats'!E:E),Groups!A:A,Groups!AU:AU)=1),
      1,
      "No"
   )
)</f>
        <v>No</v>
      </c>
      <c r="BQ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stats'!AS:AS) * 1.8) * 2) * 2.5 + 10 + I41 * 2,5)+IF(_xlfn.XLOOKUP(B41,'Base stats'!B:B,'Base stats'!AH:AH)=1,50,0)</f>
        <v>100</v>
      </c>
      <c r="BR41" s="8">
        <f t="shared" si="5"/>
        <v>0.35000000000000003</v>
      </c>
      <c r="BS41" s="8" t="str">
        <f>_xlfn.XLOOKUP(B41,'Base stats'!B:B,'Base stats'!AD:AD)</f>
        <v>No</v>
      </c>
      <c r="BT41" s="2" t="str">
        <f>IF(AND(J41&lt;=0.95,OR(_xlfn.XLOOKUP(B41,'Base stats'!B:B,'Base stats'!AH:AH)=1,_xlfn.XLOOKUP(B41,'Base stats'!B:B,'Base stats'!Y:Y)="Carnivore",_xlfn.XLOOKUP(B41,'Base stats'!B:B,'Base stats'!Y:Y)="Omnivore",BD41&gt;0.1)),"true","false")</f>
        <v>true</v>
      </c>
      <c r="BU41" s="2" t="str">
        <f>IF(_xlfn.XLOOKUP(B41,'Base stats'!B:B,'Base stats'!AF:AF)=1,"true","false")</f>
        <v>false</v>
      </c>
      <c r="BV41" s="25" t="str">
        <f>IF(E41="BaseInsect","AnimalInsect",
IF(J41&gt;0.95,"AnimalExotic",
_xlfn.TEXTJOIN(", ",TRUE,
IF(OR(_xlfn.XLOOKUP(B41,'Base stats'!B:B,'Base stats'!AJ:AJ)=1,AND(_xlfn.XLOOKUP(B41,'Base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stats'!AH:AH)=1,AND(BH41&lt;&gt;"None",BQ41&gt;=60),ISNUMBER(SEARCH("Attack target",BO41))),"AnimalFighter","")
)))</f>
        <v>AnimalCommon, AnimalFighter</v>
      </c>
      <c r="BW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),_xlfn.XLOOKUP(B41,B:B,BW:BW))</f>
        <v>TemperateForest TemperateSwamp AridShrubland Desert ExtremeDesert TropicalRainforest TropicalSwamp Grasslands Glowforest LavaField Scarlands</v>
      </c>
      <c r="BX41" s="25" t="str">
        <f>IF(_xlfn.XLOOKUP(B41,'Base stats'!B:B,'Base stats'!AG:AG)=1,"true","false")</f>
        <v>false</v>
      </c>
      <c r="BY41" s="25">
        <f>IF(_xlfn.XLOOKUP(B41,'Base stats'!B:B,'Base stats'!N:N)=1,"No",MAX(0.01,MIN(MROUND(IF(OR(_xlfn.XLOOKUP(B41,'Base stats'!B:B,'Base stats'!AJ:AJ)=1,AND(BI41="True",CB41="False")),POWER(10,3.47*LOG10(_xlfn.XLOOKUP(B41,'Base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stats'!AH:AH)=1),0.5,1)/100,0.025),1)))</f>
        <v>0.15000000000000002</v>
      </c>
      <c r="BZ41" s="25">
        <f>IF(P41="Standard","No",MAX(0.01,IF(_xlfn.XLOOKUP(B41,'Base stats'!B:B,'Base stats'!N:N)=0,MROUND(BY41*P41,0.05),MIN(1,MAX(0.025,MROUND(IF(OR(CB41="true",AND(BI41="false",BN41="false")),POWER(10,4.15*LOG10(_xlfn.XLOOKUP(B41,'Base stats'!B:B,'Base stats'!C:C)*1000)^-0.73),POWER(10,3.47*LOG10(_xlfn.XLOOKUP(B41,'Base stats'!B:B,'Base stats'!C:C)*1000)^-0.96))*IF(_xlfn.XLOOKUP(B41,'Base stats'!B:B,'Base stats'!AH:AH)=1,0.5,1)/100,0.025))))))</f>
        <v>0.15000000000000002</v>
      </c>
      <c r="CA41" s="25" t="str">
        <f>IF(_xlfn.XLOOKUP(_xlfn.XLOOKUP(B41,'Base stats'!B:B,'Base stats'!E:E),Groups!A:A,Groups!AJ:AJ)="Mammal","True","False")</f>
        <v>True</v>
      </c>
      <c r="CB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C41" s="25" t="str">
        <f t="shared" si="6"/>
        <v>False</v>
      </c>
      <c r="CD41" s="25" t="str">
        <f>IF(_xlfn.XLOOKUP(_xlfn.XLOOKUP(B41,'Base stats'!B:B,'Base stats'!E:E),Groups!A:A,Groups!AX:AX),"True","False")</f>
        <v>False</v>
      </c>
      <c r="CE41" s="25" t="str">
        <f>IF(_xlfn.XLOOKUP(_xlfn.XLOOKUP(B41,'Base stats'!B:B,'Base stats'!E:E),Groups!A:A,Groups!AY:AY),"True","False")</f>
        <v>False</v>
      </c>
      <c r="CF41" s="25" t="str">
        <f>IF(_xlfn.XLOOKUP(_xlfn.XLOOKUP(B41,'Base stats'!B:B,'Base stats'!E:E),Groups!A:A,Groups!AW:AW),"True","False")</f>
        <v>False</v>
      </c>
      <c r="CG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H41" s="25" t="str">
        <f>IF(_xlfn.XLOOKUP(_xlfn.XLOOKUP(B41,'Base stats'!B:B,'Base stats'!E:E),Groups!A:A,Groups!BB:BB),"True","False")</f>
        <v>True</v>
      </c>
      <c r="CI41" s="25" t="str">
        <f>IF(_xlfn.XLOOKUP(_xlfn.XLOOKUP(B41,'Base stats'!B:B,'Base stats'!E:E),Groups!A:A,Groups!BA:BA),"True","False")</f>
        <v>False</v>
      </c>
    </row>
    <row r="42" spans="1:87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stats'!AI:AI)=0,BH42="None",_xlfn.XLOOKUP(_xlfn.XLOOKUP(B42,'Base stats'!B:B,'Base stats'!E:E),Groups!A:A,Groups!B:B)=0), (18 + BQ42 * 2.7) * 0.5,
    IF(AND(_xlfn.XLOOKUP(B42,'Base stats'!B:B,'Base stats'!AI:AI)=0,OR(AO42&lt;0.55,AND(BH42="Intermediate",_xlfn.XLOOKUP(_xlfn.XLOOKUP(B42,'Base stats'!B:B,'Base stats'!E:E),Groups!A:A,Groups!B:B)&lt;2))), (18 + BQ42 * 2.7),
      IF(OR(BH42="Advanced",_xlfn.XLOOKUP(B42,'Base stats'!B:B,'Base stats'!AI:AI)=1,_xlfn.XLOOKUP(_xlfn.XLOOKUP(B42,'Base stats'!B:B,'Base stats'!E:E),Groups!A:A,Groups!B:B)=2), (18 + BQ42 * 2.7) + 250, (18 + BQ42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IF(_xlfn.XLOOKUP(B42,'Base stats'!B:B,'Base stats'!AI:AI)=1,0.99,MIN(MROUND((1-0.6282*EXP(-0.459*AO42))*_xlfn.XLOOKUP(_xlfn.XLOOKUP(B42,'Base stats'!B:B,'Base stats'!E:E),Groups!A:A,Groups!C:C)*IF(_xlfn.XLOOKUP(B42,'Base stats'!B:B,'Base stats'!O:O)=1,0.5,IF(_xlfn.XLOOKUP(B42,'Base stats'!B:B,'Base stats'!O:O)=2,0,1)),0.05),0.985))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W42)),ISNUMBER(SEARCH("IceSheet",BW42))),-50,IF(OR(ISNUMBER(SEARCH("GlacialPlain",BW42)),ISNUMBER(SEARCH("Tundra",BW42))),-40,IF(OR(ISNUMBER(SEARCH("Alpine",BW42)),ISNUMBER(SEARCH("BorealForest",BW42)),ISNUMBER(SEARCH("ColdBog",BW42))),-30,IF(OR(ISNUMBER(SEARCH("TemperateForest",BW42)),ISNUMBER(SEARCH("TemperateSwamp",BW42))),-20,IF(_xlfn.XLOOKUP(_xlfn.XLOOKUP(B42,'Base stats'!B:B,'Base stats'!E:E),Groups!A:A,Groups!F:F)=1,-15,IF(OR(ISNUMBER(SEARCH("Desert",BW42)),ISNUMBER(SEARCH("ExtremeDesert",BW42))),-10,IF(OR(ISNUMBER(SEARCH("Grasslands",BW42)),ISNUMBER(SEARCH("TropicalRainforest",BW42)),ISNUMBER(SEARCH("TropicalSwamp",BW42))),10,0)))))))-IF(CB42="False",MIN(IFERROR(MAX(MROUND(LOG10(_xlfn.XLOOKUP(B42,'Base stats'!B:B,'Base stats'!C:C)^(2/3))*10,5),5),5),30))-_xlfn.XLOOKUP(B42,'Base stats'!B:B,'Base stats'!P:P)+IF(CB42="True",5,0)</f>
        <v>-60</v>
      </c>
      <c r="M42" s="2">
        <f>IF(OR(_xlfn.XLOOKUP(_xlfn.XLOOKUP(B42,'Base stats'!B:B,'Base stats'!E:E),Groups!A:A,Groups!G:G)=2,ISNUMBER(SEARCH("Desert",BW42)),ISNUMBER(SEARCH("ExtremeDesert",BW42)),ISNUMBER(SEARCH("LavaField",BW42))),50,IF(ISNUMBER(SEARCH("Grasslands",BW42)),45,IF(OR(_xlfn.XLOOKUP(_xlfn.XLOOKUP(B42,'Base stats'!B:B,'Base stats'!E:E),Groups!A:A,Groups!G:G)=1,ISNUMBER(SEARCH("TropicalRainforest",BW42)),ISNUMBER(SEARCH("TropicalSwamp",BW42))),40,IF(OR(ISNUMBER(SEARCH("TemperateForest",BW42)),ISNUMBER(SEARCH("TemperateSwamp",BW42))),35,IF(OR(ISNUMBER(SEARCH("Alpine",BW42)),ISNUMBER(SEARCH("BorealForest",BW42)),ISNUMBER(SEARCH("ColdBog",BW42))),30,IF(ISNUMBER(OR(ISNUMBER(SEARCH("GlacialPlain",BW42)),SEARCH("Tundra",BW42))),25,IF(OR(ISNUMBER(SEARCH("SeaIce",BW42)),ISNUMBER(SEARCH("IceSheet",BW42)),ISNUMBER(SEARCH("TropicalSwamp",BW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stats'!AO:AO))*(AO42^0.5)+(_xlfn.XLOOKUP(B42,'Base stats'!B:B,'Base stats'!AO:AO)/1000)^(2/3)+_xlfn.XLOOKUP(B42,'Base stats'!B:B,'Base stats'!AX:AX)/2)+0.5,0.5)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stats'!AP:AP))*(AO42^0.5)+(_xlfn.XLOOKUP(B42,'Base stats'!B:B,'Base stats'!AP:AP)/1000)^(2/3)+_xlfn.XLOOKUP(B42,'Base stats'!B:B,'Base stats'!AX:AX))+_xlfn.XLOOKUP(B42,'Base stats'!B:B,'Base stats'!AV:AV)+0.5,0.5))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stats'!AR:AR))*(AO42^0.5)+(_xlfn.XLOOKUP(B42,'Base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stats'!AQ:AQ)="No","No",MROUND((LOG10(_xlfn.XLOOKUP(B42,'Base stats'!B:B,'Base stats'!AQ:AQ))*(AO42^0.75)+(_xlfn.XLOOKUP(B42,'Base stats'!B:B,'Base stats'!AQ:AQ)/1000)^(2/3)+_xlfn.XLOOKUP(B42,'Base stats'!B:B,'Base stats'!AU:AU)+_xlfn.XLOOKUP(B42,'Base stats'!B:B,'Base stats'!AX:AX))+0.5,0.5))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stats'!AP:AP))*(AO42^0.75)+(_xlfn.XLOOKUP(B42,'Base stats'!B:B,'Base stats'!AP:AP)/1000)^(2/3)+_xlfn.XLOOKUP(B42,'Base stats'!B:B,'Base stats'!AV:AV)+_xlfn.XLOOKUP(B42,'Base stats'!B:B,'Base stats'!AX:AX))+0.5,0.5))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MAX(0.01,MROUND(IF(CB42="True",0.196*(AO42*100*1000)^0.889,IF(_xlfn.XLOOKUP(_xlfn.XLOOKUP(B42,'Base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stats'!AE:AE)</f>
        <v>Leather_Plain</v>
      </c>
      <c r="BB42" s="23" t="str">
        <f>_xlfn.XLOOKUP(_xlfn.XLOOKUP(B42,'Base stats'!B:B,'Base stats'!E:E),Groups!A:A,Groups!AL:AL)</f>
        <v>QuadrupedAnimalWithHooves</v>
      </c>
      <c r="BC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D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E42" s="2" t="str">
        <f>IF(J42&gt;0.3,"No",_xlfn.XLOOKUP(_xlfn.XLOOKUP(Animals!B42,'Base stats'!B:B,'Base stats'!E:E),Groups!A:A,Groups!AP:AP))</f>
        <v>No</v>
      </c>
      <c r="BF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+ 24*(1-IF(BE42="No",0,BE42)) + 16/3, 12),"No")</f>
        <v>No</v>
      </c>
      <c r="BG42" s="2">
        <f>IF(AND(_xlfn.XLOOKUP(_xlfn.XLOOKUP(B42,'Base stats'!B:B,'Base stats'!E:E),Groups!A:A,Groups!AQ:AQ)=1,AO42&lt;=0.35),8,12)</f>
        <v>12</v>
      </c>
      <c r="BH42" s="2" t="str">
        <f>IF(_xlfn.XLOOKUP(_xlfn.XLOOKUP(B42,'Base stats'!B:B,'Base stats'!E:E),Groups!A:A,Groups!D:D)=0,_xlfn.XLOOKUP(_xlfn.XLOOKUP(B42,'Base stats'!B:B,'Base stats'!E:E),Groups!A:A,Groups!AR:AR),"None")</f>
        <v>None</v>
      </c>
      <c r="BI42" s="2" t="str">
        <f>IF(AND(_xlfn.XLOOKUP(_xlfn.XLOOKUP(B42,'Base stats'!B:B,'Base stats'!E:E),Groups!A:A,Groups!AS:AS)=1,OR('Base stats'!Y42="Carnivore",'Base stats'!Y42="Omnivore")),"true","false")</f>
        <v>false</v>
      </c>
      <c r="BJ42" s="2" t="str">
        <f>IF(BI42="true",MROUND(IF(AND(AO42&gt;0.5,OR(_xlfn.XLOOKUP(_xlfn.XLOOKUP(B42,'Base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K42" s="2">
        <f t="shared" si="3"/>
        <v>0</v>
      </c>
      <c r="BL42" s="25" t="str">
        <f>IF(_xlfn.XLOOKUP(B42,'Base stats'!B:B,'Base stats'!AK:AK)="Standard","No",MROUND((_xlfn.XLOOKUP(B42,'Base stats'!B:B,'Base stats'!AK:AK)/3.6)/I42,0.1))</f>
        <v>No</v>
      </c>
      <c r="BM42" s="25" t="str">
        <f t="shared" si="4"/>
        <v>false</v>
      </c>
      <c r="BN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O42" s="25" t="str" cm="1">
        <f t="array" ref="BO42">IF(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 = "",
  "No",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
)</f>
        <v>No</v>
      </c>
      <c r="BP42" s="25" t="str">
        <f>IF(
   AND(
      'Base stats'!AK42="Standard",_xlfn.XLOOKUP(_xlfn.XLOOKUP(B42,'Base stats'!B:B,'Base stats'!E:E),Groups!A:A,Groups!AU:AU)=0,
      OR(
      BN42="True"
      )
   ),
   10,
   IF(
       OR(BL42&lt;&gt;"No",_xlfn.XLOOKUP(_xlfn.XLOOKUP(B42,'Base stats'!B:B,'Base stats'!E:E),Groups!A:A,Groups!AU:AU)=1),
      1,
      "No"
   )
)</f>
        <v>No</v>
      </c>
      <c r="BQ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stats'!AS:AS) * 1.8) * 2) * 2.5 + 10 + I42 * 2,5)+IF(_xlfn.XLOOKUP(B42,'Base stats'!B:B,'Base stats'!AH:AH)=1,50,0)</f>
        <v>205</v>
      </c>
      <c r="BR42" s="8">
        <f t="shared" si="5"/>
        <v>1.5</v>
      </c>
      <c r="BS42" s="8" t="str">
        <f>_xlfn.XLOOKUP(B42,'Base stats'!B:B,'Base stats'!AD:AD)</f>
        <v>5~15</v>
      </c>
      <c r="BT42" s="2" t="str">
        <f>IF(AND(J42&lt;=0.95,OR(_xlfn.XLOOKUP(B42,'Base stats'!B:B,'Base stats'!AH:AH)=1,_xlfn.XLOOKUP(B42,'Base stats'!B:B,'Base stats'!Y:Y)="Carnivore",_xlfn.XLOOKUP(B42,'Base stats'!B:B,'Base stats'!Y:Y)="Omnivore",BD42&gt;0.1)),"true","false")</f>
        <v>false</v>
      </c>
      <c r="BU42" s="2" t="str">
        <f>IF(_xlfn.XLOOKUP(B42,'Base stats'!B:B,'Base stats'!AF:AF)=1,"true","false")</f>
        <v>true</v>
      </c>
      <c r="BV42" s="25" t="str">
        <f>IF(E42="BaseInsect","AnimalInsect",
IF(J42&gt;0.95,"AnimalExotic",
_xlfn.TEXTJOIN(", ",TRUE,
IF(OR(_xlfn.XLOOKUP(B42,'Base stats'!B:B,'Base stats'!AJ:AJ)=1,AND(_xlfn.XLOOKUP(B42,'Base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stats'!AH:AH)=1,AND(BH42&lt;&gt;"None",BQ42&gt;=60),ISNUMBER(SEARCH("Attack target",BO42))),"AnimalFighter","")
)))</f>
        <v>AnimalCommon</v>
      </c>
      <c r="BW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),_xlfn.XLOOKUP(B42,B:B,BW:BW))</f>
        <v>BorealForest ColdBog TemperateForest TemperateSwamp Grasslands GlacialPlain</v>
      </c>
      <c r="BX42" s="25" t="str">
        <f>IF(_xlfn.XLOOKUP(B42,'Base stats'!B:B,'Base stats'!AG:AG)=1,"true","false")</f>
        <v>false</v>
      </c>
      <c r="BY42" s="25">
        <f>IF(_xlfn.XLOOKUP(B42,'Base stats'!B:B,'Base stats'!N:N)=1,"No",MAX(0.01,MIN(MROUND(IF(OR(_xlfn.XLOOKUP(B42,'Base stats'!B:B,'Base stats'!AJ:AJ)=1,AND(BI42="True",CB42="False")),POWER(10,3.47*LOG10(_xlfn.XLOOKUP(B42,'Base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stats'!AH:AH)=1),0.5,1)/100,0.025),1)))</f>
        <v>0.15000000000000002</v>
      </c>
      <c r="BZ42" s="25" t="str">
        <f>IF(P42="Standard","No",MAX(0.01,IF(_xlfn.XLOOKUP(B42,'Base stats'!B:B,'Base stats'!N:N)=0,MROUND(BY42*P42,0.05),MIN(1,MAX(0.025,MROUND(IF(OR(CB42="true",AND(BI42="false",BN42="false")),POWER(10,4.15*LOG10(_xlfn.XLOOKUP(B42,'Base stats'!B:B,'Base stats'!C:C)*1000)^-0.73),POWER(10,3.47*LOG10(_xlfn.XLOOKUP(B42,'Base stats'!B:B,'Base stats'!C:C)*1000)^-0.96))*IF(_xlfn.XLOOKUP(B42,'Base stats'!B:B,'Base stats'!AH:AH)=1,0.5,1)/100,0.025))))))</f>
        <v>No</v>
      </c>
      <c r="CA42" s="25" t="str">
        <f>IF(_xlfn.XLOOKUP(_xlfn.XLOOKUP(B42,'Base stats'!B:B,'Base stats'!E:E),Groups!A:A,Groups!AJ:AJ)="Mammal","True","False")</f>
        <v>True</v>
      </c>
      <c r="CB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C42" s="25" t="str">
        <f t="shared" si="6"/>
        <v>False</v>
      </c>
      <c r="CD42" s="25" t="str">
        <f>IF(_xlfn.XLOOKUP(_xlfn.XLOOKUP(B42,'Base stats'!B:B,'Base stats'!E:E),Groups!A:A,Groups!AX:AX),"True","False")</f>
        <v>False</v>
      </c>
      <c r="CE42" s="25" t="str">
        <f>IF(_xlfn.XLOOKUP(_xlfn.XLOOKUP(B42,'Base stats'!B:B,'Base stats'!E:E),Groups!A:A,Groups!AY:AY),"True","False")</f>
        <v>False</v>
      </c>
      <c r="CF42" s="25" t="str">
        <f>IF(_xlfn.XLOOKUP(_xlfn.XLOOKUP(B42,'Base stats'!B:B,'Base stats'!E:E),Groups!A:A,Groups!AW:AW),"True","False")</f>
        <v>False</v>
      </c>
      <c r="CG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H42" s="25" t="str">
        <f>IF(_xlfn.XLOOKUP(_xlfn.XLOOKUP(B42,'Base stats'!B:B,'Base stats'!E:E),Groups!A:A,Groups!BB:BB),"True","False")</f>
        <v>True</v>
      </c>
      <c r="CI42" s="25" t="str">
        <f>IF(_xlfn.XLOOKUP(_xlfn.XLOOKUP(B42,'Base stats'!B:B,'Base stats'!E:E),Groups!A:A,Groups!BA:BA),"True","False")</f>
        <v>False</v>
      </c>
    </row>
    <row r="43" spans="1:87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stats'!AI:AI)=0,BH43="None",_xlfn.XLOOKUP(_xlfn.XLOOKUP(B43,'Base stats'!B:B,'Base stats'!E:E),Groups!A:A,Groups!B:B)=0), (18 + BQ43 * 2.7) * 0.5,
    IF(AND(_xlfn.XLOOKUP(B43,'Base stats'!B:B,'Base stats'!AI:AI)=0,OR(AO43&lt;0.55,AND(BH43="Intermediate",_xlfn.XLOOKUP(_xlfn.XLOOKUP(B43,'Base stats'!B:B,'Base stats'!E:E),Groups!A:A,Groups!B:B)&lt;2))), (18 + BQ43 * 2.7),
      IF(OR(BH43="Advanced",_xlfn.XLOOKUP(B43,'Base stats'!B:B,'Base stats'!AI:AI)=1,_xlfn.XLOOKUP(_xlfn.XLOOKUP(B43,'Base stats'!B:B,'Base stats'!E:E),Groups!A:A,Groups!B:B)=2), (18 + BQ43 * 2.7) + 250, (18 + BQ43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IF(_xlfn.XLOOKUP(B43,'Base stats'!B:B,'Base stats'!AI:AI)=1,0.99,MIN(MROUND((1-0.6282*EXP(-0.459*AO43))*_xlfn.XLOOKUP(_xlfn.XLOOKUP(B43,'Base stats'!B:B,'Base stats'!E:E),Groups!A:A,Groups!C:C)*IF(_xlfn.XLOOKUP(B43,'Base stats'!B:B,'Base stats'!O:O)=1,0.5,IF(_xlfn.XLOOKUP(B43,'Base stats'!B:B,'Base stats'!O:O)=2,0,1)),0.05),0.985))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W43)),ISNUMBER(SEARCH("IceSheet",BW43))),-50,IF(OR(ISNUMBER(SEARCH("GlacialPlain",BW43)),ISNUMBER(SEARCH("Tundra",BW43))),-40,IF(OR(ISNUMBER(SEARCH("Alpine",BW43)),ISNUMBER(SEARCH("BorealForest",BW43)),ISNUMBER(SEARCH("ColdBog",BW43))),-30,IF(OR(ISNUMBER(SEARCH("TemperateForest",BW43)),ISNUMBER(SEARCH("TemperateSwamp",BW43))),-20,IF(_xlfn.XLOOKUP(_xlfn.XLOOKUP(B43,'Base stats'!B:B,'Base stats'!E:E),Groups!A:A,Groups!F:F)=1,-15,IF(OR(ISNUMBER(SEARCH("Desert",BW43)),ISNUMBER(SEARCH("ExtremeDesert",BW43))),-10,IF(OR(ISNUMBER(SEARCH("Grasslands",BW43)),ISNUMBER(SEARCH("TropicalRainforest",BW43)),ISNUMBER(SEARCH("TropicalSwamp",BW43))),10,0)))))))-IF(CB43="False",MIN(IFERROR(MAX(MROUND(LOG10(_xlfn.XLOOKUP(B43,'Base stats'!B:B,'Base stats'!C:C)^(2/3))*10,5),5),5),30))-_xlfn.XLOOKUP(B43,'Base stats'!B:B,'Base stats'!P:P)+IF(CB43="True",5,0)</f>
        <v>-35</v>
      </c>
      <c r="M43" s="2">
        <f>IF(OR(_xlfn.XLOOKUP(_xlfn.XLOOKUP(B43,'Base stats'!B:B,'Base stats'!E:E),Groups!A:A,Groups!G:G)=2,ISNUMBER(SEARCH("Desert",BW43)),ISNUMBER(SEARCH("ExtremeDesert",BW43)),ISNUMBER(SEARCH("LavaField",BW43))),50,IF(ISNUMBER(SEARCH("Grasslands",BW43)),45,IF(OR(_xlfn.XLOOKUP(_xlfn.XLOOKUP(B43,'Base stats'!B:B,'Base stats'!E:E),Groups!A:A,Groups!G:G)=1,ISNUMBER(SEARCH("TropicalRainforest",BW43)),ISNUMBER(SEARCH("TropicalSwamp",BW43))),40,IF(OR(ISNUMBER(SEARCH("TemperateForest",BW43)),ISNUMBER(SEARCH("TemperateSwamp",BW43))),35,IF(OR(ISNUMBER(SEARCH("Alpine",BW43)),ISNUMBER(SEARCH("BorealForest",BW43)),ISNUMBER(SEARCH("ColdBog",BW43))),30,IF(ISNUMBER(OR(ISNUMBER(SEARCH("GlacialPlain",BW43)),SEARCH("Tundra",BW43))),25,IF(OR(ISNUMBER(SEARCH("SeaIce",BW43)),ISNUMBER(SEARCH("IceSheet",BW43)),ISNUMBER(SEARCH("TropicalSwamp",BW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stats'!AO:AO))*(AO43^0.5)+(_xlfn.XLOOKUP(B43,'Base stats'!B:B,'Base stats'!AO:AO)/1000)^(2/3)+_xlfn.XLOOKUP(B43,'Base stats'!B:B,'Base stats'!AX:AX)/2)+0.5,0.5)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stats'!AP:AP))*(AO43^0.5)+(_xlfn.XLOOKUP(B43,'Base stats'!B:B,'Base stats'!AP:AP)/1000)^(2/3)+_xlfn.XLOOKUP(B43,'Base stats'!B:B,'Base stats'!AX:AX))+_xlfn.XLOOKUP(B43,'Base stats'!B:B,'Base stats'!AV:AV)+0.5,0.5))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stats'!AR:AR))*(AO43^0.5)+(_xlfn.XLOOKUP(B43,'Base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stats'!AQ:AQ)="No","No",MROUND((LOG10(_xlfn.XLOOKUP(B43,'Base stats'!B:B,'Base stats'!AQ:AQ))*(AO43^0.75)+(_xlfn.XLOOKUP(B43,'Base stats'!B:B,'Base stats'!AQ:AQ)/1000)^(2/3)+_xlfn.XLOOKUP(B43,'Base stats'!B:B,'Base stats'!AU:AU)+_xlfn.XLOOKUP(B43,'Base stats'!B:B,'Base stats'!AX:AX))+0.5,0.5))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stats'!AP:AP))*(AO43^0.75)+(_xlfn.XLOOKUP(B43,'Base stats'!B:B,'Base stats'!AP:AP)/1000)^(2/3)+_xlfn.XLOOKUP(B43,'Base stats'!B:B,'Base stats'!AV:AV)+_xlfn.XLOOKUP(B43,'Base stats'!B:B,'Base stats'!AX:AX))+0.5,0.5))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MAX(0.01,MROUND(IF(CB43="True",0.196*(AO43*100*1000)^0.889,IF(_xlfn.XLOOKUP(_xlfn.XLOOKUP(B43,'Base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stats'!AE:AE)</f>
        <v>Leather_Plain</v>
      </c>
      <c r="BB43" s="23" t="str">
        <f>_xlfn.XLOOKUP(_xlfn.XLOOKUP(B43,'Base stats'!B:B,'Base stats'!E:E),Groups!A:A,Groups!AL:AL)</f>
        <v>QuadrupedAnimalWithHooves</v>
      </c>
      <c r="BC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D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E43" s="2" t="str">
        <f>IF(J43&gt;0.3,"No",_xlfn.XLOOKUP(_xlfn.XLOOKUP(Animals!B43,'Base stats'!B:B,'Base stats'!E:E),Groups!A:A,Groups!AP:AP))</f>
        <v>No</v>
      </c>
      <c r="BF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+ 24*(1-IF(BE43="No",0,BE43)) + 16/3, 12),"No")</f>
        <v>No</v>
      </c>
      <c r="BG43" s="2">
        <f>IF(AND(_xlfn.XLOOKUP(_xlfn.XLOOKUP(B43,'Base stats'!B:B,'Base stats'!E:E),Groups!A:A,Groups!AQ:AQ)=1,AO43&lt;=0.35),8,12)</f>
        <v>12</v>
      </c>
      <c r="BH43" s="2" t="str">
        <f>IF(_xlfn.XLOOKUP(_xlfn.XLOOKUP(B43,'Base stats'!B:B,'Base stats'!E:E),Groups!A:A,Groups!D:D)=0,_xlfn.XLOOKUP(_xlfn.XLOOKUP(B43,'Base stats'!B:B,'Base stats'!E:E),Groups!A:A,Groups!AR:AR),"None")</f>
        <v>None</v>
      </c>
      <c r="BI43" s="2" t="str">
        <f>IF(AND(_xlfn.XLOOKUP(_xlfn.XLOOKUP(B43,'Base stats'!B:B,'Base stats'!E:E),Groups!A:A,Groups!AS:AS)=1,OR('Base stats'!Y43="Carnivore",'Base stats'!Y43="Omnivore")),"true","false")</f>
        <v>false</v>
      </c>
      <c r="BJ43" s="2" t="str">
        <f>IF(BI43="true",MROUND(IF(AND(AO43&gt;0.5,OR(_xlfn.XLOOKUP(_xlfn.XLOOKUP(B43,'Base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K43" s="2">
        <f t="shared" si="3"/>
        <v>0</v>
      </c>
      <c r="BL43" s="25" t="str">
        <f>IF(_xlfn.XLOOKUP(B43,'Base stats'!B:B,'Base stats'!AK:AK)="Standard","No",MROUND((_xlfn.XLOOKUP(B43,'Base stats'!B:B,'Base stats'!AK:AK)/3.6)/I43,0.1))</f>
        <v>No</v>
      </c>
      <c r="BM43" s="25" t="str">
        <f t="shared" si="4"/>
        <v>false</v>
      </c>
      <c r="BN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O43" s="25" t="str" cm="1">
        <f t="array" ref="BO43">IF(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 = "",
  "No",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
)</f>
        <v>No</v>
      </c>
      <c r="BP43" s="25" t="str">
        <f>IF(
   AND(
      'Base stats'!AK43="Standard",_xlfn.XLOOKUP(_xlfn.XLOOKUP(B43,'Base stats'!B:B,'Base stats'!E:E),Groups!A:A,Groups!AU:AU)=0,
      OR(
      BN43="True"
      )
   ),
   10,
   IF(
       OR(BL43&lt;&gt;"No",_xlfn.XLOOKUP(_xlfn.XLOOKUP(B43,'Base stats'!B:B,'Base stats'!E:E),Groups!A:A,Groups!AU:AU)=1),
      1,
      "No"
   )
)</f>
        <v>No</v>
      </c>
      <c r="BQ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stats'!AS:AS) * 1.8) * 2) * 2.5 + 10 + I43 * 2,5)+IF(_xlfn.XLOOKUP(B43,'Base stats'!B:B,'Base stats'!AH:AH)=1,50,0)</f>
        <v>185</v>
      </c>
      <c r="BR43" s="8">
        <f t="shared" si="5"/>
        <v>1.5</v>
      </c>
      <c r="BS43" s="8" t="str">
        <f>_xlfn.XLOOKUP(B43,'Base stats'!B:B,'Base stats'!AD:AD)</f>
        <v>3~10</v>
      </c>
      <c r="BT43" s="2" t="str">
        <f>IF(AND(J43&lt;=0.95,OR(_xlfn.XLOOKUP(B43,'Base stats'!B:B,'Base stats'!AH:AH)=1,_xlfn.XLOOKUP(B43,'Base stats'!B:B,'Base stats'!Y:Y)="Carnivore",_xlfn.XLOOKUP(B43,'Base stats'!B:B,'Base stats'!Y:Y)="Omnivore",BD43&gt;0.1)),"true","false")</f>
        <v>false</v>
      </c>
      <c r="BU43" s="2" t="str">
        <f>IF(_xlfn.XLOOKUP(B43,'Base stats'!B:B,'Base stats'!AF:AF)=1,"true","false")</f>
        <v>false</v>
      </c>
      <c r="BV43" s="25" t="str">
        <f>IF(E43="BaseInsect","AnimalInsect",
IF(J43&gt;0.95,"AnimalExotic",
_xlfn.TEXTJOIN(", ",TRUE,
IF(OR(_xlfn.XLOOKUP(B43,'Base stats'!B:B,'Base stats'!AJ:AJ)=1,AND(_xlfn.XLOOKUP(B43,'Base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stats'!AH:AH)=1,AND(BH43&lt;&gt;"None",BQ43&gt;=60),ISNUMBER(SEARCH("Attack target",BO43))),"AnimalFighter","")
)))</f>
        <v>AnimalCommon, AnimalFarm</v>
      </c>
      <c r="BW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),_xlfn.XLOOKUP(B43,B:B,BW:BW))</f>
        <v/>
      </c>
      <c r="BX43" s="25" t="str">
        <f>IF(_xlfn.XLOOKUP(B43,'Base stats'!B:B,'Base stats'!AG:AG)=1,"true","false")</f>
        <v>false</v>
      </c>
      <c r="BY43" s="25">
        <f>IF(_xlfn.XLOOKUP(B43,'Base stats'!B:B,'Base stats'!N:N)=1,"No",MAX(0.01,MIN(MROUND(IF(OR(_xlfn.XLOOKUP(B43,'Base stats'!B:B,'Base stats'!AJ:AJ)=1,AND(BI43="True",CB43="False")),POWER(10,3.47*LOG10(_xlfn.XLOOKUP(B43,'Base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stats'!AH:AH)=1),0.5,1)/100,0.025),1)))</f>
        <v>0.15000000000000002</v>
      </c>
      <c r="BZ43" s="25" t="str">
        <f>IF(P43="Standard","No",MAX(0.01,IF(_xlfn.XLOOKUP(B43,'Base stats'!B:B,'Base stats'!N:N)=0,MROUND(BY43*P43,0.05),MIN(1,MAX(0.025,MROUND(IF(OR(CB43="true",AND(BI43="false",BN43="false")),POWER(10,4.15*LOG10(_xlfn.XLOOKUP(B43,'Base stats'!B:B,'Base stats'!C:C)*1000)^-0.73),POWER(10,3.47*LOG10(_xlfn.XLOOKUP(B43,'Base stats'!B:B,'Base stats'!C:C)*1000)^-0.96))*IF(_xlfn.XLOOKUP(B43,'Base stats'!B:B,'Base stats'!AH:AH)=1,0.5,1)/100,0.025))))))</f>
        <v>No</v>
      </c>
      <c r="CA43" s="25" t="str">
        <f>IF(_xlfn.XLOOKUP(_xlfn.XLOOKUP(B43,'Base stats'!B:B,'Base stats'!E:E),Groups!A:A,Groups!AJ:AJ)="Mammal","True","False")</f>
        <v>True</v>
      </c>
      <c r="CB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C43" s="25" t="str">
        <f t="shared" si="6"/>
        <v>False</v>
      </c>
      <c r="CD43" s="25" t="str">
        <f>IF(_xlfn.XLOOKUP(_xlfn.XLOOKUP(B43,'Base stats'!B:B,'Base stats'!E:E),Groups!A:A,Groups!AX:AX),"True","False")</f>
        <v>False</v>
      </c>
      <c r="CE43" s="25" t="str">
        <f>IF(_xlfn.XLOOKUP(_xlfn.XLOOKUP(B43,'Base stats'!B:B,'Base stats'!E:E),Groups!A:A,Groups!AY:AY),"True","False")</f>
        <v>False</v>
      </c>
      <c r="CF43" s="25" t="str">
        <f>IF(_xlfn.XLOOKUP(_xlfn.XLOOKUP(B43,'Base stats'!B:B,'Base stats'!E:E),Groups!A:A,Groups!AW:AW),"True","False")</f>
        <v>False</v>
      </c>
      <c r="CG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H43" s="25" t="str">
        <f>IF(_xlfn.XLOOKUP(_xlfn.XLOOKUP(B43,'Base stats'!B:B,'Base stats'!E:E),Groups!A:A,Groups!BB:BB),"True","False")</f>
        <v>True</v>
      </c>
      <c r="CI43" s="25" t="str">
        <f>IF(_xlfn.XLOOKUP(_xlfn.XLOOKUP(B43,'Base stats'!B:B,'Base stats'!E:E),Groups!A:A,Groups!BA:BA),"True","False")</f>
        <v>False</v>
      </c>
    </row>
    <row r="44" spans="1:87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stats'!AI:AI)=0,BH44="None",_xlfn.XLOOKUP(_xlfn.XLOOKUP(B44,'Base stats'!B:B,'Base stats'!E:E),Groups!A:A,Groups!B:B)=0), (18 + BQ44 * 2.7) * 0.5,
    IF(AND(_xlfn.XLOOKUP(B44,'Base stats'!B:B,'Base stats'!AI:AI)=0,OR(AO44&lt;0.55,AND(BH44="Intermediate",_xlfn.XLOOKUP(_xlfn.XLOOKUP(B44,'Base stats'!B:B,'Base stats'!E:E),Groups!A:A,Groups!B:B)&lt;2))), (18 + BQ44 * 2.7),
      IF(OR(BH44="Advanced",_xlfn.XLOOKUP(B44,'Base stats'!B:B,'Base stats'!AI:AI)=1,_xlfn.XLOOKUP(_xlfn.XLOOKUP(B44,'Base stats'!B:B,'Base stats'!E:E),Groups!A:A,Groups!B:B)=2), (18 + BQ44 * 2.7) + 250, (18 + BQ44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IF(_xlfn.XLOOKUP(B44,'Base stats'!B:B,'Base stats'!AI:AI)=1,0.99,MIN(MROUND((1-0.6282*EXP(-0.459*AO44))*_xlfn.XLOOKUP(_xlfn.XLOOKUP(B44,'Base stats'!B:B,'Base stats'!E:E),Groups!A:A,Groups!C:C)*IF(_xlfn.XLOOKUP(B44,'Base stats'!B:B,'Base stats'!O:O)=1,0.5,IF(_xlfn.XLOOKUP(B44,'Base stats'!B:B,'Base stats'!O:O)=2,0,1)),0.05),0.985))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W44)),ISNUMBER(SEARCH("IceSheet",BW44))),-50,IF(OR(ISNUMBER(SEARCH("GlacialPlain",BW44)),ISNUMBER(SEARCH("Tundra",BW44))),-40,IF(OR(ISNUMBER(SEARCH("Alpine",BW44)),ISNUMBER(SEARCH("BorealForest",BW44)),ISNUMBER(SEARCH("ColdBog",BW44))),-30,IF(OR(ISNUMBER(SEARCH("TemperateForest",BW44)),ISNUMBER(SEARCH("TemperateSwamp",BW44))),-20,IF(_xlfn.XLOOKUP(_xlfn.XLOOKUP(B44,'Base stats'!B:B,'Base stats'!E:E),Groups!A:A,Groups!F:F)=1,-15,IF(OR(ISNUMBER(SEARCH("Desert",BW44)),ISNUMBER(SEARCH("ExtremeDesert",BW44))),-10,IF(OR(ISNUMBER(SEARCH("Grasslands",BW44)),ISNUMBER(SEARCH("TropicalRainforest",BW44)),ISNUMBER(SEARCH("TropicalSwamp",BW44))),10,0)))))))-IF(CB44="False",MIN(IFERROR(MAX(MROUND(LOG10(_xlfn.XLOOKUP(B44,'Base stats'!B:B,'Base stats'!C:C)^(2/3))*10,5),5),5),30))-_xlfn.XLOOKUP(B44,'Base stats'!B:B,'Base stats'!P:P)+IF(CB44="True",5,0)</f>
        <v>-55</v>
      </c>
      <c r="M44" s="2">
        <f>IF(OR(_xlfn.XLOOKUP(_xlfn.XLOOKUP(B44,'Base stats'!B:B,'Base stats'!E:E),Groups!A:A,Groups!G:G)=2,ISNUMBER(SEARCH("Desert",BW44)),ISNUMBER(SEARCH("ExtremeDesert",BW44)),ISNUMBER(SEARCH("LavaField",BW44))),50,IF(ISNUMBER(SEARCH("Grasslands",BW44)),45,IF(OR(_xlfn.XLOOKUP(_xlfn.XLOOKUP(B44,'Base stats'!B:B,'Base stats'!E:E),Groups!A:A,Groups!G:G)=1,ISNUMBER(SEARCH("TropicalRainforest",BW44)),ISNUMBER(SEARCH("TropicalSwamp",BW44))),40,IF(OR(ISNUMBER(SEARCH("TemperateForest",BW44)),ISNUMBER(SEARCH("TemperateSwamp",BW44))),35,IF(OR(ISNUMBER(SEARCH("Alpine",BW44)),ISNUMBER(SEARCH("BorealForest",BW44)),ISNUMBER(SEARCH("ColdBog",BW44))),30,IF(ISNUMBER(OR(ISNUMBER(SEARCH("GlacialPlain",BW44)),SEARCH("Tundra",BW44))),25,IF(OR(ISNUMBER(SEARCH("SeaIce",BW44)),ISNUMBER(SEARCH("IceSheet",BW44)),ISNUMBER(SEARCH("TropicalSwamp",BW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stats'!AO:AO))*(AO44^0.5)+(_xlfn.XLOOKUP(B44,'Base stats'!B:B,'Base stats'!AO:AO)/1000)^(2/3)+_xlfn.XLOOKUP(B44,'Base stats'!B:B,'Base stats'!AX:AX)/2)+0.5,0.5)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stats'!AP:AP))*(AO44^0.5)+(_xlfn.XLOOKUP(B44,'Base stats'!B:B,'Base stats'!AP:AP)/1000)^(2/3)+_xlfn.XLOOKUP(B44,'Base stats'!B:B,'Base stats'!AX:AX))+_xlfn.XLOOKUP(B44,'Base stats'!B:B,'Base stats'!AV:AV)+0.5,0.5))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stats'!AR:AR))*(AO44^0.5)+(_xlfn.XLOOKUP(B44,'Base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stats'!AQ:AQ)="No","No",MROUND((LOG10(_xlfn.XLOOKUP(B44,'Base stats'!B:B,'Base stats'!AQ:AQ))*(AO44^0.75)+(_xlfn.XLOOKUP(B44,'Base stats'!B:B,'Base stats'!AQ:AQ)/1000)^(2/3)+_xlfn.XLOOKUP(B44,'Base stats'!B:B,'Base stats'!AU:AU)+_xlfn.XLOOKUP(B44,'Base stats'!B:B,'Base stats'!AX:AX))+0.5,0.5))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stats'!AP:AP))*(AO44^0.75)+(_xlfn.XLOOKUP(B44,'Base stats'!B:B,'Base stats'!AP:AP)/1000)^(2/3)+_xlfn.XLOOKUP(B44,'Base stats'!B:B,'Base stats'!AV:AV)+_xlfn.XLOOKUP(B44,'Base stats'!B:B,'Base stats'!AX:AX))+0.5,0.5))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MAX(0.01,MROUND(IF(CB44="True",0.196*(AO44*100*1000)^0.889,IF(_xlfn.XLOOKUP(_xlfn.XLOOKUP(B44,'Base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stats'!AE:AE)</f>
        <v>Leather_Bluefur</v>
      </c>
      <c r="BB44" s="23" t="str">
        <f>_xlfn.XLOOKUP(_xlfn.XLOOKUP(B44,'Base stats'!B:B,'Base stats'!E:E),Groups!A:A,Groups!AL:AL)</f>
        <v>QuadrupedAnimalWithHooves</v>
      </c>
      <c r="BC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D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E44" s="2" t="str">
        <f>IF(J44&gt;0.3,"No",_xlfn.XLOOKUP(_xlfn.XLOOKUP(Animals!B44,'Base stats'!B:B,'Base stats'!E:E),Groups!A:A,Groups!AP:AP))</f>
        <v>No</v>
      </c>
      <c r="BF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+ 24*(1-IF(BE44="No",0,BE44)) + 16/3, 12),"No")</f>
        <v>No</v>
      </c>
      <c r="BG44" s="2">
        <f>IF(AND(_xlfn.XLOOKUP(_xlfn.XLOOKUP(B44,'Base stats'!B:B,'Base stats'!E:E),Groups!A:A,Groups!AQ:AQ)=1,AO44&lt;=0.35),8,12)</f>
        <v>12</v>
      </c>
      <c r="BH44" s="2" t="str">
        <f>IF(_xlfn.XLOOKUP(_xlfn.XLOOKUP(B44,'Base stats'!B:B,'Base stats'!E:E),Groups!A:A,Groups!D:D)=0,_xlfn.XLOOKUP(_xlfn.XLOOKUP(B44,'Base stats'!B:B,'Base stats'!E:E),Groups!A:A,Groups!AR:AR),"None")</f>
        <v>None</v>
      </c>
      <c r="BI44" s="2" t="str">
        <f>IF(AND(_xlfn.XLOOKUP(_xlfn.XLOOKUP(B44,'Base stats'!B:B,'Base stats'!E:E),Groups!A:A,Groups!AS:AS)=1,OR('Base stats'!Y44="Carnivore",'Base stats'!Y44="Omnivore")),"true","false")</f>
        <v>false</v>
      </c>
      <c r="BJ44" s="2" t="str">
        <f>IF(BI44="true",MROUND(IF(AND(AO44&gt;0.5,OR(_xlfn.XLOOKUP(_xlfn.XLOOKUP(B44,'Base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K44" s="2">
        <f t="shared" si="3"/>
        <v>0</v>
      </c>
      <c r="BL44" s="25" t="str">
        <f>IF(_xlfn.XLOOKUP(B44,'Base stats'!B:B,'Base stats'!AK:AK)="Standard","No",MROUND((_xlfn.XLOOKUP(B44,'Base stats'!B:B,'Base stats'!AK:AK)/3.6)/I44,0.1))</f>
        <v>No</v>
      </c>
      <c r="BM44" s="25" t="str">
        <f t="shared" si="4"/>
        <v>false</v>
      </c>
      <c r="BN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O44" s="25" t="str" cm="1">
        <f t="array" ref="BO44">IF(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 = "",
  "No",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
)</f>
        <v>No</v>
      </c>
      <c r="BP44" s="25" t="str">
        <f>IF(
   AND(
      'Base stats'!AK44="Standard",_xlfn.XLOOKUP(_xlfn.XLOOKUP(B44,'Base stats'!B:B,'Base stats'!E:E),Groups!A:A,Groups!AU:AU)=0,
      OR(
      BN44="True"
      )
   ),
   10,
   IF(
       OR(BL44&lt;&gt;"No",_xlfn.XLOOKUP(_xlfn.XLOOKUP(B44,'Base stats'!B:B,'Base stats'!E:E),Groups!A:A,Groups!AU:AU)=1),
      1,
      "No"
   )
)</f>
        <v>No</v>
      </c>
      <c r="BQ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stats'!AS:AS) * 1.8) * 2) * 2.5 + 10 + I44 * 2,5)+IF(_xlfn.XLOOKUP(B44,'Base stats'!B:B,'Base stats'!AH:AH)=1,50,0)</f>
        <v>160</v>
      </c>
      <c r="BR44" s="8">
        <f t="shared" si="5"/>
        <v>1.35</v>
      </c>
      <c r="BS44" s="8" t="str">
        <f>_xlfn.XLOOKUP(B44,'Base stats'!B:B,'Base stats'!AD:AD)</f>
        <v>3~10</v>
      </c>
      <c r="BT44" s="2" t="str">
        <f>IF(AND(J44&lt;=0.95,OR(_xlfn.XLOOKUP(B44,'Base stats'!B:B,'Base stats'!AH:AH)=1,_xlfn.XLOOKUP(B44,'Base stats'!B:B,'Base stats'!Y:Y)="Carnivore",_xlfn.XLOOKUP(B44,'Base stats'!B:B,'Base stats'!Y:Y)="Omnivore",BD44&gt;0.1)),"true","false")</f>
        <v>false</v>
      </c>
      <c r="BU44" s="2" t="str">
        <f>IF(_xlfn.XLOOKUP(B44,'Base stats'!B:B,'Base stats'!AF:AF)=1,"true","false")</f>
        <v>true</v>
      </c>
      <c r="BV44" s="25" t="str">
        <f>IF(E44="BaseInsect","AnimalInsect",
IF(J44&gt;0.95,"AnimalExotic",
_xlfn.TEXTJOIN(", ",TRUE,
IF(OR(_xlfn.XLOOKUP(B44,'Base stats'!B:B,'Base stats'!AJ:AJ)=1,AND(_xlfn.XLOOKUP(B44,'Base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stats'!AH:AH)=1,AND(BH44&lt;&gt;"None",BQ44&gt;=60),ISNUMBER(SEARCH("Attack target",BO44))),"AnimalFighter","")
)))</f>
        <v>AnimalCommon</v>
      </c>
      <c r="BW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),_xlfn.XLOOKUP(B44,B:B,BW:BW))</f>
        <v>Tundra BorealForest ColdBog TemperateForest TemperateSwamp GlacialPlain</v>
      </c>
      <c r="BX44" s="25" t="str">
        <f>IF(_xlfn.XLOOKUP(B44,'Base stats'!B:B,'Base stats'!AG:AG)=1,"true","false")</f>
        <v>false</v>
      </c>
      <c r="BY44" s="25">
        <f>IF(_xlfn.XLOOKUP(B44,'Base stats'!B:B,'Base stats'!N:N)=1,"No",MAX(0.01,MIN(MROUND(IF(OR(_xlfn.XLOOKUP(B44,'Base stats'!B:B,'Base stats'!AJ:AJ)=1,AND(BI44="True",CB44="False")),POWER(10,3.47*LOG10(_xlfn.XLOOKUP(B44,'Base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stats'!AH:AH)=1),0.5,1)/100,0.025),1)))</f>
        <v>0.15000000000000002</v>
      </c>
      <c r="BZ44" s="25" t="str">
        <f>IF(P44="Standard","No",MAX(0.01,IF(_xlfn.XLOOKUP(B44,'Base stats'!B:B,'Base stats'!N:N)=0,MROUND(BY44*P44,0.05),MIN(1,MAX(0.025,MROUND(IF(OR(CB44="true",AND(BI44="false",BN44="false")),POWER(10,4.15*LOG10(_xlfn.XLOOKUP(B44,'Base stats'!B:B,'Base stats'!C:C)*1000)^-0.73),POWER(10,3.47*LOG10(_xlfn.XLOOKUP(B44,'Base stats'!B:B,'Base stats'!C:C)*1000)^-0.96))*IF(_xlfn.XLOOKUP(B44,'Base stats'!B:B,'Base stats'!AH:AH)=1,0.5,1)/100,0.025))))))</f>
        <v>No</v>
      </c>
      <c r="CA44" s="25" t="str">
        <f>IF(_xlfn.XLOOKUP(_xlfn.XLOOKUP(B44,'Base stats'!B:B,'Base stats'!E:E),Groups!A:A,Groups!AJ:AJ)="Mammal","True","False")</f>
        <v>True</v>
      </c>
      <c r="CB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C44" s="25" t="str">
        <f t="shared" si="6"/>
        <v>False</v>
      </c>
      <c r="CD44" s="25" t="str">
        <f>IF(_xlfn.XLOOKUP(_xlfn.XLOOKUP(B44,'Base stats'!B:B,'Base stats'!E:E),Groups!A:A,Groups!AX:AX),"True","False")</f>
        <v>False</v>
      </c>
      <c r="CE44" s="25" t="str">
        <f>IF(_xlfn.XLOOKUP(_xlfn.XLOOKUP(B44,'Base stats'!B:B,'Base stats'!E:E),Groups!A:A,Groups!AY:AY),"True","False")</f>
        <v>False</v>
      </c>
      <c r="CF44" s="25" t="str">
        <f>IF(_xlfn.XLOOKUP(_xlfn.XLOOKUP(B44,'Base stats'!B:B,'Base stats'!E:E),Groups!A:A,Groups!AW:AW),"True","False")</f>
        <v>False</v>
      </c>
      <c r="CG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H44" s="25" t="str">
        <f>IF(_xlfn.XLOOKUP(_xlfn.XLOOKUP(B44,'Base stats'!B:B,'Base stats'!E:E),Groups!A:A,Groups!BB:BB),"True","False")</f>
        <v>True</v>
      </c>
      <c r="CI44" s="25" t="str">
        <f>IF(_xlfn.XLOOKUP(_xlfn.XLOOKUP(B44,'Base stats'!B:B,'Base stats'!E:E),Groups!A:A,Groups!BA:BA),"True","False")</f>
        <v>False</v>
      </c>
    </row>
    <row r="45" spans="1:87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stats'!AI:AI)=0,BH45="None",_xlfn.XLOOKUP(_xlfn.XLOOKUP(B45,'Base stats'!B:B,'Base stats'!E:E),Groups!A:A,Groups!B:B)=0), (18 + BQ45 * 2.7) * 0.5,
    IF(AND(_xlfn.XLOOKUP(B45,'Base stats'!B:B,'Base stats'!AI:AI)=0,OR(AO45&lt;0.55,AND(BH45="Intermediate",_xlfn.XLOOKUP(_xlfn.XLOOKUP(B45,'Base stats'!B:B,'Base stats'!E:E),Groups!A:A,Groups!B:B)&lt;2))), (18 + BQ45 * 2.7),
      IF(OR(BH45="Advanced",_xlfn.XLOOKUP(B45,'Base stats'!B:B,'Base stats'!AI:AI)=1,_xlfn.XLOOKUP(_xlfn.XLOOKUP(B45,'Base stats'!B:B,'Base stats'!E:E),Groups!A:A,Groups!B:B)=2), (18 + BQ45 * 2.7) + 250, (18 + BQ45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IF(_xlfn.XLOOKUP(B45,'Base stats'!B:B,'Base stats'!AI:AI)=1,0.99,MIN(MROUND((1-0.6282*EXP(-0.459*AO45))*_xlfn.XLOOKUP(_xlfn.XLOOKUP(B45,'Base stats'!B:B,'Base stats'!E:E),Groups!A:A,Groups!C:C)*IF(_xlfn.XLOOKUP(B45,'Base stats'!B:B,'Base stats'!O:O)=1,0.5,IF(_xlfn.XLOOKUP(B45,'Base stats'!B:B,'Base stats'!O:O)=2,0,1)),0.05),0.985))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W45)),ISNUMBER(SEARCH("IceSheet",BW45))),-50,IF(OR(ISNUMBER(SEARCH("GlacialPlain",BW45)),ISNUMBER(SEARCH("Tundra",BW45))),-40,IF(OR(ISNUMBER(SEARCH("Alpine",BW45)),ISNUMBER(SEARCH("BorealForest",BW45)),ISNUMBER(SEARCH("ColdBog",BW45))),-30,IF(OR(ISNUMBER(SEARCH("TemperateForest",BW45)),ISNUMBER(SEARCH("TemperateSwamp",BW45))),-20,IF(_xlfn.XLOOKUP(_xlfn.XLOOKUP(B45,'Base stats'!B:B,'Base stats'!E:E),Groups!A:A,Groups!F:F)=1,-15,IF(OR(ISNUMBER(SEARCH("Desert",BW45)),ISNUMBER(SEARCH("ExtremeDesert",BW45))),-10,IF(OR(ISNUMBER(SEARCH("Grasslands",BW45)),ISNUMBER(SEARCH("TropicalRainforest",BW45)),ISNUMBER(SEARCH("TropicalSwamp",BW45))),10,0)))))))-IF(CB45="False",MIN(IFERROR(MAX(MROUND(LOG10(_xlfn.XLOOKUP(B45,'Base stats'!B:B,'Base stats'!C:C)^(2/3))*10,5),5),5),30))-_xlfn.XLOOKUP(B45,'Base stats'!B:B,'Base stats'!P:P)+IF(CB45="True",5,0)</f>
        <v>-50</v>
      </c>
      <c r="M45" s="2">
        <f>IF(OR(_xlfn.XLOOKUP(_xlfn.XLOOKUP(B45,'Base stats'!B:B,'Base stats'!E:E),Groups!A:A,Groups!G:G)=2,ISNUMBER(SEARCH("Desert",BW45)),ISNUMBER(SEARCH("ExtremeDesert",BW45)),ISNUMBER(SEARCH("LavaField",BW45))),50,IF(ISNUMBER(SEARCH("Grasslands",BW45)),45,IF(OR(_xlfn.XLOOKUP(_xlfn.XLOOKUP(B45,'Base stats'!B:B,'Base stats'!E:E),Groups!A:A,Groups!G:G)=1,ISNUMBER(SEARCH("TropicalRainforest",BW45)),ISNUMBER(SEARCH("TropicalSwamp",BW45))),40,IF(OR(ISNUMBER(SEARCH("TemperateForest",BW45)),ISNUMBER(SEARCH("TemperateSwamp",BW45))),35,IF(OR(ISNUMBER(SEARCH("Alpine",BW45)),ISNUMBER(SEARCH("BorealForest",BW45)),ISNUMBER(SEARCH("ColdBog",BW45))),30,IF(ISNUMBER(OR(ISNUMBER(SEARCH("GlacialPlain",BW45)),SEARCH("Tundra",BW45))),25,IF(OR(ISNUMBER(SEARCH("SeaIce",BW45)),ISNUMBER(SEARCH("IceSheet",BW45)),ISNUMBER(SEARCH("TropicalSwamp",BW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stats'!AO:AO))*(AO45^0.5)+(_xlfn.XLOOKUP(B45,'Base stats'!B:B,'Base stats'!AO:AO)/1000)^(2/3)+_xlfn.XLOOKUP(B45,'Base stats'!B:B,'Base stats'!AX:AX)/2)+0.5,0.5)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stats'!AP:AP))*(AO45^0.5)+(_xlfn.XLOOKUP(B45,'Base stats'!B:B,'Base stats'!AP:AP)/1000)^(2/3)+_xlfn.XLOOKUP(B45,'Base stats'!B:B,'Base stats'!AX:AX))+_xlfn.XLOOKUP(B45,'Base stats'!B:B,'Base stats'!AV:AV)+0.5,0.5))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stats'!AR:AR))*(AO45^0.5)+(_xlfn.XLOOKUP(B45,'Base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stats'!AQ:AQ)="No","No",MROUND((LOG10(_xlfn.XLOOKUP(B45,'Base stats'!B:B,'Base stats'!AQ:AQ))*(AO45^0.75)+(_xlfn.XLOOKUP(B45,'Base stats'!B:B,'Base stats'!AQ:AQ)/1000)^(2/3)+_xlfn.XLOOKUP(B45,'Base stats'!B:B,'Base stats'!AU:AU)+_xlfn.XLOOKUP(B45,'Base stats'!B:B,'Base stats'!AX:AX))+0.5,0.5))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stats'!AP:AP))*(AO45^0.75)+(_xlfn.XLOOKUP(B45,'Base stats'!B:B,'Base stats'!AP:AP)/1000)^(2/3)+_xlfn.XLOOKUP(B45,'Base stats'!B:B,'Base stats'!AV:AV)+_xlfn.XLOOKUP(B45,'Base stats'!B:B,'Base stats'!AX:AX))+0.5,0.5))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MAX(0.01,MROUND(IF(CB45="True",0.196*(AO45*100*1000)^0.889,IF(_xlfn.XLOOKUP(_xlfn.XLOOKUP(B45,'Base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stats'!AE:AE)</f>
        <v>Leather_Plain</v>
      </c>
      <c r="BB45" s="23" t="str">
        <f>_xlfn.XLOOKUP(_xlfn.XLOOKUP(B45,'Base stats'!B:B,'Base stats'!E:E),Groups!A:A,Groups!AL:AL)</f>
        <v>QuadrupedAnimalWithHooves</v>
      </c>
      <c r="BC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D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E45" s="2" t="str">
        <f>IF(J45&gt;0.3,"No",_xlfn.XLOOKUP(_xlfn.XLOOKUP(Animals!B45,'Base stats'!B:B,'Base stats'!E:E),Groups!A:A,Groups!AP:AP))</f>
        <v>No</v>
      </c>
      <c r="BF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+ 24*(1-IF(BE45="No",0,BE45)) + 16/3, 12),"No")</f>
        <v>No</v>
      </c>
      <c r="BG45" s="2">
        <f>IF(AND(_xlfn.XLOOKUP(_xlfn.XLOOKUP(B45,'Base stats'!B:B,'Base stats'!E:E),Groups!A:A,Groups!AQ:AQ)=1,AO45&lt;=0.35),8,12)</f>
        <v>12</v>
      </c>
      <c r="BH45" s="2" t="str">
        <f>IF(_xlfn.XLOOKUP(_xlfn.XLOOKUP(B45,'Base stats'!B:B,'Base stats'!E:E),Groups!A:A,Groups!D:D)=0,_xlfn.XLOOKUP(_xlfn.XLOOKUP(B45,'Base stats'!B:B,'Base stats'!E:E),Groups!A:A,Groups!AR:AR),"None")</f>
        <v>None</v>
      </c>
      <c r="BI45" s="2" t="str">
        <f>IF(AND(_xlfn.XLOOKUP(_xlfn.XLOOKUP(B45,'Base stats'!B:B,'Base stats'!E:E),Groups!A:A,Groups!AS:AS)=1,OR('Base stats'!Y45="Carnivore",'Base stats'!Y45="Omnivore")),"true","false")</f>
        <v>false</v>
      </c>
      <c r="BJ45" s="2" t="str">
        <f>IF(BI45="true",MROUND(IF(AND(AO45&gt;0.5,OR(_xlfn.XLOOKUP(_xlfn.XLOOKUP(B45,'Base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K45" s="2">
        <f t="shared" si="3"/>
        <v>0</v>
      </c>
      <c r="BL45" s="25" t="str">
        <f>IF(_xlfn.XLOOKUP(B45,'Base stats'!B:B,'Base stats'!AK:AK)="Standard","No",MROUND((_xlfn.XLOOKUP(B45,'Base stats'!B:B,'Base stats'!AK:AK)/3.6)/I45,0.1))</f>
        <v>No</v>
      </c>
      <c r="BM45" s="25" t="str">
        <f t="shared" si="4"/>
        <v>false</v>
      </c>
      <c r="BN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O45" s="25" t="str" cm="1">
        <f t="array" ref="BO45">IF(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 = "",
  "No",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
)</f>
        <v>No</v>
      </c>
      <c r="BP45" s="25" t="str">
        <f>IF(
   AND(
      'Base stats'!AK45="Standard",_xlfn.XLOOKUP(_xlfn.XLOOKUP(B45,'Base stats'!B:B,'Base stats'!E:E),Groups!A:A,Groups!AU:AU)=0,
      OR(
      BN45="True"
      )
   ),
   10,
   IF(
       OR(BL45&lt;&gt;"No",_xlfn.XLOOKUP(_xlfn.XLOOKUP(B45,'Base stats'!B:B,'Base stats'!E:E),Groups!A:A,Groups!AU:AU)=1),
      1,
      "No"
   )
)</f>
        <v>No</v>
      </c>
      <c r="BQ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stats'!AS:AS) * 1.8) * 2) * 2.5 + 10 + I45 * 2,5)+IF(_xlfn.XLOOKUP(B45,'Base stats'!B:B,'Base stats'!AH:AH)=1,50,0)</f>
        <v>195</v>
      </c>
      <c r="BR45" s="8">
        <f t="shared" si="5"/>
        <v>1.5</v>
      </c>
      <c r="BS45" s="8" t="str">
        <f>_xlfn.XLOOKUP(B45,'Base stats'!B:B,'Base stats'!AD:AD)</f>
        <v>3~10</v>
      </c>
      <c r="BT45" s="2" t="str">
        <f>IF(AND(J45&lt;=0.95,OR(_xlfn.XLOOKUP(B45,'Base stats'!B:B,'Base stats'!AH:AH)=1,_xlfn.XLOOKUP(B45,'Base stats'!B:B,'Base stats'!Y:Y)="Carnivore",_xlfn.XLOOKUP(B45,'Base stats'!B:B,'Base stats'!Y:Y)="Omnivore",BD45&gt;0.1)),"true","false")</f>
        <v>false</v>
      </c>
      <c r="BU45" s="2" t="str">
        <f>IF(_xlfn.XLOOKUP(B45,'Base stats'!B:B,'Base stats'!AF:AF)=1,"true","false")</f>
        <v>true</v>
      </c>
      <c r="BV45" s="25" t="str">
        <f>IF(E45="BaseInsect","AnimalInsect",
IF(J45&gt;0.95,"AnimalExotic",
_xlfn.TEXTJOIN(", ",TRUE,
IF(OR(_xlfn.XLOOKUP(B45,'Base stats'!B:B,'Base stats'!AJ:AJ)=1,AND(_xlfn.XLOOKUP(B45,'Base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stats'!AH:AH)=1,AND(BH45&lt;&gt;"None",BQ45&gt;=60),ISNUMBER(SEARCH("Attack target",BO45))),"AnimalFighter","")
)))</f>
        <v>AnimalCommon, AnimalFarm</v>
      </c>
      <c r="BW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),_xlfn.XLOOKUP(B45,B:B,BW:BW))</f>
        <v>Alpine</v>
      </c>
      <c r="BX45" s="25" t="str">
        <f>IF(_xlfn.XLOOKUP(B45,'Base stats'!B:B,'Base stats'!AG:AG)=1,"true","false")</f>
        <v>false</v>
      </c>
      <c r="BY45" s="25">
        <f>IF(_xlfn.XLOOKUP(B45,'Base stats'!B:B,'Base stats'!N:N)=1,"No",MAX(0.01,MIN(MROUND(IF(OR(_xlfn.XLOOKUP(B45,'Base stats'!B:B,'Base stats'!AJ:AJ)=1,AND(BI45="True",CB45="False")),POWER(10,3.47*LOG10(_xlfn.XLOOKUP(B45,'Base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stats'!AH:AH)=1),0.5,1)/100,0.025),1)))</f>
        <v>0.15000000000000002</v>
      </c>
      <c r="BZ45" s="25" t="str">
        <f>IF(P45="Standard","No",MAX(0.01,IF(_xlfn.XLOOKUP(B45,'Base stats'!B:B,'Base stats'!N:N)=0,MROUND(BY45*P45,0.05),MIN(1,MAX(0.025,MROUND(IF(OR(CB45="true",AND(BI45="false",BN45="false")),POWER(10,4.15*LOG10(_xlfn.XLOOKUP(B45,'Base stats'!B:B,'Base stats'!C:C)*1000)^-0.73),POWER(10,3.47*LOG10(_xlfn.XLOOKUP(B45,'Base stats'!B:B,'Base stats'!C:C)*1000)^-0.96))*IF(_xlfn.XLOOKUP(B45,'Base stats'!B:B,'Base stats'!AH:AH)=1,0.5,1)/100,0.025))))))</f>
        <v>No</v>
      </c>
      <c r="CA45" s="25" t="str">
        <f>IF(_xlfn.XLOOKUP(_xlfn.XLOOKUP(B45,'Base stats'!B:B,'Base stats'!E:E),Groups!A:A,Groups!AJ:AJ)="Mammal","True","False")</f>
        <v>True</v>
      </c>
      <c r="CB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C45" s="25" t="str">
        <f t="shared" si="6"/>
        <v>False</v>
      </c>
      <c r="CD45" s="25" t="str">
        <f>IF(_xlfn.XLOOKUP(_xlfn.XLOOKUP(B45,'Base stats'!B:B,'Base stats'!E:E),Groups!A:A,Groups!AX:AX),"True","False")</f>
        <v>False</v>
      </c>
      <c r="CE45" s="25" t="str">
        <f>IF(_xlfn.XLOOKUP(_xlfn.XLOOKUP(B45,'Base stats'!B:B,'Base stats'!E:E),Groups!A:A,Groups!AY:AY),"True","False")</f>
        <v>False</v>
      </c>
      <c r="CF45" s="25" t="str">
        <f>IF(_xlfn.XLOOKUP(_xlfn.XLOOKUP(B45,'Base stats'!B:B,'Base stats'!E:E),Groups!A:A,Groups!AW:AW),"True","False")</f>
        <v>False</v>
      </c>
      <c r="CG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H45" s="25" t="str">
        <f>IF(_xlfn.XLOOKUP(_xlfn.XLOOKUP(B45,'Base stats'!B:B,'Base stats'!E:E),Groups!A:A,Groups!BB:BB),"True","False")</f>
        <v>True</v>
      </c>
      <c r="CI45" s="25" t="str">
        <f>IF(_xlfn.XLOOKUP(_xlfn.XLOOKUP(B45,'Base stats'!B:B,'Base stats'!E:E),Groups!A:A,Groups!BA:BA),"True","False")</f>
        <v>False</v>
      </c>
    </row>
    <row r="46" spans="1:87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stats'!AI:AI)=0,BH46="None",_xlfn.XLOOKUP(_xlfn.XLOOKUP(B46,'Base stats'!B:B,'Base stats'!E:E),Groups!A:A,Groups!B:B)=0), (18 + BQ46 * 2.7) * 0.5,
    IF(AND(_xlfn.XLOOKUP(B46,'Base stats'!B:B,'Base stats'!AI:AI)=0,OR(AO46&lt;0.55,AND(BH46="Intermediate",_xlfn.XLOOKUP(_xlfn.XLOOKUP(B46,'Base stats'!B:B,'Base stats'!E:E),Groups!A:A,Groups!B:B)&lt;2))), (18 + BQ46 * 2.7),
      IF(OR(BH46="Advanced",_xlfn.XLOOKUP(B46,'Base stats'!B:B,'Base stats'!AI:AI)=1,_xlfn.XLOOKUP(_xlfn.XLOOKUP(B46,'Base stats'!B:B,'Base stats'!E:E),Groups!A:A,Groups!B:B)=2), (18 + BQ46 * 2.7) + 250, (18 + BQ46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IF(_xlfn.XLOOKUP(B46,'Base stats'!B:B,'Base stats'!AI:AI)=1,0.99,MIN(MROUND((1-0.6282*EXP(-0.459*AO46))*_xlfn.XLOOKUP(_xlfn.XLOOKUP(B46,'Base stats'!B:B,'Base stats'!E:E),Groups!A:A,Groups!C:C)*IF(_xlfn.XLOOKUP(B46,'Base stats'!B:B,'Base stats'!O:O)=1,0.5,IF(_xlfn.XLOOKUP(B46,'Base stats'!B:B,'Base stats'!O:O)=2,0,1)),0.05),0.985))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W46)),ISNUMBER(SEARCH("IceSheet",BW46))),-50,IF(OR(ISNUMBER(SEARCH("GlacialPlain",BW46)),ISNUMBER(SEARCH("Tundra",BW46))),-40,IF(OR(ISNUMBER(SEARCH("Alpine",BW46)),ISNUMBER(SEARCH("BorealForest",BW46)),ISNUMBER(SEARCH("ColdBog",BW46))),-30,IF(OR(ISNUMBER(SEARCH("TemperateForest",BW46)),ISNUMBER(SEARCH("TemperateSwamp",BW46))),-20,IF(_xlfn.XLOOKUP(_xlfn.XLOOKUP(B46,'Base stats'!B:B,'Base stats'!E:E),Groups!A:A,Groups!F:F)=1,-15,IF(OR(ISNUMBER(SEARCH("Desert",BW46)),ISNUMBER(SEARCH("ExtremeDesert",BW46))),-10,IF(OR(ISNUMBER(SEARCH("Grasslands",BW46)),ISNUMBER(SEARCH("TropicalRainforest",BW46)),ISNUMBER(SEARCH("TropicalSwamp",BW46))),10,0)))))))-IF(CB46="False",MIN(IFERROR(MAX(MROUND(LOG10(_xlfn.XLOOKUP(B46,'Base stats'!B:B,'Base stats'!C:C)^(2/3))*10,5),5),5),30))-_xlfn.XLOOKUP(B46,'Base stats'!B:B,'Base stats'!P:P)+IF(CB46="True",5,0)</f>
        <v>-55</v>
      </c>
      <c r="M46" s="2">
        <f>IF(OR(_xlfn.XLOOKUP(_xlfn.XLOOKUP(B46,'Base stats'!B:B,'Base stats'!E:E),Groups!A:A,Groups!G:G)=2,ISNUMBER(SEARCH("Desert",BW46)),ISNUMBER(SEARCH("ExtremeDesert",BW46)),ISNUMBER(SEARCH("LavaField",BW46))),50,IF(ISNUMBER(SEARCH("Grasslands",BW46)),45,IF(OR(_xlfn.XLOOKUP(_xlfn.XLOOKUP(B46,'Base stats'!B:B,'Base stats'!E:E),Groups!A:A,Groups!G:G)=1,ISNUMBER(SEARCH("TropicalRainforest",BW46)),ISNUMBER(SEARCH("TropicalSwamp",BW46))),40,IF(OR(ISNUMBER(SEARCH("TemperateForest",BW46)),ISNUMBER(SEARCH("TemperateSwamp",BW46))),35,IF(OR(ISNUMBER(SEARCH("Alpine",BW46)),ISNUMBER(SEARCH("BorealForest",BW46)),ISNUMBER(SEARCH("ColdBog",BW46))),30,IF(ISNUMBER(OR(ISNUMBER(SEARCH("GlacialPlain",BW46)),SEARCH("Tundra",BW46))),25,IF(OR(ISNUMBER(SEARCH("SeaIce",BW46)),ISNUMBER(SEARCH("IceSheet",BW46)),ISNUMBER(SEARCH("TropicalSwamp",BW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stats'!AO:AO))*(AO46^0.5)+(_xlfn.XLOOKUP(B46,'Base stats'!B:B,'Base stats'!AO:AO)/1000)^(2/3)+_xlfn.XLOOKUP(B46,'Base stats'!B:B,'Base stats'!AX:AX)/2)+0.5,0.5)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stats'!AP:AP))*(AO46^0.5)+(_xlfn.XLOOKUP(B46,'Base stats'!B:B,'Base stats'!AP:AP)/1000)^(2/3)+_xlfn.XLOOKUP(B46,'Base stats'!B:B,'Base stats'!AX:AX))+_xlfn.XLOOKUP(B46,'Base stats'!B:B,'Base stats'!AV:AV)+0.5,0.5))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stats'!AR:AR))*(AO46^0.5)+(_xlfn.XLOOKUP(B46,'Base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stats'!AQ:AQ)="No","No",MROUND((LOG10(_xlfn.XLOOKUP(B46,'Base stats'!B:B,'Base stats'!AQ:AQ))*(AO46^0.75)+(_xlfn.XLOOKUP(B46,'Base stats'!B:B,'Base stats'!AQ:AQ)/1000)^(2/3)+_xlfn.XLOOKUP(B46,'Base stats'!B:B,'Base stats'!AU:AU)+_xlfn.XLOOKUP(B46,'Base stats'!B:B,'Base stats'!AX:AX))+0.5,0.5))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stats'!AP:AP))*(AO46^0.75)+(_xlfn.XLOOKUP(B46,'Base stats'!B:B,'Base stats'!AP:AP)/1000)^(2/3)+_xlfn.XLOOKUP(B46,'Base stats'!B:B,'Base stats'!AV:AV)+_xlfn.XLOOKUP(B46,'Base stats'!B:B,'Base stats'!AX:AX))+0.5,0.5))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MAX(0.01,MROUND(IF(CB46="True",0.196*(AO46*100*1000)^0.889,IF(_xlfn.XLOOKUP(_xlfn.XLOOKUP(B46,'Base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stats'!AE:AE)</f>
        <v>Leather_Plain</v>
      </c>
      <c r="BB46" s="23" t="str">
        <f>_xlfn.XLOOKUP(_xlfn.XLOOKUP(B46,'Base stats'!B:B,'Base stats'!E:E),Groups!A:A,Groups!AL:AL)</f>
        <v>QuadrupedAnimalWithHooves</v>
      </c>
      <c r="BC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D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E46" s="2" t="str">
        <f>IF(J46&gt;0.3,"No",_xlfn.XLOOKUP(_xlfn.XLOOKUP(Animals!B46,'Base stats'!B:B,'Base stats'!E:E),Groups!A:A,Groups!AP:AP))</f>
        <v>No</v>
      </c>
      <c r="BF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+ 24*(1-IF(BE46="No",0,BE46)) + 16/3, 12),"No")</f>
        <v>No</v>
      </c>
      <c r="BG46" s="2">
        <f>IF(AND(_xlfn.XLOOKUP(_xlfn.XLOOKUP(B46,'Base stats'!B:B,'Base stats'!E:E),Groups!A:A,Groups!AQ:AQ)=1,AO46&lt;=0.35),8,12)</f>
        <v>12</v>
      </c>
      <c r="BH46" s="2" t="str">
        <f>IF(_xlfn.XLOOKUP(_xlfn.XLOOKUP(B46,'Base stats'!B:B,'Base stats'!E:E),Groups!A:A,Groups!D:D)=0,_xlfn.XLOOKUP(_xlfn.XLOOKUP(B46,'Base stats'!B:B,'Base stats'!E:E),Groups!A:A,Groups!AR:AR),"None")</f>
        <v>None</v>
      </c>
      <c r="BI46" s="2" t="str">
        <f>IF(AND(_xlfn.XLOOKUP(_xlfn.XLOOKUP(B46,'Base stats'!B:B,'Base stats'!E:E),Groups!A:A,Groups!AS:AS)=1,OR('Base stats'!Y46="Carnivore",'Base stats'!Y46="Omnivore")),"true","false")</f>
        <v>false</v>
      </c>
      <c r="BJ46" s="2" t="str">
        <f>IF(BI46="true",MROUND(IF(AND(AO46&gt;0.5,OR(_xlfn.XLOOKUP(_xlfn.XLOOKUP(B46,'Base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K46" s="2">
        <f t="shared" si="3"/>
        <v>0</v>
      </c>
      <c r="BL46" s="25" t="str">
        <f>IF(_xlfn.XLOOKUP(B46,'Base stats'!B:B,'Base stats'!AK:AK)="Standard","No",MROUND((_xlfn.XLOOKUP(B46,'Base stats'!B:B,'Base stats'!AK:AK)/3.6)/I46,0.1))</f>
        <v>No</v>
      </c>
      <c r="BM46" s="25" t="str">
        <f t="shared" si="4"/>
        <v>false</v>
      </c>
      <c r="BN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O46" s="25" t="str" cm="1">
        <f t="array" ref="BO46">IF(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 = "",
  "No",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
)</f>
        <v>No</v>
      </c>
      <c r="BP46" s="25" t="str">
        <f>IF(
   AND(
      'Base stats'!AK46="Standard",_xlfn.XLOOKUP(_xlfn.XLOOKUP(B46,'Base stats'!B:B,'Base stats'!E:E),Groups!A:A,Groups!AU:AU)=0,
      OR(
      BN46="True"
      )
   ),
   10,
   IF(
       OR(BL46&lt;&gt;"No",_xlfn.XLOOKUP(_xlfn.XLOOKUP(B46,'Base stats'!B:B,'Base stats'!E:E),Groups!A:A,Groups!AU:AU)=1),
      1,
      "No"
   )
)</f>
        <v>No</v>
      </c>
      <c r="BQ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stats'!AS:AS) * 1.8) * 2) * 2.5 + 10 + I46 * 2,5)+IF(_xlfn.XLOOKUP(B46,'Base stats'!B:B,'Base stats'!AH:AH)=1,50,0)</f>
        <v>130</v>
      </c>
      <c r="BR46" s="8">
        <f t="shared" si="5"/>
        <v>1.05</v>
      </c>
      <c r="BS46" s="8" t="str">
        <f>_xlfn.XLOOKUP(B46,'Base stats'!B:B,'Base stats'!AD:AD)</f>
        <v>3~10</v>
      </c>
      <c r="BT46" s="2" t="str">
        <f>IF(AND(J46&lt;=0.95,OR(_xlfn.XLOOKUP(B46,'Base stats'!B:B,'Base stats'!AH:AH)=1,_xlfn.XLOOKUP(B46,'Base stats'!B:B,'Base stats'!Y:Y)="Carnivore",_xlfn.XLOOKUP(B46,'Base stats'!B:B,'Base stats'!Y:Y)="Omnivore",BD46&gt;0.1)),"true","false")</f>
        <v>false</v>
      </c>
      <c r="BU46" s="2" t="str">
        <f>IF(_xlfn.XLOOKUP(B46,'Base stats'!B:B,'Base stats'!AF:AF)=1,"true","false")</f>
        <v>false</v>
      </c>
      <c r="BV46" s="25" t="str">
        <f>IF(E46="BaseInsect","AnimalInsect",
IF(J46&gt;0.95,"AnimalExotic",
_xlfn.TEXTJOIN(", ",TRUE,
IF(OR(_xlfn.XLOOKUP(B46,'Base stats'!B:B,'Base stats'!AJ:AJ)=1,AND(_xlfn.XLOOKUP(B46,'Base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stats'!AH:AH)=1,AND(BH46&lt;&gt;"None",BQ46&gt;=60),ISNUMBER(SEARCH("Attack target",BO46))),"AnimalFighter","")
)))</f>
        <v>AnimalCommon</v>
      </c>
      <c r="BW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),_xlfn.XLOOKUP(B46,B:B,BW:BW))</f>
        <v>BorealForest ColdBog TemperateForest TemperateSwamp GlacialPlain</v>
      </c>
      <c r="BX46" s="25" t="str">
        <f>IF(_xlfn.XLOOKUP(B46,'Base stats'!B:B,'Base stats'!AG:AG)=1,"true","false")</f>
        <v>false</v>
      </c>
      <c r="BY46" s="25">
        <f>IF(_xlfn.XLOOKUP(B46,'Base stats'!B:B,'Base stats'!N:N)=1,"No",MAX(0.01,MIN(MROUND(IF(OR(_xlfn.XLOOKUP(B46,'Base stats'!B:B,'Base stats'!AJ:AJ)=1,AND(BI46="True",CB46="False")),POWER(10,3.47*LOG10(_xlfn.XLOOKUP(B46,'Base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stats'!AH:AH)=1),0.5,1)/100,0.025),1)))</f>
        <v>0.17500000000000002</v>
      </c>
      <c r="BZ46" s="25" t="str">
        <f>IF(P46="Standard","No",MAX(0.01,IF(_xlfn.XLOOKUP(B46,'Base stats'!B:B,'Base stats'!N:N)=0,MROUND(BY46*P46,0.05),MIN(1,MAX(0.025,MROUND(IF(OR(CB46="true",AND(BI46="false",BN46="false")),POWER(10,4.15*LOG10(_xlfn.XLOOKUP(B46,'Base stats'!B:B,'Base stats'!C:C)*1000)^-0.73),POWER(10,3.47*LOG10(_xlfn.XLOOKUP(B46,'Base stats'!B:B,'Base stats'!C:C)*1000)^-0.96))*IF(_xlfn.XLOOKUP(B46,'Base stats'!B:B,'Base stats'!AH:AH)=1,0.5,1)/100,0.025))))))</f>
        <v>No</v>
      </c>
      <c r="CA46" s="25" t="str">
        <f>IF(_xlfn.XLOOKUP(_xlfn.XLOOKUP(B46,'Base stats'!B:B,'Base stats'!E:E),Groups!A:A,Groups!AJ:AJ)="Mammal","True","False")</f>
        <v>True</v>
      </c>
      <c r="CB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C46" s="25" t="str">
        <f t="shared" si="6"/>
        <v>False</v>
      </c>
      <c r="CD46" s="25" t="str">
        <f>IF(_xlfn.XLOOKUP(_xlfn.XLOOKUP(B46,'Base stats'!B:B,'Base stats'!E:E),Groups!A:A,Groups!AX:AX),"True","False")</f>
        <v>False</v>
      </c>
      <c r="CE46" s="25" t="str">
        <f>IF(_xlfn.XLOOKUP(_xlfn.XLOOKUP(B46,'Base stats'!B:B,'Base stats'!E:E),Groups!A:A,Groups!AY:AY),"True","False")</f>
        <v>False</v>
      </c>
      <c r="CF46" s="25" t="str">
        <f>IF(_xlfn.XLOOKUP(_xlfn.XLOOKUP(B46,'Base stats'!B:B,'Base stats'!E:E),Groups!A:A,Groups!AW:AW),"True","False")</f>
        <v>False</v>
      </c>
      <c r="CG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H46" s="25" t="str">
        <f>IF(_xlfn.XLOOKUP(_xlfn.XLOOKUP(B46,'Base stats'!B:B,'Base stats'!E:E),Groups!A:A,Groups!BB:BB),"True","False")</f>
        <v>True</v>
      </c>
      <c r="CI46" s="25" t="str">
        <f>IF(_xlfn.XLOOKUP(_xlfn.XLOOKUP(B46,'Base stats'!B:B,'Base stats'!E:E),Groups!A:A,Groups!BA:BA),"True","False")</f>
        <v>False</v>
      </c>
    </row>
    <row r="47" spans="1:87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stats'!AI:AI)=0,BH47="None",_xlfn.XLOOKUP(_xlfn.XLOOKUP(B47,'Base stats'!B:B,'Base stats'!E:E),Groups!A:A,Groups!B:B)=0), (18 + BQ47 * 2.7) * 0.5,
    IF(AND(_xlfn.XLOOKUP(B47,'Base stats'!B:B,'Base stats'!AI:AI)=0,OR(AO47&lt;0.55,AND(BH47="Intermediate",_xlfn.XLOOKUP(_xlfn.XLOOKUP(B47,'Base stats'!B:B,'Base stats'!E:E),Groups!A:A,Groups!B:B)&lt;2))), (18 + BQ47 * 2.7),
      IF(OR(BH47="Advanced",_xlfn.XLOOKUP(B47,'Base stats'!B:B,'Base stats'!AI:AI)=1,_xlfn.XLOOKUP(_xlfn.XLOOKUP(B47,'Base stats'!B:B,'Base stats'!E:E),Groups!A:A,Groups!B:B)=2), (18 + BQ47 * 2.7) + 250, (18 + BQ47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IF(_xlfn.XLOOKUP(B47,'Base stats'!B:B,'Base stats'!AI:AI)=1,0.99,MIN(MROUND((1-0.6282*EXP(-0.459*AO47))*_xlfn.XLOOKUP(_xlfn.XLOOKUP(B47,'Base stats'!B:B,'Base stats'!E:E),Groups!A:A,Groups!C:C)*IF(_xlfn.XLOOKUP(B47,'Base stats'!B:B,'Base stats'!O:O)=1,0.5,IF(_xlfn.XLOOKUP(B47,'Base stats'!B:B,'Base stats'!O:O)=2,0,1)),0.05),0.985))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W47)),ISNUMBER(SEARCH("IceSheet",BW47))),-50,IF(OR(ISNUMBER(SEARCH("GlacialPlain",BW47)),ISNUMBER(SEARCH("Tundra",BW47))),-40,IF(OR(ISNUMBER(SEARCH("Alpine",BW47)),ISNUMBER(SEARCH("BorealForest",BW47)),ISNUMBER(SEARCH("ColdBog",BW47))),-30,IF(OR(ISNUMBER(SEARCH("TemperateForest",BW47)),ISNUMBER(SEARCH("TemperateSwamp",BW47))),-20,IF(_xlfn.XLOOKUP(_xlfn.XLOOKUP(B47,'Base stats'!B:B,'Base stats'!E:E),Groups!A:A,Groups!F:F)=1,-15,IF(OR(ISNUMBER(SEARCH("Desert",BW47)),ISNUMBER(SEARCH("ExtremeDesert",BW47))),-10,IF(OR(ISNUMBER(SEARCH("Grasslands",BW47)),ISNUMBER(SEARCH("TropicalRainforest",BW47)),ISNUMBER(SEARCH("TropicalSwamp",BW47))),10,0)))))))-IF(CB47="False",MIN(IFERROR(MAX(MROUND(LOG10(_xlfn.XLOOKUP(B47,'Base stats'!B:B,'Base stats'!C:C)^(2/3))*10,5),5),5),30))-_xlfn.XLOOKUP(B47,'Base stats'!B:B,'Base stats'!P:P)+IF(CB47="True",5,0)</f>
        <v>-35</v>
      </c>
      <c r="M47" s="2">
        <f>IF(OR(_xlfn.XLOOKUP(_xlfn.XLOOKUP(B47,'Base stats'!B:B,'Base stats'!E:E),Groups!A:A,Groups!G:G)=2,ISNUMBER(SEARCH("Desert",BW47)),ISNUMBER(SEARCH("ExtremeDesert",BW47)),ISNUMBER(SEARCH("LavaField",BW47))),50,IF(ISNUMBER(SEARCH("Grasslands",BW47)),45,IF(OR(_xlfn.XLOOKUP(_xlfn.XLOOKUP(B47,'Base stats'!B:B,'Base stats'!E:E),Groups!A:A,Groups!G:G)=1,ISNUMBER(SEARCH("TropicalRainforest",BW47)),ISNUMBER(SEARCH("TropicalSwamp",BW47))),40,IF(OR(ISNUMBER(SEARCH("TemperateForest",BW47)),ISNUMBER(SEARCH("TemperateSwamp",BW47))),35,IF(OR(ISNUMBER(SEARCH("Alpine",BW47)),ISNUMBER(SEARCH("BorealForest",BW47)),ISNUMBER(SEARCH("ColdBog",BW47))),30,IF(ISNUMBER(OR(ISNUMBER(SEARCH("GlacialPlain",BW47)),SEARCH("Tundra",BW47))),25,IF(OR(ISNUMBER(SEARCH("SeaIce",BW47)),ISNUMBER(SEARCH("IceSheet",BW47)),ISNUMBER(SEARCH("TropicalSwamp",BW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stats'!AO:AO))*(AO47^0.5)+(_xlfn.XLOOKUP(B47,'Base stats'!B:B,'Base stats'!AO:AO)/1000)^(2/3)+_xlfn.XLOOKUP(B47,'Base stats'!B:B,'Base stats'!AX:AX)/2)+0.5,0.5)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stats'!AP:AP))*(AO47^0.5)+(_xlfn.XLOOKUP(B47,'Base stats'!B:B,'Base stats'!AP:AP)/1000)^(2/3)+_xlfn.XLOOKUP(B47,'Base stats'!B:B,'Base stats'!AX:AX))+_xlfn.XLOOKUP(B47,'Base stats'!B:B,'Base stats'!AV:AV)+0.5,0.5))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stats'!AR:AR))*(AO47^0.5)+(_xlfn.XLOOKUP(B47,'Base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stats'!AQ:AQ)="No","No",MROUND((LOG10(_xlfn.XLOOKUP(B47,'Base stats'!B:B,'Base stats'!AQ:AQ))*(AO47^0.75)+(_xlfn.XLOOKUP(B47,'Base stats'!B:B,'Base stats'!AQ:AQ)/1000)^(2/3)+_xlfn.XLOOKUP(B47,'Base stats'!B:B,'Base stats'!AU:AU)+_xlfn.XLOOKUP(B47,'Base stats'!B:B,'Base stats'!AX:AX))+0.5,0.5))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stats'!AP:AP))*(AO47^0.75)+(_xlfn.XLOOKUP(B47,'Base stats'!B:B,'Base stats'!AP:AP)/1000)^(2/3)+_xlfn.XLOOKUP(B47,'Base stats'!B:B,'Base stats'!AV:AV)+_xlfn.XLOOKUP(B47,'Base stats'!B:B,'Base stats'!AX:AX))+0.5,0.5))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MAX(0.01,MROUND(IF(CB47="True",0.196*(AO47*100*1000)^0.889,IF(_xlfn.XLOOKUP(_xlfn.XLOOKUP(B47,'Base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stats'!AE:AE)</f>
        <v>Leather_Plain</v>
      </c>
      <c r="BB47" s="23" t="str">
        <f>_xlfn.XLOOKUP(_xlfn.XLOOKUP(B47,'Base stats'!B:B,'Base stats'!E:E),Groups!A:A,Groups!AL:AL)</f>
        <v>QuadrupedAnimalWithHoovesAndHump</v>
      </c>
      <c r="BC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D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E47" s="2" t="str">
        <f>IF(J47&gt;0.3,"No",_xlfn.XLOOKUP(_xlfn.XLOOKUP(Animals!B47,'Base stats'!B:B,'Base stats'!E:E),Groups!A:A,Groups!AP:AP))</f>
        <v>No</v>
      </c>
      <c r="BF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+ 24*(1-IF(BE47="No",0,BE47)) + 16/3, 12),"No")</f>
        <v>No</v>
      </c>
      <c r="BG47" s="2">
        <f>IF(AND(_xlfn.XLOOKUP(_xlfn.XLOOKUP(B47,'Base stats'!B:B,'Base stats'!E:E),Groups!A:A,Groups!AQ:AQ)=1,AO47&lt;=0.35),8,12)</f>
        <v>12</v>
      </c>
      <c r="BH47" s="2" t="str">
        <f>IF(_xlfn.XLOOKUP(_xlfn.XLOOKUP(B47,'Base stats'!B:B,'Base stats'!E:E),Groups!A:A,Groups!D:D)=0,_xlfn.XLOOKUP(_xlfn.XLOOKUP(B47,'Base stats'!B:B,'Base stats'!E:E),Groups!A:A,Groups!AR:AR),"None")</f>
        <v>None</v>
      </c>
      <c r="BI47" s="2" t="str">
        <f>IF(AND(_xlfn.XLOOKUP(_xlfn.XLOOKUP(B47,'Base stats'!B:B,'Base stats'!E:E),Groups!A:A,Groups!AS:AS)=1,OR('Base stats'!Y47="Carnivore",'Base stats'!Y47="Omnivore")),"true","false")</f>
        <v>false</v>
      </c>
      <c r="BJ47" s="2" t="str">
        <f>IF(BI47="true",MROUND(IF(AND(AO47&gt;0.5,OR(_xlfn.XLOOKUP(_xlfn.XLOOKUP(B47,'Base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K47" s="2">
        <f t="shared" si="3"/>
        <v>0</v>
      </c>
      <c r="BL47" s="25" t="str">
        <f>IF(_xlfn.XLOOKUP(B47,'Base stats'!B:B,'Base stats'!AK:AK)="Standard","No",MROUND((_xlfn.XLOOKUP(B47,'Base stats'!B:B,'Base stats'!AK:AK)/3.6)/I47,0.1))</f>
        <v>No</v>
      </c>
      <c r="BM47" s="25" t="str">
        <f t="shared" si="4"/>
        <v>false</v>
      </c>
      <c r="BN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O47" s="25" t="str" cm="1">
        <f t="array" ref="BO47">IF(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 = "",
  "No",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
)</f>
        <v>No</v>
      </c>
      <c r="BP47" s="25" t="str">
        <f>IF(
   AND(
      'Base stats'!AK47="Standard",_xlfn.XLOOKUP(_xlfn.XLOOKUP(B47,'Base stats'!B:B,'Base stats'!E:E),Groups!A:A,Groups!AU:AU)=0,
      OR(
      BN47="True"
      )
   ),
   10,
   IF(
       OR(BL47&lt;&gt;"No",_xlfn.XLOOKUP(_xlfn.XLOOKUP(B47,'Base stats'!B:B,'Base stats'!E:E),Groups!A:A,Groups!AU:AU)=1),
      1,
      "No"
   )
)</f>
        <v>No</v>
      </c>
      <c r="BQ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stats'!AS:AS) * 1.8) * 2) * 2.5 + 10 + I47 * 2,5)+IF(_xlfn.XLOOKUP(B47,'Base stats'!B:B,'Base stats'!AH:AH)=1,50,0)</f>
        <v>145</v>
      </c>
      <c r="BR47" s="8">
        <f t="shared" si="5"/>
        <v>0.9</v>
      </c>
      <c r="BS47" s="8" t="str">
        <f>_xlfn.XLOOKUP(B47,'Base stats'!B:B,'Base stats'!AD:AD)</f>
        <v>2~6</v>
      </c>
      <c r="BT47" s="2" t="str">
        <f>IF(AND(J47&lt;=0.95,OR(_xlfn.XLOOKUP(B47,'Base stats'!B:B,'Base stats'!AH:AH)=1,_xlfn.XLOOKUP(B47,'Base stats'!B:B,'Base stats'!Y:Y)="Carnivore",_xlfn.XLOOKUP(B47,'Base stats'!B:B,'Base stats'!Y:Y)="Omnivore",BD47&gt;0.1)),"true","false")</f>
        <v>true</v>
      </c>
      <c r="BU47" s="2" t="str">
        <f>IF(_xlfn.XLOOKUP(B47,'Base stats'!B:B,'Base stats'!AF:AF)=1,"true","false")</f>
        <v>false</v>
      </c>
      <c r="BV47" s="25" t="str">
        <f>IF(E47="BaseInsect","AnimalInsect",
IF(J47&gt;0.95,"AnimalExotic",
_xlfn.TEXTJOIN(", ",TRUE,
IF(OR(_xlfn.XLOOKUP(B47,'Base stats'!B:B,'Base stats'!AJ:AJ)=1,AND(_xlfn.XLOOKUP(B47,'Base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stats'!AH:AH)=1,AND(BH47&lt;&gt;"None",BQ47&gt;=60),ISNUMBER(SEARCH("Attack target",BO47))),"AnimalFighter","")
)))</f>
        <v>AnimalCommon, AnimalFighter</v>
      </c>
      <c r="BW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),_xlfn.XLOOKUP(B47,B:B,BW:BW))</f>
        <v>TemperateForest TemperateSwamp AridShrubland Desert TropicalRainforest TropicalSwamp Grasslands Glowforest LavaField Scarlands</v>
      </c>
      <c r="BX47" s="25" t="str">
        <f>IF(_xlfn.XLOOKUP(B47,'Base stats'!B:B,'Base stats'!AG:AG)=1,"true","false")</f>
        <v>false</v>
      </c>
      <c r="BY47" s="25">
        <f>IF(_xlfn.XLOOKUP(B47,'Base stats'!B:B,'Base stats'!N:N)=1,"No",MAX(0.01,MIN(MROUND(IF(OR(_xlfn.XLOOKUP(B47,'Base stats'!B:B,'Base stats'!AJ:AJ)=1,AND(BI47="True",CB47="False")),POWER(10,3.47*LOG10(_xlfn.XLOOKUP(B47,'Base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stats'!AH:AH)=1),0.5,1)/100,0.025),1)))</f>
        <v>0.1</v>
      </c>
      <c r="BZ47" s="25">
        <f>IF(P47="Standard","No",MAX(0.01,IF(_xlfn.XLOOKUP(B47,'Base stats'!B:B,'Base stats'!N:N)=0,MROUND(BY47*P47,0.05),MIN(1,MAX(0.025,MROUND(IF(OR(CB47="true",AND(BI47="false",BN47="false")),POWER(10,4.15*LOG10(_xlfn.XLOOKUP(B47,'Base stats'!B:B,'Base stats'!C:C)*1000)^-0.73),POWER(10,3.47*LOG10(_xlfn.XLOOKUP(B47,'Base stats'!B:B,'Base stats'!C:C)*1000)^-0.96))*IF(_xlfn.XLOOKUP(B47,'Base stats'!B:B,'Base stats'!AH:AH)=1,0.5,1)/100,0.025))))))</f>
        <v>0.1</v>
      </c>
      <c r="CA47" s="25" t="str">
        <f>IF(_xlfn.XLOOKUP(_xlfn.XLOOKUP(B47,'Base stats'!B:B,'Base stats'!E:E),Groups!A:A,Groups!AJ:AJ)="Mammal","True","False")</f>
        <v>True</v>
      </c>
      <c r="CB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C47" s="25" t="str">
        <f t="shared" si="6"/>
        <v>False</v>
      </c>
      <c r="CD47" s="25" t="str">
        <f>IF(_xlfn.XLOOKUP(_xlfn.XLOOKUP(B47,'Base stats'!B:B,'Base stats'!E:E),Groups!A:A,Groups!AX:AX),"True","False")</f>
        <v>False</v>
      </c>
      <c r="CE47" s="25" t="str">
        <f>IF(_xlfn.XLOOKUP(_xlfn.XLOOKUP(B47,'Base stats'!B:B,'Base stats'!E:E),Groups!A:A,Groups!AY:AY),"True","False")</f>
        <v>False</v>
      </c>
      <c r="CF47" s="25" t="str">
        <f>IF(_xlfn.XLOOKUP(_xlfn.XLOOKUP(B47,'Base stats'!B:B,'Base stats'!E:E),Groups!A:A,Groups!AW:AW),"True","False")</f>
        <v>False</v>
      </c>
      <c r="CG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H47" s="25" t="str">
        <f>IF(_xlfn.XLOOKUP(_xlfn.XLOOKUP(B47,'Base stats'!B:B,'Base stats'!E:E),Groups!A:A,Groups!BB:BB),"True","False")</f>
        <v>True</v>
      </c>
      <c r="CI47" s="25" t="str">
        <f>IF(_xlfn.XLOOKUP(_xlfn.XLOOKUP(B47,'Base stats'!B:B,'Base stats'!E:E),Groups!A:A,Groups!BA:BA),"True","False")</f>
        <v>False</v>
      </c>
    </row>
    <row r="48" spans="1:87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stats'!AI:AI)=0,BH48="None",_xlfn.XLOOKUP(_xlfn.XLOOKUP(B48,'Base stats'!B:B,'Base stats'!E:E),Groups!A:A,Groups!B:B)=0), (18 + BQ48 * 2.7) * 0.5,
    IF(AND(_xlfn.XLOOKUP(B48,'Base stats'!B:B,'Base stats'!AI:AI)=0,OR(AO48&lt;0.55,AND(BH48="Intermediate",_xlfn.XLOOKUP(_xlfn.XLOOKUP(B48,'Base stats'!B:B,'Base stats'!E:E),Groups!A:A,Groups!B:B)&lt;2))), (18 + BQ48 * 2.7),
      IF(OR(BH48="Advanced",_xlfn.XLOOKUP(B48,'Base stats'!B:B,'Base stats'!AI:AI)=1,_xlfn.XLOOKUP(_xlfn.XLOOKUP(B48,'Base stats'!B:B,'Base stats'!E:E),Groups!A:A,Groups!B:B)=2), (18 + BQ48 * 2.7) + 250, (18 + BQ48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IF(_xlfn.XLOOKUP(B48,'Base stats'!B:B,'Base stats'!AI:AI)=1,0.99,MIN(MROUND((1-0.6282*EXP(-0.459*AO48))*_xlfn.XLOOKUP(_xlfn.XLOOKUP(B48,'Base stats'!B:B,'Base stats'!E:E),Groups!A:A,Groups!C:C)*IF(_xlfn.XLOOKUP(B48,'Base stats'!B:B,'Base stats'!O:O)=1,0.5,IF(_xlfn.XLOOKUP(B48,'Base stats'!B:B,'Base stats'!O:O)=2,0,1)),0.05),0.985))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W48)),ISNUMBER(SEARCH("IceSheet",BW48))),-50,IF(OR(ISNUMBER(SEARCH("GlacialPlain",BW48)),ISNUMBER(SEARCH("Tundra",BW48))),-40,IF(OR(ISNUMBER(SEARCH("Alpine",BW48)),ISNUMBER(SEARCH("BorealForest",BW48)),ISNUMBER(SEARCH("ColdBog",BW48))),-30,IF(OR(ISNUMBER(SEARCH("TemperateForest",BW48)),ISNUMBER(SEARCH("TemperateSwamp",BW48))),-20,IF(_xlfn.XLOOKUP(_xlfn.XLOOKUP(B48,'Base stats'!B:B,'Base stats'!E:E),Groups!A:A,Groups!F:F)=1,-15,IF(OR(ISNUMBER(SEARCH("Desert",BW48)),ISNUMBER(SEARCH("ExtremeDesert",BW48))),-10,IF(OR(ISNUMBER(SEARCH("Grasslands",BW48)),ISNUMBER(SEARCH("TropicalRainforest",BW48)),ISNUMBER(SEARCH("TropicalSwamp",BW48))),10,0)))))))-IF(CB48="False",MIN(IFERROR(MAX(MROUND(LOG10(_xlfn.XLOOKUP(B48,'Base stats'!B:B,'Base stats'!C:C)^(2/3))*10,5),5),5),30))-_xlfn.XLOOKUP(B48,'Base stats'!B:B,'Base stats'!P:P)+IF(CB48="True",5,0)</f>
        <v>-45</v>
      </c>
      <c r="M48" s="2">
        <f>IF(OR(_xlfn.XLOOKUP(_xlfn.XLOOKUP(B48,'Base stats'!B:B,'Base stats'!E:E),Groups!A:A,Groups!G:G)=2,ISNUMBER(SEARCH("Desert",BW48)),ISNUMBER(SEARCH("ExtremeDesert",BW48)),ISNUMBER(SEARCH("LavaField",BW48))),50,IF(ISNUMBER(SEARCH("Grasslands",BW48)),45,IF(OR(_xlfn.XLOOKUP(_xlfn.XLOOKUP(B48,'Base stats'!B:B,'Base stats'!E:E),Groups!A:A,Groups!G:G)=1,ISNUMBER(SEARCH("TropicalRainforest",BW48)),ISNUMBER(SEARCH("TropicalSwamp",BW48))),40,IF(OR(ISNUMBER(SEARCH("TemperateForest",BW48)),ISNUMBER(SEARCH("TemperateSwamp",BW48))),35,IF(OR(ISNUMBER(SEARCH("Alpine",BW48)),ISNUMBER(SEARCH("BorealForest",BW48)),ISNUMBER(SEARCH("ColdBog",BW48))),30,IF(ISNUMBER(OR(ISNUMBER(SEARCH("GlacialPlain",BW48)),SEARCH("Tundra",BW48))),25,IF(OR(ISNUMBER(SEARCH("SeaIce",BW48)),ISNUMBER(SEARCH("IceSheet",BW48)),ISNUMBER(SEARCH("TropicalSwamp",BW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stats'!AO:AO))*(AO48^0.5)+(_xlfn.XLOOKUP(B48,'Base stats'!B:B,'Base stats'!AO:AO)/1000)^(2/3)+_xlfn.XLOOKUP(B48,'Base stats'!B:B,'Base stats'!AX:AX)/2)+0.5,0.5)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stats'!AP:AP))*(AO48^0.5)+(_xlfn.XLOOKUP(B48,'Base stats'!B:B,'Base stats'!AP:AP)/1000)^(2/3)+_xlfn.XLOOKUP(B48,'Base stats'!B:B,'Base stats'!AX:AX))+_xlfn.XLOOKUP(B48,'Base stats'!B:B,'Base stats'!AV:AV)+0.5,0.5))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stats'!AR:AR))*(AO48^0.5)+(_xlfn.XLOOKUP(B48,'Base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stats'!AQ:AQ)="No","No",MROUND((LOG10(_xlfn.XLOOKUP(B48,'Base stats'!B:B,'Base stats'!AQ:AQ))*(AO48^0.75)+(_xlfn.XLOOKUP(B48,'Base stats'!B:B,'Base stats'!AQ:AQ)/1000)^(2/3)+_xlfn.XLOOKUP(B48,'Base stats'!B:B,'Base stats'!AU:AU)+_xlfn.XLOOKUP(B48,'Base stats'!B:B,'Base stats'!AX:AX))+0.5,0.5))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stats'!AP:AP))*(AO48^0.75)+(_xlfn.XLOOKUP(B48,'Base stats'!B:B,'Base stats'!AP:AP)/1000)^(2/3)+_xlfn.XLOOKUP(B48,'Base stats'!B:B,'Base stats'!AV:AV)+_xlfn.XLOOKUP(B48,'Base stats'!B:B,'Base stats'!AX:AX))+0.5,0.5))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MAX(0.01,MROUND(IF(CB48="True",0.196*(AO48*100*1000)^0.889,IF(_xlfn.XLOOKUP(_xlfn.XLOOKUP(B48,'Base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stats'!AE:AE)</f>
        <v>Leather_Plain</v>
      </c>
      <c r="BB48" s="23" t="str">
        <f>_xlfn.XLOOKUP(_xlfn.XLOOKUP(B48,'Base stats'!B:B,'Base stats'!E:E),Groups!A:A,Groups!AL:AL)</f>
        <v>QuadrupedAnimalWithHoovesAndHump</v>
      </c>
      <c r="BC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D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E48" s="2" t="str">
        <f>IF(J48&gt;0.3,"No",_xlfn.XLOOKUP(_xlfn.XLOOKUP(Animals!B48,'Base stats'!B:B,'Base stats'!E:E),Groups!A:A,Groups!AP:AP))</f>
        <v>No</v>
      </c>
      <c r="BF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+ 24*(1-IF(BE48="No",0,BE48)) + 16/3, 12),"No")</f>
        <v>No</v>
      </c>
      <c r="BG48" s="2">
        <f>IF(AND(_xlfn.XLOOKUP(_xlfn.XLOOKUP(B48,'Base stats'!B:B,'Base stats'!E:E),Groups!A:A,Groups!AQ:AQ)=1,AO48&lt;=0.35),8,12)</f>
        <v>12</v>
      </c>
      <c r="BH48" s="2" t="str">
        <f>IF(_xlfn.XLOOKUP(_xlfn.XLOOKUP(B48,'Base stats'!B:B,'Base stats'!E:E),Groups!A:A,Groups!D:D)=0,_xlfn.XLOOKUP(_xlfn.XLOOKUP(B48,'Base stats'!B:B,'Base stats'!E:E),Groups!A:A,Groups!AR:AR),"None")</f>
        <v>None</v>
      </c>
      <c r="BI48" s="2" t="str">
        <f>IF(AND(_xlfn.XLOOKUP(_xlfn.XLOOKUP(B48,'Base stats'!B:B,'Base stats'!E:E),Groups!A:A,Groups!AS:AS)=1,OR('Base stats'!Y48="Carnivore",'Base stats'!Y48="Omnivore")),"true","false")</f>
        <v>false</v>
      </c>
      <c r="BJ48" s="2" t="str">
        <f>IF(BI48="true",MROUND(IF(AND(AO48&gt;0.5,OR(_xlfn.XLOOKUP(_xlfn.XLOOKUP(B48,'Base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K48" s="2">
        <f t="shared" si="3"/>
        <v>0</v>
      </c>
      <c r="BL48" s="25" t="str">
        <f>IF(_xlfn.XLOOKUP(B48,'Base stats'!B:B,'Base stats'!AK:AK)="Standard","No",MROUND((_xlfn.XLOOKUP(B48,'Base stats'!B:B,'Base stats'!AK:AK)/3.6)/I48,0.1))</f>
        <v>No</v>
      </c>
      <c r="BM48" s="25" t="str">
        <f t="shared" si="4"/>
        <v>false</v>
      </c>
      <c r="BN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O48" s="25" t="str" cm="1">
        <f t="array" ref="BO48">IF(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 = "",
  "No",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
)</f>
        <v>No</v>
      </c>
      <c r="BP48" s="25" t="str">
        <f>IF(
   AND(
      'Base stats'!AK48="Standard",_xlfn.XLOOKUP(_xlfn.XLOOKUP(B48,'Base stats'!B:B,'Base stats'!E:E),Groups!A:A,Groups!AU:AU)=0,
      OR(
      BN48="True"
      )
   ),
   10,
   IF(
       OR(BL48&lt;&gt;"No",_xlfn.XLOOKUP(_xlfn.XLOOKUP(B48,'Base stats'!B:B,'Base stats'!E:E),Groups!A:A,Groups!AU:AU)=1),
      1,
      "No"
   )
)</f>
        <v>No</v>
      </c>
      <c r="BQ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stats'!AS:AS) * 1.8) * 2) * 2.5 + 10 + I48 * 2,5)+IF(_xlfn.XLOOKUP(B48,'Base stats'!B:B,'Base stats'!AH:AH)=1,50,0)</f>
        <v>145</v>
      </c>
      <c r="BR48" s="8">
        <f t="shared" si="5"/>
        <v>0.9</v>
      </c>
      <c r="BS48" s="8" t="str">
        <f>_xlfn.XLOOKUP(B48,'Base stats'!B:B,'Base stats'!AD:AD)</f>
        <v>2~6</v>
      </c>
      <c r="BT48" s="2" t="str">
        <f>IF(AND(J48&lt;=0.95,OR(_xlfn.XLOOKUP(B48,'Base stats'!B:B,'Base stats'!AH:AH)=1,_xlfn.XLOOKUP(B48,'Base stats'!B:B,'Base stats'!Y:Y)="Carnivore",_xlfn.XLOOKUP(B48,'Base stats'!B:B,'Base stats'!Y:Y)="Omnivore",BD48&gt;0.1)),"true","false")</f>
        <v>true</v>
      </c>
      <c r="BU48" s="2" t="str">
        <f>IF(_xlfn.XLOOKUP(B48,'Base stats'!B:B,'Base stats'!AF:AF)=1,"true","false")</f>
        <v>false</v>
      </c>
      <c r="BV48" s="25" t="str">
        <f>IF(E48="BaseInsect","AnimalInsect",
IF(J48&gt;0.95,"AnimalExotic",
_xlfn.TEXTJOIN(", ",TRUE,
IF(OR(_xlfn.XLOOKUP(B48,'Base stats'!B:B,'Base stats'!AJ:AJ)=1,AND(_xlfn.XLOOKUP(B48,'Base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stats'!AH:AH)=1,AND(BH48&lt;&gt;"None",BQ48&gt;=60),ISNUMBER(SEARCH("Attack target",BO48))),"AnimalFighter","")
)))</f>
        <v>AnimalCommon, AnimalFighter</v>
      </c>
      <c r="BW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),_xlfn.XLOOKUP(B48,B:B,BW:BW))</f>
        <v>BorealForest ColdBog TemperateForest TemperateSwamp AridShrubland Desert ExtremeDesert TropicalRainforest TropicalSwamp Grasslands Glowforest LavaField Scarlands</v>
      </c>
      <c r="BX48" s="25" t="str">
        <f>IF(_xlfn.XLOOKUP(B48,'Base stats'!B:B,'Base stats'!AG:AG)=1,"true","false")</f>
        <v>false</v>
      </c>
      <c r="BY48" s="25" t="str">
        <f>IF(_xlfn.XLOOKUP(B48,'Base stats'!B:B,'Base stats'!N:N)=1,"No",MAX(0.01,MIN(MROUND(IF(OR(_xlfn.XLOOKUP(B48,'Base stats'!B:B,'Base stats'!AJ:AJ)=1,AND(BI48="True",CB48="False")),POWER(10,3.47*LOG10(_xlfn.XLOOKUP(B48,'Base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stats'!AH:AH)=1),0.5,1)/100,0.025),1)))</f>
        <v>No</v>
      </c>
      <c r="BZ48" s="25">
        <f>IF(P48="Standard","No",MAX(0.01,IF(_xlfn.XLOOKUP(B48,'Base stats'!B:B,'Base stats'!N:N)=0,MROUND(BY48*P48,0.05),MIN(1,MAX(0.025,MROUND(IF(OR(CB48="true",AND(BI48="false",BN48="false")),POWER(10,4.15*LOG10(_xlfn.XLOOKUP(B48,'Base stats'!B:B,'Base stats'!C:C)*1000)^-0.73),POWER(10,3.47*LOG10(_xlfn.XLOOKUP(B48,'Base stats'!B:B,'Base stats'!C:C)*1000)^-0.96))*IF(_xlfn.XLOOKUP(B48,'Base stats'!B:B,'Base stats'!AH:AH)=1,0.5,1)/100,0.025))))))</f>
        <v>0.1</v>
      </c>
      <c r="CA48" s="25" t="str">
        <f>IF(_xlfn.XLOOKUP(_xlfn.XLOOKUP(B48,'Base stats'!B:B,'Base stats'!E:E),Groups!A:A,Groups!AJ:AJ)="Mammal","True","False")</f>
        <v>True</v>
      </c>
      <c r="CB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C48" s="25" t="str">
        <f t="shared" si="6"/>
        <v>False</v>
      </c>
      <c r="CD48" s="25" t="str">
        <f>IF(_xlfn.XLOOKUP(_xlfn.XLOOKUP(B48,'Base stats'!B:B,'Base stats'!E:E),Groups!A:A,Groups!AX:AX),"True","False")</f>
        <v>False</v>
      </c>
      <c r="CE48" s="25" t="str">
        <f>IF(_xlfn.XLOOKUP(_xlfn.XLOOKUP(B48,'Base stats'!B:B,'Base stats'!E:E),Groups!A:A,Groups!AY:AY),"True","False")</f>
        <v>False</v>
      </c>
      <c r="CF48" s="25" t="str">
        <f>IF(_xlfn.XLOOKUP(_xlfn.XLOOKUP(B48,'Base stats'!B:B,'Base stats'!E:E),Groups!A:A,Groups!AW:AW),"True","False")</f>
        <v>False</v>
      </c>
      <c r="CG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H48" s="25" t="str">
        <f>IF(_xlfn.XLOOKUP(_xlfn.XLOOKUP(B48,'Base stats'!B:B,'Base stats'!E:E),Groups!A:A,Groups!BB:BB),"True","False")</f>
        <v>True</v>
      </c>
      <c r="CI48" s="25" t="str">
        <f>IF(_xlfn.XLOOKUP(_xlfn.XLOOKUP(B48,'Base stats'!B:B,'Base stats'!E:E),Groups!A:A,Groups!BA:BA),"True","False")</f>
        <v>False</v>
      </c>
    </row>
    <row r="49" spans="1:87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stats'!AI:AI)=0,BH49="None",_xlfn.XLOOKUP(_xlfn.XLOOKUP(B49,'Base stats'!B:B,'Base stats'!E:E),Groups!A:A,Groups!B:B)=0), (18 + BQ49 * 2.7) * 0.5,
    IF(AND(_xlfn.XLOOKUP(B49,'Base stats'!B:B,'Base stats'!AI:AI)=0,OR(AO49&lt;0.55,AND(BH49="Intermediate",_xlfn.XLOOKUP(_xlfn.XLOOKUP(B49,'Base stats'!B:B,'Base stats'!E:E),Groups!A:A,Groups!B:B)&lt;2))), (18 + BQ49 * 2.7),
      IF(OR(BH49="Advanced",_xlfn.XLOOKUP(B49,'Base stats'!B:B,'Base stats'!AI:AI)=1,_xlfn.XLOOKUP(_xlfn.XLOOKUP(B49,'Base stats'!B:B,'Base stats'!E:E),Groups!A:A,Groups!B:B)=2), (18 + BQ49 * 2.7) + 250, (18 + BQ49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IF(_xlfn.XLOOKUP(B49,'Base stats'!B:B,'Base stats'!AI:AI)=1,0.99,MIN(MROUND((1-0.6282*EXP(-0.459*AO49))*_xlfn.XLOOKUP(_xlfn.XLOOKUP(B49,'Base stats'!B:B,'Base stats'!E:E),Groups!A:A,Groups!C:C)*IF(_xlfn.XLOOKUP(B49,'Base stats'!B:B,'Base stats'!O:O)=1,0.5,IF(_xlfn.XLOOKUP(B49,'Base stats'!B:B,'Base stats'!O:O)=2,0,1)),0.05),0.985))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W49)),ISNUMBER(SEARCH("IceSheet",BW49))),-50,IF(OR(ISNUMBER(SEARCH("GlacialPlain",BW49)),ISNUMBER(SEARCH("Tundra",BW49))),-40,IF(OR(ISNUMBER(SEARCH("Alpine",BW49)),ISNUMBER(SEARCH("BorealForest",BW49)),ISNUMBER(SEARCH("ColdBog",BW49))),-30,IF(OR(ISNUMBER(SEARCH("TemperateForest",BW49)),ISNUMBER(SEARCH("TemperateSwamp",BW49))),-20,IF(_xlfn.XLOOKUP(_xlfn.XLOOKUP(B49,'Base stats'!B:B,'Base stats'!E:E),Groups!A:A,Groups!F:F)=1,-15,IF(OR(ISNUMBER(SEARCH("Desert",BW49)),ISNUMBER(SEARCH("ExtremeDesert",BW49))),-10,IF(OR(ISNUMBER(SEARCH("Grasslands",BW49)),ISNUMBER(SEARCH("TropicalRainforest",BW49)),ISNUMBER(SEARCH("TropicalSwamp",BW49))),10,0)))))))-IF(CB49="False",MIN(IFERROR(MAX(MROUND(LOG10(_xlfn.XLOOKUP(B49,'Base stats'!B:B,'Base stats'!C:C)^(2/3))*10,5),5),5),30))-_xlfn.XLOOKUP(B49,'Base stats'!B:B,'Base stats'!P:P)+IF(CB49="True",5,0)</f>
        <v>-55</v>
      </c>
      <c r="M49" s="2">
        <f>IF(OR(_xlfn.XLOOKUP(_xlfn.XLOOKUP(B49,'Base stats'!B:B,'Base stats'!E:E),Groups!A:A,Groups!G:G)=2,ISNUMBER(SEARCH("Desert",BW49)),ISNUMBER(SEARCH("ExtremeDesert",BW49)),ISNUMBER(SEARCH("LavaField",BW49))),50,IF(ISNUMBER(SEARCH("Grasslands",BW49)),45,IF(OR(_xlfn.XLOOKUP(_xlfn.XLOOKUP(B49,'Base stats'!B:B,'Base stats'!E:E),Groups!A:A,Groups!G:G)=1,ISNUMBER(SEARCH("TropicalRainforest",BW49)),ISNUMBER(SEARCH("TropicalSwamp",BW49))),40,IF(OR(ISNUMBER(SEARCH("TemperateForest",BW49)),ISNUMBER(SEARCH("TemperateSwamp",BW49))),35,IF(OR(ISNUMBER(SEARCH("Alpine",BW49)),ISNUMBER(SEARCH("BorealForest",BW49)),ISNUMBER(SEARCH("ColdBog",BW49))),30,IF(ISNUMBER(OR(ISNUMBER(SEARCH("GlacialPlain",BW49)),SEARCH("Tundra",BW49))),25,IF(OR(ISNUMBER(SEARCH("SeaIce",BW49)),ISNUMBER(SEARCH("IceSheet",BW49)),ISNUMBER(SEARCH("TropicalSwamp",BW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stats'!AO:AO))*(AO49^0.5)+(_xlfn.XLOOKUP(B49,'Base stats'!B:B,'Base stats'!AO:AO)/1000)^(2/3)+_xlfn.XLOOKUP(B49,'Base stats'!B:B,'Base stats'!AX:AX)/2)+0.5,0.5)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stats'!AP:AP))*(AO49^0.5)+(_xlfn.XLOOKUP(B49,'Base stats'!B:B,'Base stats'!AP:AP)/1000)^(2/3)+_xlfn.XLOOKUP(B49,'Base stats'!B:B,'Base stats'!AX:AX))+_xlfn.XLOOKUP(B49,'Base stats'!B:B,'Base stats'!AV:AV)+0.5,0.5))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stats'!AR:AR))*(AO49^0.5)+(_xlfn.XLOOKUP(B49,'Base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stats'!AQ:AQ)="No","No",MROUND((LOG10(_xlfn.XLOOKUP(B49,'Base stats'!B:B,'Base stats'!AQ:AQ))*(AO49^0.75)+(_xlfn.XLOOKUP(B49,'Base stats'!B:B,'Base stats'!AQ:AQ)/1000)^(2/3)+_xlfn.XLOOKUP(B49,'Base stats'!B:B,'Base stats'!AU:AU)+_xlfn.XLOOKUP(B49,'Base stats'!B:B,'Base stats'!AX:AX))+0.5,0.5))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stats'!AP:AP))*(AO49^0.75)+(_xlfn.XLOOKUP(B49,'Base stats'!B:B,'Base stats'!AP:AP)/1000)^(2/3)+_xlfn.XLOOKUP(B49,'Base stats'!B:B,'Base stats'!AV:AV)+_xlfn.XLOOKUP(B49,'Base stats'!B:B,'Base stats'!AX:AX))+0.5,0.5))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MAX(0.01,MROUND(IF(CB49="True",0.196*(AO49*100*1000)^0.889,IF(_xlfn.XLOOKUP(_xlfn.XLOOKUP(B49,'Base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stats'!AE:AE)</f>
        <v>Leather_Plain</v>
      </c>
      <c r="BB49" s="23" t="str">
        <f>_xlfn.XLOOKUP(_xlfn.XLOOKUP(B49,'Base stats'!B:B,'Base stats'!E:E),Groups!A:A,Groups!AL:AL)</f>
        <v>QuadrupedAnimalWithHooves</v>
      </c>
      <c r="BC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D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E49" s="2" t="str">
        <f>IF(J49&gt;0.3,"No",_xlfn.XLOOKUP(_xlfn.XLOOKUP(Animals!B49,'Base stats'!B:B,'Base stats'!E:E),Groups!A:A,Groups!AP:AP))</f>
        <v>No</v>
      </c>
      <c r="BF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+ 24*(1-IF(BE49="No",0,BE49)) + 16/3, 12),"No")</f>
        <v>No</v>
      </c>
      <c r="BG49" s="2">
        <f>IF(AND(_xlfn.XLOOKUP(_xlfn.XLOOKUP(B49,'Base stats'!B:B,'Base stats'!E:E),Groups!A:A,Groups!AQ:AQ)=1,AO49&lt;=0.35),8,12)</f>
        <v>12</v>
      </c>
      <c r="BH49" s="2" t="str">
        <f>IF(_xlfn.XLOOKUP(_xlfn.XLOOKUP(B49,'Base stats'!B:B,'Base stats'!E:E),Groups!A:A,Groups!D:D)=0,_xlfn.XLOOKUP(_xlfn.XLOOKUP(B49,'Base stats'!B:B,'Base stats'!E:E),Groups!A:A,Groups!AR:AR),"None")</f>
        <v>None</v>
      </c>
      <c r="BI49" s="2" t="str">
        <f>IF(AND(_xlfn.XLOOKUP(_xlfn.XLOOKUP(B49,'Base stats'!B:B,'Base stats'!E:E),Groups!A:A,Groups!AS:AS)=1,OR('Base stats'!Y49="Carnivore",'Base stats'!Y49="Omnivore")),"true","false")</f>
        <v>false</v>
      </c>
      <c r="BJ49" s="2" t="str">
        <f>IF(BI49="true",MROUND(IF(AND(AO49&gt;0.5,OR(_xlfn.XLOOKUP(_xlfn.XLOOKUP(B49,'Base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K49" s="2">
        <f t="shared" si="3"/>
        <v>0</v>
      </c>
      <c r="BL49" s="25" t="str">
        <f>IF(_xlfn.XLOOKUP(B49,'Base stats'!B:B,'Base stats'!AK:AK)="Standard","No",MROUND((_xlfn.XLOOKUP(B49,'Base stats'!B:B,'Base stats'!AK:AK)/3.6)/I49,0.1))</f>
        <v>No</v>
      </c>
      <c r="BM49" s="25" t="str">
        <f t="shared" si="4"/>
        <v>false</v>
      </c>
      <c r="BN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O49" s="25" t="str" cm="1">
        <f t="array" ref="BO49">IF(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 = "",
  "No",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
)</f>
        <v>No</v>
      </c>
      <c r="BP49" s="25" t="str">
        <f>IF(
   AND(
      'Base stats'!AK49="Standard",_xlfn.XLOOKUP(_xlfn.XLOOKUP(B49,'Base stats'!B:B,'Base stats'!E:E),Groups!A:A,Groups!AU:AU)=0,
      OR(
      BN49="True"
      )
   ),
   10,
   IF(
       OR(BL49&lt;&gt;"No",_xlfn.XLOOKUP(_xlfn.XLOOKUP(B49,'Base stats'!B:B,'Base stats'!E:E),Groups!A:A,Groups!AU:AU)=1),
      1,
      "No"
   )
)</f>
        <v>No</v>
      </c>
      <c r="BQ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stats'!AS:AS) * 1.8) * 2) * 2.5 + 10 + I49 * 2,5)+IF(_xlfn.XLOOKUP(B49,'Base stats'!B:B,'Base stats'!AH:AH)=1,50,0)</f>
        <v>105</v>
      </c>
      <c r="BR49" s="8">
        <f t="shared" si="5"/>
        <v>0.8</v>
      </c>
      <c r="BS49" s="8" t="str">
        <f>_xlfn.XLOOKUP(B49,'Base stats'!B:B,'Base stats'!AD:AD)</f>
        <v>5~15</v>
      </c>
      <c r="BT49" s="2" t="str">
        <f>IF(AND(J49&lt;=0.95,OR(_xlfn.XLOOKUP(B49,'Base stats'!B:B,'Base stats'!AH:AH)=1,_xlfn.XLOOKUP(B49,'Base stats'!B:B,'Base stats'!Y:Y)="Carnivore",_xlfn.XLOOKUP(B49,'Base stats'!B:B,'Base stats'!Y:Y)="Omnivore",BD49&gt;0.1)),"true","false")</f>
        <v>false</v>
      </c>
      <c r="BU49" s="2" t="str">
        <f>IF(_xlfn.XLOOKUP(B49,'Base stats'!B:B,'Base stats'!AF:AF)=1,"true","false")</f>
        <v>false</v>
      </c>
      <c r="BV49" s="25" t="str">
        <f>IF(E49="BaseInsect","AnimalInsect",
IF(J49&gt;0.95,"AnimalExotic",
_xlfn.TEXTJOIN(", ",TRUE,
IF(OR(_xlfn.XLOOKUP(B49,'Base stats'!B:B,'Base stats'!AJ:AJ)=1,AND(_xlfn.XLOOKUP(B49,'Base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stats'!AH:AH)=1,AND(BH49&lt;&gt;"None",BQ49&gt;=60),ISNUMBER(SEARCH("Attack target",BO49))),"AnimalFighter","")
)))</f>
        <v>AnimalCommon, AnimalFarm</v>
      </c>
      <c r="BW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),_xlfn.XLOOKUP(B49,B:B,BW:BW))</f>
        <v>Tundra GlacialPlain</v>
      </c>
      <c r="BX49" s="25" t="str">
        <f>IF(_xlfn.XLOOKUP(B49,'Base stats'!B:B,'Base stats'!AG:AG)=1,"true","false")</f>
        <v>false</v>
      </c>
      <c r="BY49" s="25">
        <f>IF(_xlfn.XLOOKUP(B49,'Base stats'!B:B,'Base stats'!N:N)=1,"No",MAX(0.01,MIN(MROUND(IF(OR(_xlfn.XLOOKUP(B49,'Base stats'!B:B,'Base stats'!AJ:AJ)=1,AND(BI49="True",CB49="False")),POWER(10,3.47*LOG10(_xlfn.XLOOKUP(B49,'Base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stats'!AH:AH)=1),0.5,1)/100,0.025),1)))</f>
        <v>0.17500000000000002</v>
      </c>
      <c r="BZ49" s="25" t="str">
        <f>IF(P49="Standard","No",MAX(0.01,IF(_xlfn.XLOOKUP(B49,'Base stats'!B:B,'Base stats'!N:N)=0,MROUND(BY49*P49,0.05),MIN(1,MAX(0.025,MROUND(IF(OR(CB49="true",AND(BI49="false",BN49="false")),POWER(10,4.15*LOG10(_xlfn.XLOOKUP(B49,'Base stats'!B:B,'Base stats'!C:C)*1000)^-0.73),POWER(10,3.47*LOG10(_xlfn.XLOOKUP(B49,'Base stats'!B:B,'Base stats'!C:C)*1000)^-0.96))*IF(_xlfn.XLOOKUP(B49,'Base stats'!B:B,'Base stats'!AH:AH)=1,0.5,1)/100,0.025))))))</f>
        <v>No</v>
      </c>
      <c r="CA49" s="25" t="str">
        <f>IF(_xlfn.XLOOKUP(_xlfn.XLOOKUP(B49,'Base stats'!B:B,'Base stats'!E:E),Groups!A:A,Groups!AJ:AJ)="Mammal","True","False")</f>
        <v>True</v>
      </c>
      <c r="CB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C49" s="25" t="str">
        <f t="shared" si="6"/>
        <v>False</v>
      </c>
      <c r="CD49" s="25" t="str">
        <f>IF(_xlfn.XLOOKUP(_xlfn.XLOOKUP(B49,'Base stats'!B:B,'Base stats'!E:E),Groups!A:A,Groups!AX:AX),"True","False")</f>
        <v>False</v>
      </c>
      <c r="CE49" s="25" t="str">
        <f>IF(_xlfn.XLOOKUP(_xlfn.XLOOKUP(B49,'Base stats'!B:B,'Base stats'!E:E),Groups!A:A,Groups!AY:AY),"True","False")</f>
        <v>False</v>
      </c>
      <c r="CF49" s="25" t="str">
        <f>IF(_xlfn.XLOOKUP(_xlfn.XLOOKUP(B49,'Base stats'!B:B,'Base stats'!E:E),Groups!A:A,Groups!AW:AW),"True","False")</f>
        <v>False</v>
      </c>
      <c r="CG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H49" s="25" t="str">
        <f>IF(_xlfn.XLOOKUP(_xlfn.XLOOKUP(B49,'Base stats'!B:B,'Base stats'!E:E),Groups!A:A,Groups!BB:BB),"True","False")</f>
        <v>True</v>
      </c>
      <c r="CI49" s="25" t="str">
        <f>IF(_xlfn.XLOOKUP(_xlfn.XLOOKUP(B49,'Base stats'!B:B,'Base stats'!E:E),Groups!A:A,Groups!BA:BA),"True","False")</f>
        <v>False</v>
      </c>
    </row>
    <row r="50" spans="1:87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stats'!AI:AI)=0,BH50="None",_xlfn.XLOOKUP(_xlfn.XLOOKUP(B50,'Base stats'!B:B,'Base stats'!E:E),Groups!A:A,Groups!B:B)=0), (18 + BQ50 * 2.7) * 0.5,
    IF(AND(_xlfn.XLOOKUP(B50,'Base stats'!B:B,'Base stats'!AI:AI)=0,OR(AO50&lt;0.55,AND(BH50="Intermediate",_xlfn.XLOOKUP(_xlfn.XLOOKUP(B50,'Base stats'!B:B,'Base stats'!E:E),Groups!A:A,Groups!B:B)&lt;2))), (18 + BQ50 * 2.7),
      IF(OR(BH50="Advanced",_xlfn.XLOOKUP(B50,'Base stats'!B:B,'Base stats'!AI:AI)=1,_xlfn.XLOOKUP(_xlfn.XLOOKUP(B50,'Base stats'!B:B,'Base stats'!E:E),Groups!A:A,Groups!B:B)=2), (18 + BQ50 * 2.7) + 250, (18 + BQ50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IF(_xlfn.XLOOKUP(B50,'Base stats'!B:B,'Base stats'!AI:AI)=1,0.99,MIN(MROUND((1-0.6282*EXP(-0.459*AO50))*_xlfn.XLOOKUP(_xlfn.XLOOKUP(B50,'Base stats'!B:B,'Base stats'!E:E),Groups!A:A,Groups!C:C)*IF(_xlfn.XLOOKUP(B50,'Base stats'!B:B,'Base stats'!O:O)=1,0.5,IF(_xlfn.XLOOKUP(B50,'Base stats'!B:B,'Base stats'!O:O)=2,0,1)),0.05),0.985))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W50)),ISNUMBER(SEARCH("IceSheet",BW50))),-50,IF(OR(ISNUMBER(SEARCH("GlacialPlain",BW50)),ISNUMBER(SEARCH("Tundra",BW50))),-40,IF(OR(ISNUMBER(SEARCH("Alpine",BW50)),ISNUMBER(SEARCH("BorealForest",BW50)),ISNUMBER(SEARCH("ColdBog",BW50))),-30,IF(OR(ISNUMBER(SEARCH("TemperateForest",BW50)),ISNUMBER(SEARCH("TemperateSwamp",BW50))),-20,IF(_xlfn.XLOOKUP(_xlfn.XLOOKUP(B50,'Base stats'!B:B,'Base stats'!E:E),Groups!A:A,Groups!F:F)=1,-15,IF(OR(ISNUMBER(SEARCH("Desert",BW50)),ISNUMBER(SEARCH("ExtremeDesert",BW50))),-10,IF(OR(ISNUMBER(SEARCH("Grasslands",BW50)),ISNUMBER(SEARCH("TropicalRainforest",BW50)),ISNUMBER(SEARCH("TropicalSwamp",BW50))),10,0)))))))-IF(CB50="False",MIN(IFERROR(MAX(MROUND(LOG10(_xlfn.XLOOKUP(B50,'Base stats'!B:B,'Base stats'!C:C)^(2/3))*10,5),5),5),30))-_xlfn.XLOOKUP(B50,'Base stats'!B:B,'Base stats'!P:P)+IF(CB50="True",5,0)</f>
        <v>-45</v>
      </c>
      <c r="M50" s="2">
        <f>IF(OR(_xlfn.XLOOKUP(_xlfn.XLOOKUP(B50,'Base stats'!B:B,'Base stats'!E:E),Groups!A:A,Groups!G:G)=2,ISNUMBER(SEARCH("Desert",BW50)),ISNUMBER(SEARCH("ExtremeDesert",BW50)),ISNUMBER(SEARCH("LavaField",BW50))),50,IF(ISNUMBER(SEARCH("Grasslands",BW50)),45,IF(OR(_xlfn.XLOOKUP(_xlfn.XLOOKUP(B50,'Base stats'!B:B,'Base stats'!E:E),Groups!A:A,Groups!G:G)=1,ISNUMBER(SEARCH("TropicalRainforest",BW50)),ISNUMBER(SEARCH("TropicalSwamp",BW50))),40,IF(OR(ISNUMBER(SEARCH("TemperateForest",BW50)),ISNUMBER(SEARCH("TemperateSwamp",BW50))),35,IF(OR(ISNUMBER(SEARCH("Alpine",BW50)),ISNUMBER(SEARCH("BorealForest",BW50)),ISNUMBER(SEARCH("ColdBog",BW50))),30,IF(ISNUMBER(OR(ISNUMBER(SEARCH("GlacialPlain",BW50)),SEARCH("Tundra",BW50))),25,IF(OR(ISNUMBER(SEARCH("SeaIce",BW50)),ISNUMBER(SEARCH("IceSheet",BW50)),ISNUMBER(SEARCH("TropicalSwamp",BW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stats'!AO:AO))*(AO50^0.5)+(_xlfn.XLOOKUP(B50,'Base stats'!B:B,'Base stats'!AO:AO)/1000)^(2/3)+_xlfn.XLOOKUP(B50,'Base stats'!B:B,'Base stats'!AX:AX)/2)+0.5,0.5)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stats'!AP:AP))*(AO50^0.5)+(_xlfn.XLOOKUP(B50,'Base stats'!B:B,'Base stats'!AP:AP)/1000)^(2/3)+_xlfn.XLOOKUP(B50,'Base stats'!B:B,'Base stats'!AX:AX))+_xlfn.XLOOKUP(B50,'Base stats'!B:B,'Base stats'!AV:AV)+0.5,0.5))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stats'!AR:AR))*(AO50^0.5)+(_xlfn.XLOOKUP(B50,'Base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stats'!AQ:AQ)="No","No",MROUND((LOG10(_xlfn.XLOOKUP(B50,'Base stats'!B:B,'Base stats'!AQ:AQ))*(AO50^0.75)+(_xlfn.XLOOKUP(B50,'Base stats'!B:B,'Base stats'!AQ:AQ)/1000)^(2/3)+_xlfn.XLOOKUP(B50,'Base stats'!B:B,'Base stats'!AU:AU)+_xlfn.XLOOKUP(B50,'Base stats'!B:B,'Base stats'!AX:AX))+0.5,0.5))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stats'!AP:AP))*(AO50^0.75)+(_xlfn.XLOOKUP(B50,'Base stats'!B:B,'Base stats'!AP:AP)/1000)^(2/3)+_xlfn.XLOOKUP(B50,'Base stats'!B:B,'Base stats'!AV:AV)+_xlfn.XLOOKUP(B50,'Base stats'!B:B,'Base stats'!AX:AX))+0.5,0.5))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MAX(0.01,MROUND(IF(CB50="True",0.196*(AO50*100*1000)^0.889,IF(_xlfn.XLOOKUP(_xlfn.XLOOKUP(B50,'Base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stats'!AE:AE)</f>
        <v>Leather_Plain</v>
      </c>
      <c r="BB50" s="23" t="str">
        <f>_xlfn.XLOOKUP(_xlfn.XLOOKUP(B50,'Base stats'!B:B,'Base stats'!E:E),Groups!A:A,Groups!AL:AL)</f>
        <v>QuadrupedAnimalWithHooves</v>
      </c>
      <c r="BC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D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E50" s="2" t="str">
        <f>IF(J50&gt;0.3,"No",_xlfn.XLOOKUP(_xlfn.XLOOKUP(Animals!B50,'Base stats'!B:B,'Base stats'!E:E),Groups!A:A,Groups!AP:AP))</f>
        <v>No</v>
      </c>
      <c r="BF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+ 24*(1-IF(BE50="No",0,BE50)) + 16/3, 12),"No")</f>
        <v>No</v>
      </c>
      <c r="BG50" s="2">
        <f>IF(AND(_xlfn.XLOOKUP(_xlfn.XLOOKUP(B50,'Base stats'!B:B,'Base stats'!E:E),Groups!A:A,Groups!AQ:AQ)=1,AO50&lt;=0.35),8,12)</f>
        <v>12</v>
      </c>
      <c r="BH50" s="2" t="str">
        <f>IF(_xlfn.XLOOKUP(_xlfn.XLOOKUP(B50,'Base stats'!B:B,'Base stats'!E:E),Groups!A:A,Groups!D:D)=0,_xlfn.XLOOKUP(_xlfn.XLOOKUP(B50,'Base stats'!B:B,'Base stats'!E:E),Groups!A:A,Groups!AR:AR),"None")</f>
        <v>None</v>
      </c>
      <c r="BI50" s="2" t="str">
        <f>IF(AND(_xlfn.XLOOKUP(_xlfn.XLOOKUP(B50,'Base stats'!B:B,'Base stats'!E:E),Groups!A:A,Groups!AS:AS)=1,OR('Base stats'!Y50="Carnivore",'Base stats'!Y50="Omnivore")),"true","false")</f>
        <v>false</v>
      </c>
      <c r="BJ50" s="2" t="str">
        <f>IF(BI50="true",MROUND(IF(AND(AO50&gt;0.5,OR(_xlfn.XLOOKUP(_xlfn.XLOOKUP(B50,'Base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K50" s="2">
        <f t="shared" si="3"/>
        <v>0</v>
      </c>
      <c r="BL50" s="25" t="str">
        <f>IF(_xlfn.XLOOKUP(B50,'Base stats'!B:B,'Base stats'!AK:AK)="Standard","No",MROUND((_xlfn.XLOOKUP(B50,'Base stats'!B:B,'Base stats'!AK:AK)/3.6)/I50,0.1))</f>
        <v>No</v>
      </c>
      <c r="BM50" s="25" t="str">
        <f t="shared" si="4"/>
        <v>false</v>
      </c>
      <c r="BN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O50" s="25" t="str" cm="1">
        <f t="array" ref="BO50">IF(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 = "",
  "No",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
)</f>
        <v>No</v>
      </c>
      <c r="BP50" s="25" t="str">
        <f>IF(
   AND(
      'Base stats'!AK50="Standard",_xlfn.XLOOKUP(_xlfn.XLOOKUP(B50,'Base stats'!B:B,'Base stats'!E:E),Groups!A:A,Groups!AU:AU)=0,
      OR(
      BN50="True"
      )
   ),
   10,
   IF(
       OR(BL50&lt;&gt;"No",_xlfn.XLOOKUP(_xlfn.XLOOKUP(B50,'Base stats'!B:B,'Base stats'!E:E),Groups!A:A,Groups!AU:AU)=1),
      1,
      "No"
   )
)</f>
        <v>No</v>
      </c>
      <c r="BQ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stats'!AS:AS) * 1.8) * 2) * 2.5 + 10 + I50 * 2,5)+IF(_xlfn.XLOOKUP(B50,'Base stats'!B:B,'Base stats'!AH:AH)=1,50,0)</f>
        <v>85</v>
      </c>
      <c r="BR50" s="8">
        <f t="shared" si="5"/>
        <v>0.70000000000000007</v>
      </c>
      <c r="BS50" s="8" t="str">
        <f>_xlfn.XLOOKUP(B50,'Base stats'!B:B,'Base stats'!AD:AD)</f>
        <v>3~10</v>
      </c>
      <c r="BT50" s="2" t="str">
        <f>IF(AND(J50&lt;=0.95,OR(_xlfn.XLOOKUP(B50,'Base stats'!B:B,'Base stats'!AH:AH)=1,_xlfn.XLOOKUP(B50,'Base stats'!B:B,'Base stats'!Y:Y)="Carnivore",_xlfn.XLOOKUP(B50,'Base stats'!B:B,'Base stats'!Y:Y)="Omnivore",BD50&gt;0.1)),"true","false")</f>
        <v>false</v>
      </c>
      <c r="BU50" s="2" t="str">
        <f>IF(_xlfn.XLOOKUP(B50,'Base stats'!B:B,'Base stats'!AF:AF)=1,"true","false")</f>
        <v>false</v>
      </c>
      <c r="BV50" s="25" t="str">
        <f>IF(E50="BaseInsect","AnimalInsect",
IF(J50&gt;0.95,"AnimalExotic",
_xlfn.TEXTJOIN(", ",TRUE,
IF(OR(_xlfn.XLOOKUP(B50,'Base stats'!B:B,'Base stats'!AJ:AJ)=1,AND(_xlfn.XLOOKUP(B50,'Base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stats'!AH:AH)=1,AND(BH50&lt;&gt;"None",BQ50&gt;=60),ISNUMBER(SEARCH("Attack target",BO50))),"AnimalFighter","")
)))</f>
        <v>AnimalCommon</v>
      </c>
      <c r="BW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),_xlfn.XLOOKUP(B50,B:B,BW:BW))</f>
        <v>Alpine</v>
      </c>
      <c r="BX50" s="25" t="str">
        <f>IF(_xlfn.XLOOKUP(B50,'Base stats'!B:B,'Base stats'!AG:AG)=1,"true","false")</f>
        <v>false</v>
      </c>
      <c r="BY50" s="25">
        <f>IF(_xlfn.XLOOKUP(B50,'Base stats'!B:B,'Base stats'!N:N)=1,"No",MAX(0.01,MIN(MROUND(IF(OR(_xlfn.XLOOKUP(B50,'Base stats'!B:B,'Base stats'!AJ:AJ)=1,AND(BI50="True",CB50="False")),POWER(10,3.47*LOG10(_xlfn.XLOOKUP(B50,'Base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stats'!AH:AH)=1),0.5,1)/100,0.025),1)))</f>
        <v>0.2</v>
      </c>
      <c r="BZ50" s="25" t="str">
        <f>IF(P50="Standard","No",MAX(0.01,IF(_xlfn.XLOOKUP(B50,'Base stats'!B:B,'Base stats'!N:N)=0,MROUND(BY50*P50,0.05),MIN(1,MAX(0.025,MROUND(IF(OR(CB50="true",AND(BI50="false",BN50="false")),POWER(10,4.15*LOG10(_xlfn.XLOOKUP(B50,'Base stats'!B:B,'Base stats'!C:C)*1000)^-0.73),POWER(10,3.47*LOG10(_xlfn.XLOOKUP(B50,'Base stats'!B:B,'Base stats'!C:C)*1000)^-0.96))*IF(_xlfn.XLOOKUP(B50,'Base stats'!B:B,'Base stats'!AH:AH)=1,0.5,1)/100,0.025))))))</f>
        <v>No</v>
      </c>
      <c r="CA50" s="25" t="str">
        <f>IF(_xlfn.XLOOKUP(_xlfn.XLOOKUP(B50,'Base stats'!B:B,'Base stats'!E:E),Groups!A:A,Groups!AJ:AJ)="Mammal","True","False")</f>
        <v>True</v>
      </c>
      <c r="CB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C50" s="25" t="str">
        <f t="shared" si="6"/>
        <v>False</v>
      </c>
      <c r="CD50" s="25" t="str">
        <f>IF(_xlfn.XLOOKUP(_xlfn.XLOOKUP(B50,'Base stats'!B:B,'Base stats'!E:E),Groups!A:A,Groups!AX:AX),"True","False")</f>
        <v>False</v>
      </c>
      <c r="CE50" s="25" t="str">
        <f>IF(_xlfn.XLOOKUP(_xlfn.XLOOKUP(B50,'Base stats'!B:B,'Base stats'!E:E),Groups!A:A,Groups!AY:AY),"True","False")</f>
        <v>False</v>
      </c>
      <c r="CF50" s="25" t="str">
        <f>IF(_xlfn.XLOOKUP(_xlfn.XLOOKUP(B50,'Base stats'!B:B,'Base stats'!E:E),Groups!A:A,Groups!AW:AW),"True","False")</f>
        <v>False</v>
      </c>
      <c r="CG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H50" s="25" t="str">
        <f>IF(_xlfn.XLOOKUP(_xlfn.XLOOKUP(B50,'Base stats'!B:B,'Base stats'!E:E),Groups!A:A,Groups!BB:BB),"True","False")</f>
        <v>True</v>
      </c>
      <c r="CI50" s="25" t="str">
        <f>IF(_xlfn.XLOOKUP(_xlfn.XLOOKUP(B50,'Base stats'!B:B,'Base stats'!E:E),Groups!A:A,Groups!BA:BA),"True","False")</f>
        <v>False</v>
      </c>
    </row>
    <row r="51" spans="1:87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stats'!AI:AI)=0,BH51="None",_xlfn.XLOOKUP(_xlfn.XLOOKUP(B51,'Base stats'!B:B,'Base stats'!E:E),Groups!A:A,Groups!B:B)=0), (18 + BQ51 * 2.7) * 0.5,
    IF(AND(_xlfn.XLOOKUP(B51,'Base stats'!B:B,'Base stats'!AI:AI)=0,OR(AO51&lt;0.55,AND(BH51="Intermediate",_xlfn.XLOOKUP(_xlfn.XLOOKUP(B51,'Base stats'!B:B,'Base stats'!E:E),Groups!A:A,Groups!B:B)&lt;2))), (18 + BQ51 * 2.7),
      IF(OR(BH51="Advanced",_xlfn.XLOOKUP(B51,'Base stats'!B:B,'Base stats'!AI:AI)=1,_xlfn.XLOOKUP(_xlfn.XLOOKUP(B51,'Base stats'!B:B,'Base stats'!E:E),Groups!A:A,Groups!B:B)=2), (18 + BQ51 * 2.7) + 250, (18 + BQ51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IF(_xlfn.XLOOKUP(B51,'Base stats'!B:B,'Base stats'!AI:AI)=1,0.99,MIN(MROUND((1-0.6282*EXP(-0.459*AO51))*_xlfn.XLOOKUP(_xlfn.XLOOKUP(B51,'Base stats'!B:B,'Base stats'!E:E),Groups!A:A,Groups!C:C)*IF(_xlfn.XLOOKUP(B51,'Base stats'!B:B,'Base stats'!O:O)=1,0.5,IF(_xlfn.XLOOKUP(B51,'Base stats'!B:B,'Base stats'!O:O)=2,0,1)),0.05),0.985))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W51)),ISNUMBER(SEARCH("IceSheet",BW51))),-50,IF(OR(ISNUMBER(SEARCH("GlacialPlain",BW51)),ISNUMBER(SEARCH("Tundra",BW51))),-40,IF(OR(ISNUMBER(SEARCH("Alpine",BW51)),ISNUMBER(SEARCH("BorealForest",BW51)),ISNUMBER(SEARCH("ColdBog",BW51))),-30,IF(OR(ISNUMBER(SEARCH("TemperateForest",BW51)),ISNUMBER(SEARCH("TemperateSwamp",BW51))),-20,IF(_xlfn.XLOOKUP(_xlfn.XLOOKUP(B51,'Base stats'!B:B,'Base stats'!E:E),Groups!A:A,Groups!F:F)=1,-15,IF(OR(ISNUMBER(SEARCH("Desert",BW51)),ISNUMBER(SEARCH("ExtremeDesert",BW51))),-10,IF(OR(ISNUMBER(SEARCH("Grasslands",BW51)),ISNUMBER(SEARCH("TropicalRainforest",BW51)),ISNUMBER(SEARCH("TropicalSwamp",BW51))),10,0)))))))-IF(CB51="False",MIN(IFERROR(MAX(MROUND(LOG10(_xlfn.XLOOKUP(B51,'Base stats'!B:B,'Base stats'!C:C)^(2/3))*10,5),5),5),30))-_xlfn.XLOOKUP(B51,'Base stats'!B:B,'Base stats'!P:P)+IF(CB51="True",5,0)</f>
        <v>-35</v>
      </c>
      <c r="M51" s="2">
        <f>IF(OR(_xlfn.XLOOKUP(_xlfn.XLOOKUP(B51,'Base stats'!B:B,'Base stats'!E:E),Groups!A:A,Groups!G:G)=2,ISNUMBER(SEARCH("Desert",BW51)),ISNUMBER(SEARCH("ExtremeDesert",BW51)),ISNUMBER(SEARCH("LavaField",BW51))),50,IF(ISNUMBER(SEARCH("Grasslands",BW51)),45,IF(OR(_xlfn.XLOOKUP(_xlfn.XLOOKUP(B51,'Base stats'!B:B,'Base stats'!E:E),Groups!A:A,Groups!G:G)=1,ISNUMBER(SEARCH("TropicalRainforest",BW51)),ISNUMBER(SEARCH("TropicalSwamp",BW51))),40,IF(OR(ISNUMBER(SEARCH("TemperateForest",BW51)),ISNUMBER(SEARCH("TemperateSwamp",BW51))),35,IF(OR(ISNUMBER(SEARCH("Alpine",BW51)),ISNUMBER(SEARCH("BorealForest",BW51)),ISNUMBER(SEARCH("ColdBog",BW51))),30,IF(ISNUMBER(OR(ISNUMBER(SEARCH("GlacialPlain",BW51)),SEARCH("Tundra",BW51))),25,IF(OR(ISNUMBER(SEARCH("SeaIce",BW51)),ISNUMBER(SEARCH("IceSheet",BW51)),ISNUMBER(SEARCH("TropicalSwamp",BW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stats'!AO:AO))*(AO51^0.5)+(_xlfn.XLOOKUP(B51,'Base stats'!B:B,'Base stats'!AO:AO)/1000)^(2/3)+_xlfn.XLOOKUP(B51,'Base stats'!B:B,'Base stats'!AX:AX)/2)+0.5,0.5)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stats'!AP:AP))*(AO51^0.5)+(_xlfn.XLOOKUP(B51,'Base stats'!B:B,'Base stats'!AP:AP)/1000)^(2/3)+_xlfn.XLOOKUP(B51,'Base stats'!B:B,'Base stats'!AX:AX))+_xlfn.XLOOKUP(B51,'Base stats'!B:B,'Base stats'!AV:AV)+0.5,0.5))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stats'!AR:AR))*(AO51^0.5)+(_xlfn.XLOOKUP(B51,'Base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stats'!AQ:AQ)="No","No",MROUND((LOG10(_xlfn.XLOOKUP(B51,'Base stats'!B:B,'Base stats'!AQ:AQ))*(AO51^0.75)+(_xlfn.XLOOKUP(B51,'Base stats'!B:B,'Base stats'!AQ:AQ)/1000)^(2/3)+_xlfn.XLOOKUP(B51,'Base stats'!B:B,'Base stats'!AU:AU)+_xlfn.XLOOKUP(B51,'Base stats'!B:B,'Base stats'!AX:AX))+0.5,0.5))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stats'!AP:AP))*(AO51^0.75)+(_xlfn.XLOOKUP(B51,'Base stats'!B:B,'Base stats'!AP:AP)/1000)^(2/3)+_xlfn.XLOOKUP(B51,'Base stats'!B:B,'Base stats'!AV:AV)+_xlfn.XLOOKUP(B51,'Base stats'!B:B,'Base stats'!AX:AX))+0.5,0.5))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MAX(0.01,MROUND(IF(CB51="True",0.196*(AO51*100*1000)^0.889,IF(_xlfn.XLOOKUP(_xlfn.XLOOKUP(B51,'Base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stats'!AE:AE)</f>
        <v>Leather_Plain</v>
      </c>
      <c r="BB51" s="23" t="str">
        <f>_xlfn.XLOOKUP(_xlfn.XLOOKUP(B51,'Base stats'!B:B,'Base stats'!E:E),Groups!A:A,Groups!AL:AL)</f>
        <v>QuadrupedAnimalWithHooves</v>
      </c>
      <c r="BC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D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E51" s="2" t="str">
        <f>IF(J51&gt;0.3,"No",_xlfn.XLOOKUP(_xlfn.XLOOKUP(Animals!B51,'Base stats'!B:B,'Base stats'!E:E),Groups!A:A,Groups!AP:AP))</f>
        <v>No</v>
      </c>
      <c r="BF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+ 24*(1-IF(BE51="No",0,BE51)) + 16/3, 12),"No")</f>
        <v>No</v>
      </c>
      <c r="BG51" s="2">
        <f>IF(AND(_xlfn.XLOOKUP(_xlfn.XLOOKUP(B51,'Base stats'!B:B,'Base stats'!E:E),Groups!A:A,Groups!AQ:AQ)=1,AO51&lt;=0.35),8,12)</f>
        <v>12</v>
      </c>
      <c r="BH51" s="2" t="str">
        <f>IF(_xlfn.XLOOKUP(_xlfn.XLOOKUP(B51,'Base stats'!B:B,'Base stats'!E:E),Groups!A:A,Groups!D:D)=0,_xlfn.XLOOKUP(_xlfn.XLOOKUP(B51,'Base stats'!B:B,'Base stats'!E:E),Groups!A:A,Groups!AR:AR),"None")</f>
        <v>None</v>
      </c>
      <c r="BI51" s="2" t="str">
        <f>IF(AND(_xlfn.XLOOKUP(_xlfn.XLOOKUP(B51,'Base stats'!B:B,'Base stats'!E:E),Groups!A:A,Groups!AS:AS)=1,OR('Base stats'!Y51="Carnivore",'Base stats'!Y51="Omnivore")),"true","false")</f>
        <v>false</v>
      </c>
      <c r="BJ51" s="2" t="str">
        <f>IF(BI51="true",MROUND(IF(AND(AO51&gt;0.5,OR(_xlfn.XLOOKUP(_xlfn.XLOOKUP(B51,'Base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K51" s="2">
        <f t="shared" si="3"/>
        <v>0</v>
      </c>
      <c r="BL51" s="25" t="str">
        <f>IF(_xlfn.XLOOKUP(B51,'Base stats'!B:B,'Base stats'!AK:AK)="Standard","No",MROUND((_xlfn.XLOOKUP(B51,'Base stats'!B:B,'Base stats'!AK:AK)/3.6)/I51,0.1))</f>
        <v>No</v>
      </c>
      <c r="BM51" s="25" t="str">
        <f t="shared" si="4"/>
        <v>false</v>
      </c>
      <c r="BN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O51" s="25" t="str" cm="1">
        <f t="array" ref="BO51">IF(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 = "",
  "No",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
)</f>
        <v>No</v>
      </c>
      <c r="BP51" s="25" t="str">
        <f>IF(
   AND(
      'Base stats'!AK51="Standard",_xlfn.XLOOKUP(_xlfn.XLOOKUP(B51,'Base stats'!B:B,'Base stats'!E:E),Groups!A:A,Groups!AU:AU)=0,
      OR(
      BN51="True"
      )
   ),
   10,
   IF(
       OR(BL51&lt;&gt;"No",_xlfn.XLOOKUP(_xlfn.XLOOKUP(B51,'Base stats'!B:B,'Base stats'!E:E),Groups!A:A,Groups!AU:AU)=1),
      1,
      "No"
   )
)</f>
        <v>No</v>
      </c>
      <c r="BQ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stats'!AS:AS) * 1.8) * 2) * 2.5 + 10 + I51 * 2,5)+IF(_xlfn.XLOOKUP(B51,'Base stats'!B:B,'Base stats'!AH:AH)=1,50,0)</f>
        <v>70</v>
      </c>
      <c r="BR51" s="8">
        <f t="shared" si="5"/>
        <v>0.65</v>
      </c>
      <c r="BS51" s="8" t="str">
        <f>_xlfn.XLOOKUP(B51,'Base stats'!B:B,'Base stats'!AD:AD)</f>
        <v>3~10</v>
      </c>
      <c r="BT51" s="2" t="str">
        <f>IF(AND(J51&lt;=0.95,OR(_xlfn.XLOOKUP(B51,'Base stats'!B:B,'Base stats'!AH:AH)=1,_xlfn.XLOOKUP(B51,'Base stats'!B:B,'Base stats'!Y:Y)="Carnivore",_xlfn.XLOOKUP(B51,'Base stats'!B:B,'Base stats'!Y:Y)="Omnivore",BD51&gt;0.1)),"true","false")</f>
        <v>false</v>
      </c>
      <c r="BU51" s="2" t="str">
        <f>IF(_xlfn.XLOOKUP(B51,'Base stats'!B:B,'Base stats'!AF:AF)=1,"true","false")</f>
        <v>false</v>
      </c>
      <c r="BV51" s="25" t="str">
        <f>IF(E51="BaseInsect","AnimalInsect",
IF(J51&gt;0.95,"AnimalExotic",
_xlfn.TEXTJOIN(", ",TRUE,
IF(OR(_xlfn.XLOOKUP(B51,'Base stats'!B:B,'Base stats'!AJ:AJ)=1,AND(_xlfn.XLOOKUP(B51,'Base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stats'!AH:AH)=1,AND(BH51&lt;&gt;"None",BQ51&gt;=60),ISNUMBER(SEARCH("Attack target",BO51))),"AnimalFighter","")
)))</f>
        <v>AnimalCommon, AnimalFarm</v>
      </c>
      <c r="BW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),_xlfn.XLOOKUP(B51,B:B,BW:BW))</f>
        <v/>
      </c>
      <c r="BX51" s="25" t="str">
        <f>IF(_xlfn.XLOOKUP(B51,'Base stats'!B:B,'Base stats'!AG:AG)=1,"true","false")</f>
        <v>false</v>
      </c>
      <c r="BY51" s="25">
        <f>IF(_xlfn.XLOOKUP(B51,'Base stats'!B:B,'Base stats'!N:N)=1,"No",MAX(0.01,MIN(MROUND(IF(OR(_xlfn.XLOOKUP(B51,'Base stats'!B:B,'Base stats'!AJ:AJ)=1,AND(BI51="True",CB51="False")),POWER(10,3.47*LOG10(_xlfn.XLOOKUP(B51,'Base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stats'!AH:AH)=1),0.5,1)/100,0.025),1)))</f>
        <v>0.2</v>
      </c>
      <c r="BZ51" s="25" t="str">
        <f>IF(P51="Standard","No",MAX(0.01,IF(_xlfn.XLOOKUP(B51,'Base stats'!B:B,'Base stats'!N:N)=0,MROUND(BY51*P51,0.05),MIN(1,MAX(0.025,MROUND(IF(OR(CB51="true",AND(BI51="false",BN51="false")),POWER(10,4.15*LOG10(_xlfn.XLOOKUP(B51,'Base stats'!B:B,'Base stats'!C:C)*1000)^-0.73),POWER(10,3.47*LOG10(_xlfn.XLOOKUP(B51,'Base stats'!B:B,'Base stats'!C:C)*1000)^-0.96))*IF(_xlfn.XLOOKUP(B51,'Base stats'!B:B,'Base stats'!AH:AH)=1,0.5,1)/100,0.025))))))</f>
        <v>No</v>
      </c>
      <c r="CA51" s="25" t="str">
        <f>IF(_xlfn.XLOOKUP(_xlfn.XLOOKUP(B51,'Base stats'!B:B,'Base stats'!E:E),Groups!A:A,Groups!AJ:AJ)="Mammal","True","False")</f>
        <v>True</v>
      </c>
      <c r="CB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C51" s="25" t="str">
        <f t="shared" si="6"/>
        <v>False</v>
      </c>
      <c r="CD51" s="25" t="str">
        <f>IF(_xlfn.XLOOKUP(_xlfn.XLOOKUP(B51,'Base stats'!B:B,'Base stats'!E:E),Groups!A:A,Groups!AX:AX),"True","False")</f>
        <v>False</v>
      </c>
      <c r="CE51" s="25" t="str">
        <f>IF(_xlfn.XLOOKUP(_xlfn.XLOOKUP(B51,'Base stats'!B:B,'Base stats'!E:E),Groups!A:A,Groups!AY:AY),"True","False")</f>
        <v>False</v>
      </c>
      <c r="CF51" s="25" t="str">
        <f>IF(_xlfn.XLOOKUP(_xlfn.XLOOKUP(B51,'Base stats'!B:B,'Base stats'!E:E),Groups!A:A,Groups!AW:AW),"True","False")</f>
        <v>False</v>
      </c>
      <c r="CG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H51" s="25" t="str">
        <f>IF(_xlfn.XLOOKUP(_xlfn.XLOOKUP(B51,'Base stats'!B:B,'Base stats'!E:E),Groups!A:A,Groups!BB:BB),"True","False")</f>
        <v>True</v>
      </c>
      <c r="CI51" s="25" t="str">
        <f>IF(_xlfn.XLOOKUP(_xlfn.XLOOKUP(B51,'Base stats'!B:B,'Base stats'!E:E),Groups!A:A,Groups!BA:BA),"True","False")</f>
        <v>False</v>
      </c>
    </row>
    <row r="52" spans="1:87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stats'!AI:AI)=0,BH52="None",_xlfn.XLOOKUP(_xlfn.XLOOKUP(B52,'Base stats'!B:B,'Base stats'!E:E),Groups!A:A,Groups!B:B)=0), (18 + BQ52 * 2.7) * 0.5,
    IF(AND(_xlfn.XLOOKUP(B52,'Base stats'!B:B,'Base stats'!AI:AI)=0,OR(AO52&lt;0.55,AND(BH52="Intermediate",_xlfn.XLOOKUP(_xlfn.XLOOKUP(B52,'Base stats'!B:B,'Base stats'!E:E),Groups!A:A,Groups!B:B)&lt;2))), (18 + BQ52 * 2.7),
      IF(OR(BH52="Advanced",_xlfn.XLOOKUP(B52,'Base stats'!B:B,'Base stats'!AI:AI)=1,_xlfn.XLOOKUP(_xlfn.XLOOKUP(B52,'Base stats'!B:B,'Base stats'!E:E),Groups!A:A,Groups!B:B)=2), (18 + BQ52 * 2.7) + 250, (18 + BQ52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IF(_xlfn.XLOOKUP(B52,'Base stats'!B:B,'Base stats'!AI:AI)=1,0.99,MIN(MROUND((1-0.6282*EXP(-0.459*AO52))*_xlfn.XLOOKUP(_xlfn.XLOOKUP(B52,'Base stats'!B:B,'Base stats'!E:E),Groups!A:A,Groups!C:C)*IF(_xlfn.XLOOKUP(B52,'Base stats'!B:B,'Base stats'!O:O)=1,0.5,IF(_xlfn.XLOOKUP(B52,'Base stats'!B:B,'Base stats'!O:O)=2,0,1)),0.05),0.985))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W52)),ISNUMBER(SEARCH("IceSheet",BW52))),-50,IF(OR(ISNUMBER(SEARCH("GlacialPlain",BW52)),ISNUMBER(SEARCH("Tundra",BW52))),-40,IF(OR(ISNUMBER(SEARCH("Alpine",BW52)),ISNUMBER(SEARCH("BorealForest",BW52)),ISNUMBER(SEARCH("ColdBog",BW52))),-30,IF(OR(ISNUMBER(SEARCH("TemperateForest",BW52)),ISNUMBER(SEARCH("TemperateSwamp",BW52))),-20,IF(_xlfn.XLOOKUP(_xlfn.XLOOKUP(B52,'Base stats'!B:B,'Base stats'!E:E),Groups!A:A,Groups!F:F)=1,-15,IF(OR(ISNUMBER(SEARCH("Desert",BW52)),ISNUMBER(SEARCH("ExtremeDesert",BW52))),-10,IF(OR(ISNUMBER(SEARCH("Grasslands",BW52)),ISNUMBER(SEARCH("TropicalRainforest",BW52)),ISNUMBER(SEARCH("TropicalSwamp",BW52))),10,0)))))))-IF(CB52="False",MIN(IFERROR(MAX(MROUND(LOG10(_xlfn.XLOOKUP(B52,'Base stats'!B:B,'Base stats'!C:C)^(2/3))*10,5),5),5),30))-_xlfn.XLOOKUP(B52,'Base stats'!B:B,'Base stats'!P:P)+IF(CB52="True",5,0)</f>
        <v>-35</v>
      </c>
      <c r="M52" s="2">
        <f>IF(OR(_xlfn.XLOOKUP(_xlfn.XLOOKUP(B52,'Base stats'!B:B,'Base stats'!E:E),Groups!A:A,Groups!G:G)=2,ISNUMBER(SEARCH("Desert",BW52)),ISNUMBER(SEARCH("ExtremeDesert",BW52)),ISNUMBER(SEARCH("LavaField",BW52))),50,IF(ISNUMBER(SEARCH("Grasslands",BW52)),45,IF(OR(_xlfn.XLOOKUP(_xlfn.XLOOKUP(B52,'Base stats'!B:B,'Base stats'!E:E),Groups!A:A,Groups!G:G)=1,ISNUMBER(SEARCH("TropicalRainforest",BW52)),ISNUMBER(SEARCH("TropicalSwamp",BW52))),40,IF(OR(ISNUMBER(SEARCH("TemperateForest",BW52)),ISNUMBER(SEARCH("TemperateSwamp",BW52))),35,IF(OR(ISNUMBER(SEARCH("Alpine",BW52)),ISNUMBER(SEARCH("BorealForest",BW52)),ISNUMBER(SEARCH("ColdBog",BW52))),30,IF(ISNUMBER(OR(ISNUMBER(SEARCH("GlacialPlain",BW52)),SEARCH("Tundra",BW52))),25,IF(OR(ISNUMBER(SEARCH("SeaIce",BW52)),ISNUMBER(SEARCH("IceSheet",BW52)),ISNUMBER(SEARCH("TropicalSwamp",BW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stats'!AO:AO))*(AO52^0.5)+(_xlfn.XLOOKUP(B52,'Base stats'!B:B,'Base stats'!AO:AO)/1000)^(2/3)+_xlfn.XLOOKUP(B52,'Base stats'!B:B,'Base stats'!AX:AX)/2)+0.5,0.5)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stats'!AP:AP))*(AO52^0.5)+(_xlfn.XLOOKUP(B52,'Base stats'!B:B,'Base stats'!AP:AP)/1000)^(2/3)+_xlfn.XLOOKUP(B52,'Base stats'!B:B,'Base stats'!AX:AX))+_xlfn.XLOOKUP(B52,'Base stats'!B:B,'Base stats'!AV:AV)+0.5,0.5))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stats'!AR:AR))*(AO52^0.5)+(_xlfn.XLOOKUP(B52,'Base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stats'!AQ:AQ)="No","No",MROUND((LOG10(_xlfn.XLOOKUP(B52,'Base stats'!B:B,'Base stats'!AQ:AQ))*(AO52^0.75)+(_xlfn.XLOOKUP(B52,'Base stats'!B:B,'Base stats'!AQ:AQ)/1000)^(2/3)+_xlfn.XLOOKUP(B52,'Base stats'!B:B,'Base stats'!AU:AU)+_xlfn.XLOOKUP(B52,'Base stats'!B:B,'Base stats'!AX:AX))+0.5,0.5))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stats'!AP:AP))*(AO52^0.75)+(_xlfn.XLOOKUP(B52,'Base stats'!B:B,'Base stats'!AP:AP)/1000)^(2/3)+_xlfn.XLOOKUP(B52,'Base stats'!B:B,'Base stats'!AV:AV)+_xlfn.XLOOKUP(B52,'Base stats'!B:B,'Base stats'!AX:AX))+0.5,0.5))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MAX(0.01,MROUND(IF(CB52="True",0.196*(AO52*100*1000)^0.889,IF(_xlfn.XLOOKUP(_xlfn.XLOOKUP(B52,'Base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stats'!AE:AE)</f>
        <v>Leather_Plain</v>
      </c>
      <c r="BB52" s="23" t="str">
        <f>_xlfn.XLOOKUP(_xlfn.XLOOKUP(B52,'Base stats'!B:B,'Base stats'!E:E),Groups!A:A,Groups!AL:AL)</f>
        <v>QuadrupedAnimalWithHooves</v>
      </c>
      <c r="BC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D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E52" s="2" t="str">
        <f>IF(J52&gt;0.3,"No",_xlfn.XLOOKUP(_xlfn.XLOOKUP(Animals!B52,'Base stats'!B:B,'Base stats'!E:E),Groups!A:A,Groups!AP:AP))</f>
        <v>No</v>
      </c>
      <c r="BF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+ 24*(1-IF(BE52="No",0,BE52)) + 16/3, 12),"No")</f>
        <v>No</v>
      </c>
      <c r="BG52" s="2">
        <f>IF(AND(_xlfn.XLOOKUP(_xlfn.XLOOKUP(B52,'Base stats'!B:B,'Base stats'!E:E),Groups!A:A,Groups!AQ:AQ)=1,AO52&lt;=0.35),8,12)</f>
        <v>12</v>
      </c>
      <c r="BH52" s="2" t="str">
        <f>IF(_xlfn.XLOOKUP(_xlfn.XLOOKUP(B52,'Base stats'!B:B,'Base stats'!E:E),Groups!A:A,Groups!D:D)=0,_xlfn.XLOOKUP(_xlfn.XLOOKUP(B52,'Base stats'!B:B,'Base stats'!E:E),Groups!A:A,Groups!AR:AR),"None")</f>
        <v>None</v>
      </c>
      <c r="BI52" s="2" t="str">
        <f>IF(AND(_xlfn.XLOOKUP(_xlfn.XLOOKUP(B52,'Base stats'!B:B,'Base stats'!E:E),Groups!A:A,Groups!AS:AS)=1,OR('Base stats'!Y52="Carnivore",'Base stats'!Y52="Omnivore")),"true","false")</f>
        <v>false</v>
      </c>
      <c r="BJ52" s="2" t="str">
        <f>IF(BI52="true",MROUND(IF(AND(AO52&gt;0.5,OR(_xlfn.XLOOKUP(_xlfn.XLOOKUP(B52,'Base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K52" s="2">
        <f t="shared" si="3"/>
        <v>0</v>
      </c>
      <c r="BL52" s="25" t="str">
        <f>IF(_xlfn.XLOOKUP(B52,'Base stats'!B:B,'Base stats'!AK:AK)="Standard","No",MROUND((_xlfn.XLOOKUP(B52,'Base stats'!B:B,'Base stats'!AK:AK)/3.6)/I52,0.1))</f>
        <v>No</v>
      </c>
      <c r="BM52" s="25" t="str">
        <f t="shared" si="4"/>
        <v>false</v>
      </c>
      <c r="BN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O52" s="25" t="str" cm="1">
        <f t="array" ref="BO52">IF(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 = "",
  "No",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
)</f>
        <v>No</v>
      </c>
      <c r="BP52" s="25" t="str">
        <f>IF(
   AND(
      'Base stats'!AK52="Standard",_xlfn.XLOOKUP(_xlfn.XLOOKUP(B52,'Base stats'!B:B,'Base stats'!E:E),Groups!A:A,Groups!AU:AU)=0,
      OR(
      BN52="True"
      )
   ),
   10,
   IF(
       OR(BL52&lt;&gt;"No",_xlfn.XLOOKUP(_xlfn.XLOOKUP(B52,'Base stats'!B:B,'Base stats'!E:E),Groups!A:A,Groups!AU:AU)=1),
      1,
      "No"
   )
)</f>
        <v>No</v>
      </c>
      <c r="BQ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stats'!AS:AS) * 1.8) * 2) * 2.5 + 10 + I52 * 2,5)+IF(_xlfn.XLOOKUP(B52,'Base stats'!B:B,'Base stats'!AH:AH)=1,50,0)</f>
        <v>70</v>
      </c>
      <c r="BR52" s="8">
        <f t="shared" si="5"/>
        <v>0.65</v>
      </c>
      <c r="BS52" s="8" t="str">
        <f>_xlfn.XLOOKUP(B52,'Base stats'!B:B,'Base stats'!AD:AD)</f>
        <v>3~10</v>
      </c>
      <c r="BT52" s="2" t="str">
        <f>IF(AND(J52&lt;=0.95,OR(_xlfn.XLOOKUP(B52,'Base stats'!B:B,'Base stats'!AH:AH)=1,_xlfn.XLOOKUP(B52,'Base stats'!B:B,'Base stats'!Y:Y)="Carnivore",_xlfn.XLOOKUP(B52,'Base stats'!B:B,'Base stats'!Y:Y)="Omnivore",BD52&gt;0.1)),"true","false")</f>
        <v>false</v>
      </c>
      <c r="BU52" s="2" t="str">
        <f>IF(_xlfn.XLOOKUP(B52,'Base stats'!B:B,'Base stats'!AF:AF)=1,"true","false")</f>
        <v>false</v>
      </c>
      <c r="BV52" s="25" t="str">
        <f>IF(E52="BaseInsect","AnimalInsect",
IF(J52&gt;0.95,"AnimalExotic",
_xlfn.TEXTJOIN(", ",TRUE,
IF(OR(_xlfn.XLOOKUP(B52,'Base stats'!B:B,'Base stats'!AJ:AJ)=1,AND(_xlfn.XLOOKUP(B52,'Base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stats'!AH:AH)=1,AND(BH52&lt;&gt;"None",BQ52&gt;=60),ISNUMBER(SEARCH("Attack target",BO52))),"AnimalFighter","")
)))</f>
        <v>AnimalCommon, AnimalFarm</v>
      </c>
      <c r="BW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),_xlfn.XLOOKUP(B52,B:B,BW:BW))</f>
        <v/>
      </c>
      <c r="BX52" s="25" t="str">
        <f>IF(_xlfn.XLOOKUP(B52,'Base stats'!B:B,'Base stats'!AG:AG)=1,"true","false")</f>
        <v>false</v>
      </c>
      <c r="BY52" s="25">
        <f>IF(_xlfn.XLOOKUP(B52,'Base stats'!B:B,'Base stats'!N:N)=1,"No",MAX(0.01,MIN(MROUND(IF(OR(_xlfn.XLOOKUP(B52,'Base stats'!B:B,'Base stats'!AJ:AJ)=1,AND(BI52="True",CB52="False")),POWER(10,3.47*LOG10(_xlfn.XLOOKUP(B52,'Base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stats'!AH:AH)=1),0.5,1)/100,0.025),1)))</f>
        <v>0.2</v>
      </c>
      <c r="BZ52" s="25" t="str">
        <f>IF(P52="Standard","No",MAX(0.01,IF(_xlfn.XLOOKUP(B52,'Base stats'!B:B,'Base stats'!N:N)=0,MROUND(BY52*P52,0.05),MIN(1,MAX(0.025,MROUND(IF(OR(CB52="true",AND(BI52="false",BN52="false")),POWER(10,4.15*LOG10(_xlfn.XLOOKUP(B52,'Base stats'!B:B,'Base stats'!C:C)*1000)^-0.73),POWER(10,3.47*LOG10(_xlfn.XLOOKUP(B52,'Base stats'!B:B,'Base stats'!C:C)*1000)^-0.96))*IF(_xlfn.XLOOKUP(B52,'Base stats'!B:B,'Base stats'!AH:AH)=1,0.5,1)/100,0.025))))))</f>
        <v>No</v>
      </c>
      <c r="CA52" s="25" t="str">
        <f>IF(_xlfn.XLOOKUP(_xlfn.XLOOKUP(B52,'Base stats'!B:B,'Base stats'!E:E),Groups!A:A,Groups!AJ:AJ)="Mammal","True","False")</f>
        <v>True</v>
      </c>
      <c r="CB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C52" s="25" t="str">
        <f t="shared" si="6"/>
        <v>False</v>
      </c>
      <c r="CD52" s="25" t="str">
        <f>IF(_xlfn.XLOOKUP(_xlfn.XLOOKUP(B52,'Base stats'!B:B,'Base stats'!E:E),Groups!A:A,Groups!AX:AX),"True","False")</f>
        <v>False</v>
      </c>
      <c r="CE52" s="25" t="str">
        <f>IF(_xlfn.XLOOKUP(_xlfn.XLOOKUP(B52,'Base stats'!B:B,'Base stats'!E:E),Groups!A:A,Groups!AY:AY),"True","False")</f>
        <v>False</v>
      </c>
      <c r="CF52" s="25" t="str">
        <f>IF(_xlfn.XLOOKUP(_xlfn.XLOOKUP(B52,'Base stats'!B:B,'Base stats'!E:E),Groups!A:A,Groups!AW:AW),"True","False")</f>
        <v>False</v>
      </c>
      <c r="CG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H52" s="25" t="str">
        <f>IF(_xlfn.XLOOKUP(_xlfn.XLOOKUP(B52,'Base stats'!B:B,'Base stats'!E:E),Groups!A:A,Groups!BB:BB),"True","False")</f>
        <v>True</v>
      </c>
      <c r="CI52" s="25" t="str">
        <f>IF(_xlfn.XLOOKUP(_xlfn.XLOOKUP(B52,'Base stats'!B:B,'Base stats'!E:E),Groups!A:A,Groups!BA:BA),"True","False")</f>
        <v>False</v>
      </c>
    </row>
    <row r="53" spans="1:87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stats'!AI:AI)=0,BH53="None",_xlfn.XLOOKUP(_xlfn.XLOOKUP(B53,'Base stats'!B:B,'Base stats'!E:E),Groups!A:A,Groups!B:B)=0), (18 + BQ53 * 2.7) * 0.5,
    IF(AND(_xlfn.XLOOKUP(B53,'Base stats'!B:B,'Base stats'!AI:AI)=0,OR(AO53&lt;0.55,AND(BH53="Intermediate",_xlfn.XLOOKUP(_xlfn.XLOOKUP(B53,'Base stats'!B:B,'Base stats'!E:E),Groups!A:A,Groups!B:B)&lt;2))), (18 + BQ53 * 2.7),
      IF(OR(BH53="Advanced",_xlfn.XLOOKUP(B53,'Base stats'!B:B,'Base stats'!AI:AI)=1,_xlfn.XLOOKUP(_xlfn.XLOOKUP(B53,'Base stats'!B:B,'Base stats'!E:E),Groups!A:A,Groups!B:B)=2), (18 + BQ53 * 2.7) + 250, (18 + BQ53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IF(_xlfn.XLOOKUP(B53,'Base stats'!B:B,'Base stats'!AI:AI)=1,0.99,MIN(MROUND((1-0.6282*EXP(-0.459*AO53))*_xlfn.XLOOKUP(_xlfn.XLOOKUP(B53,'Base stats'!B:B,'Base stats'!E:E),Groups!A:A,Groups!C:C)*IF(_xlfn.XLOOKUP(B53,'Base stats'!B:B,'Base stats'!O:O)=1,0.5,IF(_xlfn.XLOOKUP(B53,'Base stats'!B:B,'Base stats'!O:O)=2,0,1)),0.05),0.985))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W53)),ISNUMBER(SEARCH("IceSheet",BW53))),-50,IF(OR(ISNUMBER(SEARCH("GlacialPlain",BW53)),ISNUMBER(SEARCH("Tundra",BW53))),-40,IF(OR(ISNUMBER(SEARCH("Alpine",BW53)),ISNUMBER(SEARCH("BorealForest",BW53)),ISNUMBER(SEARCH("ColdBog",BW53))),-30,IF(OR(ISNUMBER(SEARCH("TemperateForest",BW53)),ISNUMBER(SEARCH("TemperateSwamp",BW53))),-20,IF(_xlfn.XLOOKUP(_xlfn.XLOOKUP(B53,'Base stats'!B:B,'Base stats'!E:E),Groups!A:A,Groups!F:F)=1,-15,IF(OR(ISNUMBER(SEARCH("Desert",BW53)),ISNUMBER(SEARCH("ExtremeDesert",BW53))),-10,IF(OR(ISNUMBER(SEARCH("Grasslands",BW53)),ISNUMBER(SEARCH("TropicalRainforest",BW53)),ISNUMBER(SEARCH("TropicalSwamp",BW53))),10,0)))))))-IF(CB53="False",MIN(IFERROR(MAX(MROUND(LOG10(_xlfn.XLOOKUP(B53,'Base stats'!B:B,'Base stats'!C:C)^(2/3))*10,5),5),5),30))-_xlfn.XLOOKUP(B53,'Base stats'!B:B,'Base stats'!P:P)+IF(CB53="True",5,0)</f>
        <v>-50</v>
      </c>
      <c r="M53" s="2">
        <f>IF(OR(_xlfn.XLOOKUP(_xlfn.XLOOKUP(B53,'Base stats'!B:B,'Base stats'!E:E),Groups!A:A,Groups!G:G)=2,ISNUMBER(SEARCH("Desert",BW53)),ISNUMBER(SEARCH("ExtremeDesert",BW53)),ISNUMBER(SEARCH("LavaField",BW53))),50,IF(ISNUMBER(SEARCH("Grasslands",BW53)),45,IF(OR(_xlfn.XLOOKUP(_xlfn.XLOOKUP(B53,'Base stats'!B:B,'Base stats'!E:E),Groups!A:A,Groups!G:G)=1,ISNUMBER(SEARCH("TropicalRainforest",BW53)),ISNUMBER(SEARCH("TropicalSwamp",BW53))),40,IF(OR(ISNUMBER(SEARCH("TemperateForest",BW53)),ISNUMBER(SEARCH("TemperateSwamp",BW53))),35,IF(OR(ISNUMBER(SEARCH("Alpine",BW53)),ISNUMBER(SEARCH("BorealForest",BW53)),ISNUMBER(SEARCH("ColdBog",BW53))),30,IF(ISNUMBER(OR(ISNUMBER(SEARCH("GlacialPlain",BW53)),SEARCH("Tundra",BW53))),25,IF(OR(ISNUMBER(SEARCH("SeaIce",BW53)),ISNUMBER(SEARCH("IceSheet",BW53)),ISNUMBER(SEARCH("TropicalSwamp",BW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stats'!AO:AO))*(AO53^0.5)+(_xlfn.XLOOKUP(B53,'Base stats'!B:B,'Base stats'!AO:AO)/1000)^(2/3)+_xlfn.XLOOKUP(B53,'Base stats'!B:B,'Base stats'!AX:AX)/2)+0.5,0.5)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stats'!AP:AP))*(AO53^0.5)+(_xlfn.XLOOKUP(B53,'Base stats'!B:B,'Base stats'!AP:AP)/1000)^(2/3)+_xlfn.XLOOKUP(B53,'Base stats'!B:B,'Base stats'!AX:AX))+_xlfn.XLOOKUP(B53,'Base stats'!B:B,'Base stats'!AV:AV)+0.5,0.5))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stats'!AR:AR))*(AO53^0.5)+(_xlfn.XLOOKUP(B53,'Base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stats'!AQ:AQ)="No","No",MROUND((LOG10(_xlfn.XLOOKUP(B53,'Base stats'!B:B,'Base stats'!AQ:AQ))*(AO53^0.75)+(_xlfn.XLOOKUP(B53,'Base stats'!B:B,'Base stats'!AQ:AQ)/1000)^(2/3)+_xlfn.XLOOKUP(B53,'Base stats'!B:B,'Base stats'!AU:AU)+_xlfn.XLOOKUP(B53,'Base stats'!B:B,'Base stats'!AX:AX))+0.5,0.5))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stats'!AP:AP))*(AO53^0.75)+(_xlfn.XLOOKUP(B53,'Base stats'!B:B,'Base stats'!AP:AP)/1000)^(2/3)+_xlfn.XLOOKUP(B53,'Base stats'!B:B,'Base stats'!AV:AV)+_xlfn.XLOOKUP(B53,'Base stats'!B:B,'Base stats'!AX:AX))+0.5,0.5))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MAX(0.01,MROUND(IF(CB53="True",0.196*(AO53*100*1000)^0.889,IF(_xlfn.XLOOKUP(_xlfn.XLOOKUP(B53,'Base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stats'!AE:AE)</f>
        <v>Leather_Plain</v>
      </c>
      <c r="BB53" s="23" t="str">
        <f>_xlfn.XLOOKUP(_xlfn.XLOOKUP(B53,'Base stats'!B:B,'Base stats'!E:E),Groups!A:A,Groups!AL:AL)</f>
        <v>QuadrupedAnimalWithHooves</v>
      </c>
      <c r="BC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D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E53" s="2" t="str">
        <f>IF(J53&gt;0.3,"No",_xlfn.XLOOKUP(_xlfn.XLOOKUP(Animals!B53,'Base stats'!B:B,'Base stats'!E:E),Groups!A:A,Groups!AP:AP))</f>
        <v>No</v>
      </c>
      <c r="BF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+ 24*(1-IF(BE53="No",0,BE53)) + 16/3, 12),"No")</f>
        <v>No</v>
      </c>
      <c r="BG53" s="2">
        <f>IF(AND(_xlfn.XLOOKUP(_xlfn.XLOOKUP(B53,'Base stats'!B:B,'Base stats'!E:E),Groups!A:A,Groups!AQ:AQ)=1,AO53&lt;=0.35),8,12)</f>
        <v>12</v>
      </c>
      <c r="BH53" s="2" t="str">
        <f>IF(_xlfn.XLOOKUP(_xlfn.XLOOKUP(B53,'Base stats'!B:B,'Base stats'!E:E),Groups!A:A,Groups!D:D)=0,_xlfn.XLOOKUP(_xlfn.XLOOKUP(B53,'Base stats'!B:B,'Base stats'!E:E),Groups!A:A,Groups!AR:AR),"None")</f>
        <v>None</v>
      </c>
      <c r="BI53" s="2" t="str">
        <f>IF(AND(_xlfn.XLOOKUP(_xlfn.XLOOKUP(B53,'Base stats'!B:B,'Base stats'!E:E),Groups!A:A,Groups!AS:AS)=1,OR('Base stats'!Y53="Carnivore",'Base stats'!Y53="Omnivore")),"true","false")</f>
        <v>false</v>
      </c>
      <c r="BJ53" s="2" t="str">
        <f>IF(BI53="true",MROUND(IF(AND(AO53&gt;0.5,OR(_xlfn.XLOOKUP(_xlfn.XLOOKUP(B53,'Base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K53" s="2">
        <f t="shared" si="3"/>
        <v>0</v>
      </c>
      <c r="BL53" s="25" t="str">
        <f>IF(_xlfn.XLOOKUP(B53,'Base stats'!B:B,'Base stats'!AK:AK)="Standard","No",MROUND((_xlfn.XLOOKUP(B53,'Base stats'!B:B,'Base stats'!AK:AK)/3.6)/I53,0.1))</f>
        <v>No</v>
      </c>
      <c r="BM53" s="25" t="str">
        <f t="shared" si="4"/>
        <v>false</v>
      </c>
      <c r="BN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O53" s="25" t="str" cm="1">
        <f t="array" ref="BO53">IF(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 = "",
  "No",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
)</f>
        <v>No</v>
      </c>
      <c r="BP53" s="25" t="str">
        <f>IF(
   AND(
      'Base stats'!AK53="Standard",_xlfn.XLOOKUP(_xlfn.XLOOKUP(B53,'Base stats'!B:B,'Base stats'!E:E),Groups!A:A,Groups!AU:AU)=0,
      OR(
      BN53="True"
      )
   ),
   10,
   IF(
       OR(BL53&lt;&gt;"No",_xlfn.XLOOKUP(_xlfn.XLOOKUP(B53,'Base stats'!B:B,'Base stats'!E:E),Groups!A:A,Groups!AU:AU)=1),
      1,
      "No"
   )
)</f>
        <v>No</v>
      </c>
      <c r="BQ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stats'!AS:AS) * 1.8) * 2) * 2.5 + 10 + I53 * 2,5)+IF(_xlfn.XLOOKUP(B53,'Base stats'!B:B,'Base stats'!AH:AH)=1,50,0)</f>
        <v>75</v>
      </c>
      <c r="BR53" s="8">
        <f t="shared" si="5"/>
        <v>0.60000000000000009</v>
      </c>
      <c r="BS53" s="8" t="str">
        <f>_xlfn.XLOOKUP(B53,'Base stats'!B:B,'Base stats'!AD:AD)</f>
        <v>3~10</v>
      </c>
      <c r="BT53" s="2" t="str">
        <f>IF(AND(J53&lt;=0.95,OR(_xlfn.XLOOKUP(B53,'Base stats'!B:B,'Base stats'!AH:AH)=1,_xlfn.XLOOKUP(B53,'Base stats'!B:B,'Base stats'!Y:Y)="Carnivore",_xlfn.XLOOKUP(B53,'Base stats'!B:B,'Base stats'!Y:Y)="Omnivore",BD53&gt;0.1)),"true","false")</f>
        <v>false</v>
      </c>
      <c r="BU53" s="2" t="str">
        <f>IF(_xlfn.XLOOKUP(B53,'Base stats'!B:B,'Base stats'!AF:AF)=1,"true","false")</f>
        <v>false</v>
      </c>
      <c r="BV53" s="25" t="str">
        <f>IF(E53="BaseInsect","AnimalInsect",
IF(J53&gt;0.95,"AnimalExotic",
_xlfn.TEXTJOIN(", ",TRUE,
IF(OR(_xlfn.XLOOKUP(B53,'Base stats'!B:B,'Base stats'!AJ:AJ)=1,AND(_xlfn.XLOOKUP(B53,'Base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stats'!AH:AH)=1,AND(BH53&lt;&gt;"None",BQ53&gt;=60),ISNUMBER(SEARCH("Attack target",BO53))),"AnimalFighter","")
)))</f>
        <v>AnimalCommon</v>
      </c>
      <c r="BW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),_xlfn.XLOOKUP(B53,B:B,BW:BW))</f>
        <v>BorealForest ColdBog TemperateForest TemperateSwamp GlacialPlain</v>
      </c>
      <c r="BX53" s="25" t="str">
        <f>IF(_xlfn.XLOOKUP(B53,'Base stats'!B:B,'Base stats'!AG:AG)=1,"true","false")</f>
        <v>false</v>
      </c>
      <c r="BY53" s="25">
        <f>IF(_xlfn.XLOOKUP(B53,'Base stats'!B:B,'Base stats'!N:N)=1,"No",MAX(0.01,MIN(MROUND(IF(OR(_xlfn.XLOOKUP(B53,'Base stats'!B:B,'Base stats'!AJ:AJ)=1,AND(BI53="True",CB53="False")),POWER(10,3.47*LOG10(_xlfn.XLOOKUP(B53,'Base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stats'!AH:AH)=1),0.5,1)/100,0.025),1)))</f>
        <v>0.22500000000000001</v>
      </c>
      <c r="BZ53" s="25" t="str">
        <f>IF(P53="Standard","No",MAX(0.01,IF(_xlfn.XLOOKUP(B53,'Base stats'!B:B,'Base stats'!N:N)=0,MROUND(BY53*P53,0.05),MIN(1,MAX(0.025,MROUND(IF(OR(CB53="true",AND(BI53="false",BN53="false")),POWER(10,4.15*LOG10(_xlfn.XLOOKUP(B53,'Base stats'!B:B,'Base stats'!C:C)*1000)^-0.73),POWER(10,3.47*LOG10(_xlfn.XLOOKUP(B53,'Base stats'!B:B,'Base stats'!C:C)*1000)^-0.96))*IF(_xlfn.XLOOKUP(B53,'Base stats'!B:B,'Base stats'!AH:AH)=1,0.5,1)/100,0.025))))))</f>
        <v>No</v>
      </c>
      <c r="CA53" s="25" t="str">
        <f>IF(_xlfn.XLOOKUP(_xlfn.XLOOKUP(B53,'Base stats'!B:B,'Base stats'!E:E),Groups!A:A,Groups!AJ:AJ)="Mammal","True","False")</f>
        <v>True</v>
      </c>
      <c r="CB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C53" s="25" t="str">
        <f t="shared" si="6"/>
        <v>False</v>
      </c>
      <c r="CD53" s="25" t="str">
        <f>IF(_xlfn.XLOOKUP(_xlfn.XLOOKUP(B53,'Base stats'!B:B,'Base stats'!E:E),Groups!A:A,Groups!AX:AX),"True","False")</f>
        <v>False</v>
      </c>
      <c r="CE53" s="25" t="str">
        <f>IF(_xlfn.XLOOKUP(_xlfn.XLOOKUP(B53,'Base stats'!B:B,'Base stats'!E:E),Groups!A:A,Groups!AY:AY),"True","False")</f>
        <v>False</v>
      </c>
      <c r="CF53" s="25" t="str">
        <f>IF(_xlfn.XLOOKUP(_xlfn.XLOOKUP(B53,'Base stats'!B:B,'Base stats'!E:E),Groups!A:A,Groups!AW:AW),"True","False")</f>
        <v>False</v>
      </c>
      <c r="CG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H53" s="25" t="str">
        <f>IF(_xlfn.XLOOKUP(_xlfn.XLOOKUP(B53,'Base stats'!B:B,'Base stats'!E:E),Groups!A:A,Groups!BB:BB),"True","False")</f>
        <v>True</v>
      </c>
      <c r="CI53" s="25" t="str">
        <f>IF(_xlfn.XLOOKUP(_xlfn.XLOOKUP(B53,'Base stats'!B:B,'Base stats'!E:E),Groups!A:A,Groups!BA:BA),"True","False")</f>
        <v>False</v>
      </c>
    </row>
    <row r="54" spans="1:87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stats'!AI:AI)=0,BH54="None",_xlfn.XLOOKUP(_xlfn.XLOOKUP(B54,'Base stats'!B:B,'Base stats'!E:E),Groups!A:A,Groups!B:B)=0), (18 + BQ54 * 2.7) * 0.5,
    IF(AND(_xlfn.XLOOKUP(B54,'Base stats'!B:B,'Base stats'!AI:AI)=0,OR(AO54&lt;0.55,AND(BH54="Intermediate",_xlfn.XLOOKUP(_xlfn.XLOOKUP(B54,'Base stats'!B:B,'Base stats'!E:E),Groups!A:A,Groups!B:B)&lt;2))), (18 + BQ54 * 2.7),
      IF(OR(BH54="Advanced",_xlfn.XLOOKUP(B54,'Base stats'!B:B,'Base stats'!AI:AI)=1,_xlfn.XLOOKUP(_xlfn.XLOOKUP(B54,'Base stats'!B:B,'Base stats'!E:E),Groups!A:A,Groups!B:B)=2), (18 + BQ54 * 2.7) + 250, (18 + BQ54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IF(_xlfn.XLOOKUP(B54,'Base stats'!B:B,'Base stats'!AI:AI)=1,0.99,MIN(MROUND((1-0.6282*EXP(-0.459*AO54))*_xlfn.XLOOKUP(_xlfn.XLOOKUP(B54,'Base stats'!B:B,'Base stats'!E:E),Groups!A:A,Groups!C:C)*IF(_xlfn.XLOOKUP(B54,'Base stats'!B:B,'Base stats'!O:O)=1,0.5,IF(_xlfn.XLOOKUP(B54,'Base stats'!B:B,'Base stats'!O:O)=2,0,1)),0.05),0.985))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W54)),ISNUMBER(SEARCH("IceSheet",BW54))),-50,IF(OR(ISNUMBER(SEARCH("GlacialPlain",BW54)),ISNUMBER(SEARCH("Tundra",BW54))),-40,IF(OR(ISNUMBER(SEARCH("Alpine",BW54)),ISNUMBER(SEARCH("BorealForest",BW54)),ISNUMBER(SEARCH("ColdBog",BW54))),-30,IF(OR(ISNUMBER(SEARCH("TemperateForest",BW54)),ISNUMBER(SEARCH("TemperateSwamp",BW54))),-20,IF(_xlfn.XLOOKUP(_xlfn.XLOOKUP(B54,'Base stats'!B:B,'Base stats'!E:E),Groups!A:A,Groups!F:F)=1,-15,IF(OR(ISNUMBER(SEARCH("Desert",BW54)),ISNUMBER(SEARCH("ExtremeDesert",BW54))),-10,IF(OR(ISNUMBER(SEARCH("Grasslands",BW54)),ISNUMBER(SEARCH("TropicalRainforest",BW54)),ISNUMBER(SEARCH("TropicalSwamp",BW54))),10,0)))))))-IF(CB54="False",MIN(IFERROR(MAX(MROUND(LOG10(_xlfn.XLOOKUP(B54,'Base stats'!B:B,'Base stats'!C:C)^(2/3))*10,5),5),5),30))-_xlfn.XLOOKUP(B54,'Base stats'!B:B,'Base stats'!P:P)+IF(CB54="True",5,0)</f>
        <v>-25</v>
      </c>
      <c r="M54" s="2">
        <f>IF(OR(_xlfn.XLOOKUP(_xlfn.XLOOKUP(B54,'Base stats'!B:B,'Base stats'!E:E),Groups!A:A,Groups!G:G)=2,ISNUMBER(SEARCH("Desert",BW54)),ISNUMBER(SEARCH("ExtremeDesert",BW54)),ISNUMBER(SEARCH("LavaField",BW54))),50,IF(ISNUMBER(SEARCH("Grasslands",BW54)),45,IF(OR(_xlfn.XLOOKUP(_xlfn.XLOOKUP(B54,'Base stats'!B:B,'Base stats'!E:E),Groups!A:A,Groups!G:G)=1,ISNUMBER(SEARCH("TropicalRainforest",BW54)),ISNUMBER(SEARCH("TropicalSwamp",BW54))),40,IF(OR(ISNUMBER(SEARCH("TemperateForest",BW54)),ISNUMBER(SEARCH("TemperateSwamp",BW54))),35,IF(OR(ISNUMBER(SEARCH("Alpine",BW54)),ISNUMBER(SEARCH("BorealForest",BW54)),ISNUMBER(SEARCH("ColdBog",BW54))),30,IF(ISNUMBER(OR(ISNUMBER(SEARCH("GlacialPlain",BW54)),SEARCH("Tundra",BW54))),25,IF(OR(ISNUMBER(SEARCH("SeaIce",BW54)),ISNUMBER(SEARCH("IceSheet",BW54)),ISNUMBER(SEARCH("TropicalSwamp",BW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stats'!AO:AO))*(AO54^0.5)+(_xlfn.XLOOKUP(B54,'Base stats'!B:B,'Base stats'!AO:AO)/1000)^(2/3)+_xlfn.XLOOKUP(B54,'Base stats'!B:B,'Base stats'!AX:AX)/2)+0.5,0.5)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stats'!AP:AP))*(AO54^0.5)+(_xlfn.XLOOKUP(B54,'Base stats'!B:B,'Base stats'!AP:AP)/1000)^(2/3)+_xlfn.XLOOKUP(B54,'Base stats'!B:B,'Base stats'!AX:AX))+_xlfn.XLOOKUP(B54,'Base stats'!B:B,'Base stats'!AV:AV)+0.5,0.5))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stats'!AR:AR))*(AO54^0.5)+(_xlfn.XLOOKUP(B54,'Base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stats'!AQ:AQ)="No","No",MROUND((LOG10(_xlfn.XLOOKUP(B54,'Base stats'!B:B,'Base stats'!AQ:AQ))*(AO54^0.75)+(_xlfn.XLOOKUP(B54,'Base stats'!B:B,'Base stats'!AQ:AQ)/1000)^(2/3)+_xlfn.XLOOKUP(B54,'Base stats'!B:B,'Base stats'!AU:AU)+_xlfn.XLOOKUP(B54,'Base stats'!B:B,'Base stats'!AX:AX))+0.5,0.5))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stats'!AP:AP))*(AO54^0.75)+(_xlfn.XLOOKUP(B54,'Base stats'!B:B,'Base stats'!AP:AP)/1000)^(2/3)+_xlfn.XLOOKUP(B54,'Base stats'!B:B,'Base stats'!AV:AV)+_xlfn.XLOOKUP(B54,'Base stats'!B:B,'Base stats'!AX:AX))+0.5,0.5))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MAX(0.01,MROUND(IF(CB54="True",0.196*(AO54*100*1000)^0.889,IF(_xlfn.XLOOKUP(_xlfn.XLOOKUP(B54,'Base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stats'!AE:AE)</f>
        <v>Leather_Plain</v>
      </c>
      <c r="BB54" s="23" t="str">
        <f>_xlfn.XLOOKUP(_xlfn.XLOOKUP(B54,'Base stats'!B:B,'Base stats'!E:E),Groups!A:A,Groups!AL:AL)</f>
        <v>QuadrupedAnimalWithHooves</v>
      </c>
      <c r="BC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D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E54" s="2" t="str">
        <f>IF(J54&gt;0.3,"No",_xlfn.XLOOKUP(_xlfn.XLOOKUP(Animals!B54,'Base stats'!B:B,'Base stats'!E:E),Groups!A:A,Groups!AP:AP))</f>
        <v>No</v>
      </c>
      <c r="BF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+ 24*(1-IF(BE54="No",0,BE54)) + 16/3, 12),"No")</f>
        <v>No</v>
      </c>
      <c r="BG54" s="2">
        <f>IF(AND(_xlfn.XLOOKUP(_xlfn.XLOOKUP(B54,'Base stats'!B:B,'Base stats'!E:E),Groups!A:A,Groups!AQ:AQ)=1,AO54&lt;=0.35),8,12)</f>
        <v>12</v>
      </c>
      <c r="BH54" s="2" t="str">
        <f>IF(_xlfn.XLOOKUP(_xlfn.XLOOKUP(B54,'Base stats'!B:B,'Base stats'!E:E),Groups!A:A,Groups!D:D)=0,_xlfn.XLOOKUP(_xlfn.XLOOKUP(B54,'Base stats'!B:B,'Base stats'!E:E),Groups!A:A,Groups!AR:AR),"None")</f>
        <v>None</v>
      </c>
      <c r="BI54" s="2" t="str">
        <f>IF(AND(_xlfn.XLOOKUP(_xlfn.XLOOKUP(B54,'Base stats'!B:B,'Base stats'!E:E),Groups!A:A,Groups!AS:AS)=1,OR('Base stats'!Y54="Carnivore",'Base stats'!Y54="Omnivore")),"true","false")</f>
        <v>false</v>
      </c>
      <c r="BJ54" s="2" t="str">
        <f>IF(BI54="true",MROUND(IF(AND(AO54&gt;0.5,OR(_xlfn.XLOOKUP(_xlfn.XLOOKUP(B54,'Base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K54" s="2">
        <f t="shared" si="3"/>
        <v>0</v>
      </c>
      <c r="BL54" s="25" t="str">
        <f>IF(_xlfn.XLOOKUP(B54,'Base stats'!B:B,'Base stats'!AK:AK)="Standard","No",MROUND((_xlfn.XLOOKUP(B54,'Base stats'!B:B,'Base stats'!AK:AK)/3.6)/I54,0.1))</f>
        <v>No</v>
      </c>
      <c r="BM54" s="25" t="str">
        <f t="shared" si="4"/>
        <v>false</v>
      </c>
      <c r="BN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O54" s="25" t="str" cm="1">
        <f t="array" ref="BO54">IF(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 = "",
  "No",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
)</f>
        <v>No</v>
      </c>
      <c r="BP54" s="25" t="str">
        <f>IF(
   AND(
      'Base stats'!AK54="Standard",_xlfn.XLOOKUP(_xlfn.XLOOKUP(B54,'Base stats'!B:B,'Base stats'!E:E),Groups!A:A,Groups!AU:AU)=0,
      OR(
      BN54="True"
      )
   ),
   10,
   IF(
       OR(BL54&lt;&gt;"No",_xlfn.XLOOKUP(_xlfn.XLOOKUP(B54,'Base stats'!B:B,'Base stats'!E:E),Groups!A:A,Groups!AU:AU)=1),
      1,
      "No"
   )
)</f>
        <v>No</v>
      </c>
      <c r="BQ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stats'!AS:AS) * 1.8) * 2) * 2.5 + 10 + I54 * 2,5)+IF(_xlfn.XLOOKUP(B54,'Base stats'!B:B,'Base stats'!AH:AH)=1,50,0)</f>
        <v>65</v>
      </c>
      <c r="BR54" s="8">
        <f t="shared" si="5"/>
        <v>0.45</v>
      </c>
      <c r="BS54" s="8" t="str">
        <f>_xlfn.XLOOKUP(B54,'Base stats'!B:B,'Base stats'!AD:AD)</f>
        <v>5~15</v>
      </c>
      <c r="BT54" s="2" t="str">
        <f>IF(AND(J54&lt;=0.95,OR(_xlfn.XLOOKUP(B54,'Base stats'!B:B,'Base stats'!AH:AH)=1,_xlfn.XLOOKUP(B54,'Base stats'!B:B,'Base stats'!Y:Y)="Carnivore",_xlfn.XLOOKUP(B54,'Base stats'!B:B,'Base stats'!Y:Y)="Omnivore",BD54&gt;0.1)),"true","false")</f>
        <v>false</v>
      </c>
      <c r="BU54" s="2" t="str">
        <f>IF(_xlfn.XLOOKUP(B54,'Base stats'!B:B,'Base stats'!AF:AF)=1,"true","false")</f>
        <v>false</v>
      </c>
      <c r="BV54" s="25" t="str">
        <f>IF(E54="BaseInsect","AnimalInsect",
IF(J54&gt;0.95,"AnimalExotic",
_xlfn.TEXTJOIN(", ",TRUE,
IF(OR(_xlfn.XLOOKUP(B54,'Base stats'!B:B,'Base stats'!AJ:AJ)=1,AND(_xlfn.XLOOKUP(B54,'Base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stats'!AH:AH)=1,AND(BH54&lt;&gt;"None",BQ54&gt;=60),ISNUMBER(SEARCH("Attack target",BO54))),"AnimalFighter","")
)))</f>
        <v>AnimalCommon</v>
      </c>
      <c r="BW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),_xlfn.XLOOKUP(B54,B:B,BW:BW))</f>
        <v>AridShrubland Desert Grasslands LavaField</v>
      </c>
      <c r="BX54" s="25" t="str">
        <f>IF(_xlfn.XLOOKUP(B54,'Base stats'!B:B,'Base stats'!AG:AG)=1,"true","false")</f>
        <v>false</v>
      </c>
      <c r="BY54" s="25">
        <f>IF(_xlfn.XLOOKUP(B54,'Base stats'!B:B,'Base stats'!N:N)=1,"No",MAX(0.01,MIN(MROUND(IF(OR(_xlfn.XLOOKUP(B54,'Base stats'!B:B,'Base stats'!AJ:AJ)=1,AND(BI54="True",CB54="False")),POWER(10,3.47*LOG10(_xlfn.XLOOKUP(B54,'Base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stats'!AH:AH)=1),0.5,1)/100,0.025),1)))</f>
        <v>0.25</v>
      </c>
      <c r="BZ54" s="25" t="str">
        <f>IF(P54="Standard","No",MAX(0.01,IF(_xlfn.XLOOKUP(B54,'Base stats'!B:B,'Base stats'!N:N)=0,MROUND(BY54*P54,0.05),MIN(1,MAX(0.025,MROUND(IF(OR(CB54="true",AND(BI54="false",BN54="false")),POWER(10,4.15*LOG10(_xlfn.XLOOKUP(B54,'Base stats'!B:B,'Base stats'!C:C)*1000)^-0.73),POWER(10,3.47*LOG10(_xlfn.XLOOKUP(B54,'Base stats'!B:B,'Base stats'!C:C)*1000)^-0.96))*IF(_xlfn.XLOOKUP(B54,'Base stats'!B:B,'Base stats'!AH:AH)=1,0.5,1)/100,0.025))))))</f>
        <v>No</v>
      </c>
      <c r="CA54" s="25" t="str">
        <f>IF(_xlfn.XLOOKUP(_xlfn.XLOOKUP(B54,'Base stats'!B:B,'Base stats'!E:E),Groups!A:A,Groups!AJ:AJ)="Mammal","True","False")</f>
        <v>True</v>
      </c>
      <c r="CB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C54" s="25" t="str">
        <f t="shared" si="6"/>
        <v>False</v>
      </c>
      <c r="CD54" s="25" t="str">
        <f>IF(_xlfn.XLOOKUP(_xlfn.XLOOKUP(B54,'Base stats'!B:B,'Base stats'!E:E),Groups!A:A,Groups!AX:AX),"True","False")</f>
        <v>False</v>
      </c>
      <c r="CE54" s="25" t="str">
        <f>IF(_xlfn.XLOOKUP(_xlfn.XLOOKUP(B54,'Base stats'!B:B,'Base stats'!E:E),Groups!A:A,Groups!AY:AY),"True","False")</f>
        <v>False</v>
      </c>
      <c r="CF54" s="25" t="str">
        <f>IF(_xlfn.XLOOKUP(_xlfn.XLOOKUP(B54,'Base stats'!B:B,'Base stats'!E:E),Groups!A:A,Groups!AW:AW),"True","False")</f>
        <v>False</v>
      </c>
      <c r="CG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H54" s="25" t="str">
        <f>IF(_xlfn.XLOOKUP(_xlfn.XLOOKUP(B54,'Base stats'!B:B,'Base stats'!E:E),Groups!A:A,Groups!BB:BB),"True","False")</f>
        <v>True</v>
      </c>
      <c r="CI54" s="25" t="str">
        <f>IF(_xlfn.XLOOKUP(_xlfn.XLOOKUP(B54,'Base stats'!B:B,'Base stats'!E:E),Groups!A:A,Groups!BA:BA),"True","False")</f>
        <v>False</v>
      </c>
    </row>
    <row r="55" spans="1:87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stats'!AI:AI)=0,BH55="None",_xlfn.XLOOKUP(_xlfn.XLOOKUP(B55,'Base stats'!B:B,'Base stats'!E:E),Groups!A:A,Groups!B:B)=0), (18 + BQ55 * 2.7) * 0.5,
    IF(AND(_xlfn.XLOOKUP(B55,'Base stats'!B:B,'Base stats'!AI:AI)=0,OR(AO55&lt;0.55,AND(BH55="Intermediate",_xlfn.XLOOKUP(_xlfn.XLOOKUP(B55,'Base stats'!B:B,'Base stats'!E:E),Groups!A:A,Groups!B:B)&lt;2))), (18 + BQ55 * 2.7),
      IF(OR(BH55="Advanced",_xlfn.XLOOKUP(B55,'Base stats'!B:B,'Base stats'!AI:AI)=1,_xlfn.XLOOKUP(_xlfn.XLOOKUP(B55,'Base stats'!B:B,'Base stats'!E:E),Groups!A:A,Groups!B:B)=2), (18 + BQ55 * 2.7) + 250, (18 + BQ55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IF(_xlfn.XLOOKUP(B55,'Base stats'!B:B,'Base stats'!AI:AI)=1,0.99,MIN(MROUND((1-0.6282*EXP(-0.459*AO55))*_xlfn.XLOOKUP(_xlfn.XLOOKUP(B55,'Base stats'!B:B,'Base stats'!E:E),Groups!A:A,Groups!C:C)*IF(_xlfn.XLOOKUP(B55,'Base stats'!B:B,'Base stats'!O:O)=1,0.5,IF(_xlfn.XLOOKUP(B55,'Base stats'!B:B,'Base stats'!O:O)=2,0,1)),0.05),0.985))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W55)),ISNUMBER(SEARCH("IceSheet",BW55))),-50,IF(OR(ISNUMBER(SEARCH("GlacialPlain",BW55)),ISNUMBER(SEARCH("Tundra",BW55))),-40,IF(OR(ISNUMBER(SEARCH("Alpine",BW55)),ISNUMBER(SEARCH("BorealForest",BW55)),ISNUMBER(SEARCH("ColdBog",BW55))),-30,IF(OR(ISNUMBER(SEARCH("TemperateForest",BW55)),ISNUMBER(SEARCH("TemperateSwamp",BW55))),-20,IF(_xlfn.XLOOKUP(_xlfn.XLOOKUP(B55,'Base stats'!B:B,'Base stats'!E:E),Groups!A:A,Groups!F:F)=1,-15,IF(OR(ISNUMBER(SEARCH("Desert",BW55)),ISNUMBER(SEARCH("ExtremeDesert",BW55))),-10,IF(OR(ISNUMBER(SEARCH("Grasslands",BW55)),ISNUMBER(SEARCH("TropicalRainforest",BW55)),ISNUMBER(SEARCH("TropicalSwamp",BW55))),10,0)))))))-IF(CB55="False",MIN(IFERROR(MAX(MROUND(LOG10(_xlfn.XLOOKUP(B55,'Base stats'!B:B,'Base stats'!C:C)^(2/3))*10,5),5),5),30))-_xlfn.XLOOKUP(B55,'Base stats'!B:B,'Base stats'!P:P)+IF(CB55="True",5,0)</f>
        <v>-35</v>
      </c>
      <c r="M55" s="2">
        <f>IF(OR(_xlfn.XLOOKUP(_xlfn.XLOOKUP(B55,'Base stats'!B:B,'Base stats'!E:E),Groups!A:A,Groups!G:G)=2,ISNUMBER(SEARCH("Desert",BW55)),ISNUMBER(SEARCH("ExtremeDesert",BW55)),ISNUMBER(SEARCH("LavaField",BW55))),50,IF(ISNUMBER(SEARCH("Grasslands",BW55)),45,IF(OR(_xlfn.XLOOKUP(_xlfn.XLOOKUP(B55,'Base stats'!B:B,'Base stats'!E:E),Groups!A:A,Groups!G:G)=1,ISNUMBER(SEARCH("TropicalRainforest",BW55)),ISNUMBER(SEARCH("TropicalSwamp",BW55))),40,IF(OR(ISNUMBER(SEARCH("TemperateForest",BW55)),ISNUMBER(SEARCH("TemperateSwamp",BW55))),35,IF(OR(ISNUMBER(SEARCH("Alpine",BW55)),ISNUMBER(SEARCH("BorealForest",BW55)),ISNUMBER(SEARCH("ColdBog",BW55))),30,IF(ISNUMBER(OR(ISNUMBER(SEARCH("GlacialPlain",BW55)),SEARCH("Tundra",BW55))),25,IF(OR(ISNUMBER(SEARCH("SeaIce",BW55)),ISNUMBER(SEARCH("IceSheet",BW55)),ISNUMBER(SEARCH("TropicalSwamp",BW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stats'!AO:AO))*(AO55^0.5)+(_xlfn.XLOOKUP(B55,'Base stats'!B:B,'Base stats'!AO:AO)/1000)^(2/3)+_xlfn.XLOOKUP(B55,'Base stats'!B:B,'Base stats'!AX:AX)/2)+0.5,0.5)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stats'!AP:AP))*(AO55^0.5)+(_xlfn.XLOOKUP(B55,'Base stats'!B:B,'Base stats'!AP:AP)/1000)^(2/3)+_xlfn.XLOOKUP(B55,'Base stats'!B:B,'Base stats'!AX:AX))+_xlfn.XLOOKUP(B55,'Base stats'!B:B,'Base stats'!AV:AV)+0.5,0.5))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stats'!AR:AR))*(AO55^0.5)+(_xlfn.XLOOKUP(B55,'Base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stats'!AQ:AQ)="No","No",MROUND((LOG10(_xlfn.XLOOKUP(B55,'Base stats'!B:B,'Base stats'!AQ:AQ))*(AO55^0.75)+(_xlfn.XLOOKUP(B55,'Base stats'!B:B,'Base stats'!AQ:AQ)/1000)^(2/3)+_xlfn.XLOOKUP(B55,'Base stats'!B:B,'Base stats'!AU:AU)+_xlfn.XLOOKUP(B55,'Base stats'!B:B,'Base stats'!AX:AX))+0.5,0.5))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stats'!AP:AP))*(AO55^0.75)+(_xlfn.XLOOKUP(B55,'Base stats'!B:B,'Base stats'!AP:AP)/1000)^(2/3)+_xlfn.XLOOKUP(B55,'Base stats'!B:B,'Base stats'!AV:AV)+_xlfn.XLOOKUP(B55,'Base stats'!B:B,'Base stats'!AX:AX))+0.5,0.5))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MAX(0.01,MROUND(IF(CB55="True",0.196*(AO55*100*1000)^0.889,IF(_xlfn.XLOOKUP(_xlfn.XLOOKUP(B55,'Base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stats'!AE:AE)</f>
        <v>Leather_Wolf</v>
      </c>
      <c r="BB55" s="23" t="str">
        <f>_xlfn.XLOOKUP(_xlfn.XLOOKUP(B55,'Base stats'!B:B,'Base stats'!E:E),Groups!A:A,Groups!AL:AL)</f>
        <v>QuadrupedAnimalWithPawsAndTail</v>
      </c>
      <c r="BC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D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E55" s="2" t="str">
        <f>IF(J55&gt;0.3,"No",_xlfn.XLOOKUP(_xlfn.XLOOKUP(Animals!B55,'Base stats'!B:B,'Base stats'!E:E),Groups!A:A,Groups!AP:AP))</f>
        <v>No</v>
      </c>
      <c r="BF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+ 24*(1-IF(BE55="No",0,BE55)) + 16/3, 12),"No")</f>
        <v>72</v>
      </c>
      <c r="BG55" s="2">
        <f>IF(AND(_xlfn.XLOOKUP(_xlfn.XLOOKUP(B55,'Base stats'!B:B,'Base stats'!E:E),Groups!A:A,Groups!AQ:AQ)=1,AO55&lt;=0.35),8,12)</f>
        <v>12</v>
      </c>
      <c r="BH55" s="2" t="str">
        <f>IF(_xlfn.XLOOKUP(_xlfn.XLOOKUP(B55,'Base stats'!B:B,'Base stats'!E:E),Groups!A:A,Groups!D:D)=0,_xlfn.XLOOKUP(_xlfn.XLOOKUP(B55,'Base stats'!B:B,'Base stats'!E:E),Groups!A:A,Groups!AR:AR),"None")</f>
        <v>Advanced</v>
      </c>
      <c r="BI55" s="2" t="str">
        <f>IF(AND(_xlfn.XLOOKUP(_xlfn.XLOOKUP(B55,'Base stats'!B:B,'Base stats'!E:E),Groups!A:A,Groups!AS:AS)=1,OR('Base stats'!Y55="Carnivore",'Base stats'!Y55="Omnivore")),"true","false")</f>
        <v>true</v>
      </c>
      <c r="BJ55" s="2">
        <f>IF(BI55="true",MROUND(IF(AND(AO55&gt;0.5,OR(_xlfn.XLOOKUP(_xlfn.XLOOKUP(B55,'Base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K55" s="2">
        <f t="shared" si="3"/>
        <v>1</v>
      </c>
      <c r="BL55" s="25" t="str">
        <f>IF(_xlfn.XLOOKUP(B55,'Base stats'!B:B,'Base stats'!AK:AK)="Standard","No",MROUND((_xlfn.XLOOKUP(B55,'Base stats'!B:B,'Base stats'!AK:AK)/3.6)/I55,0.1))</f>
        <v>No</v>
      </c>
      <c r="BM55" s="25" t="str">
        <f t="shared" si="4"/>
        <v>false</v>
      </c>
      <c r="BN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O55" s="25" t="str" cm="1">
        <f t="array" ref="BO55">IF(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 = "",
  "No",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
)</f>
        <v>AttackTarget</v>
      </c>
      <c r="BP55" s="25" t="str">
        <f>IF(
   AND(
      'Base stats'!AK55="Standard",_xlfn.XLOOKUP(_xlfn.XLOOKUP(B55,'Base stats'!B:B,'Base stats'!E:E),Groups!A:A,Groups!AU:AU)=0,
      OR(
      BN55="True"
      )
   ),
   10,
   IF(
       OR(BL55&lt;&gt;"No",_xlfn.XLOOKUP(_xlfn.XLOOKUP(B55,'Base stats'!B:B,'Base stats'!E:E),Groups!A:A,Groups!AU:AU)=1),
      1,
      "No"
   )
)</f>
        <v>No</v>
      </c>
      <c r="BQ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stats'!AS:AS) * 1.8) * 2) * 2.5 + 10 + I55 * 2,5)+IF(_xlfn.XLOOKUP(B55,'Base stats'!B:B,'Base stats'!AH:AH)=1,50,0)</f>
        <v>205</v>
      </c>
      <c r="BR55" s="8">
        <f t="shared" si="5"/>
        <v>1.05</v>
      </c>
      <c r="BS55" s="8" t="str">
        <f>_xlfn.XLOOKUP(B55,'Base stats'!B:B,'Base stats'!AD:AD)</f>
        <v>No</v>
      </c>
      <c r="BT55" s="2" t="str">
        <f>IF(AND(J55&lt;=0.95,OR(_xlfn.XLOOKUP(B55,'Base stats'!B:B,'Base stats'!AH:AH)=1,_xlfn.XLOOKUP(B55,'Base stats'!B:B,'Base stats'!Y:Y)="Carnivore",_xlfn.XLOOKUP(B55,'Base stats'!B:B,'Base stats'!Y:Y)="Omnivore",BD55&gt;0.1)),"true","false")</f>
        <v>true</v>
      </c>
      <c r="BU55" s="2" t="str">
        <f>IF(_xlfn.XLOOKUP(B55,'Base stats'!B:B,'Base stats'!AF:AF)=1,"true","false")</f>
        <v>false</v>
      </c>
      <c r="BV55" s="25" t="str">
        <f>IF(E55="BaseInsect","AnimalInsect",
IF(J55&gt;0.95,"AnimalExotic",
_xlfn.TEXTJOIN(", ",TRUE,
IF(OR(_xlfn.XLOOKUP(B55,'Base stats'!B:B,'Base stats'!AJ:AJ)=1,AND(_xlfn.XLOOKUP(B55,'Base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stats'!AH:AH)=1,AND(BH55&lt;&gt;"None",BQ55&gt;=60),ISNUMBER(SEARCH("Attack target",BO55))),"AnimalFighter","")
)))</f>
        <v>AnimalCommon, AnimalFighter</v>
      </c>
      <c r="BW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),_xlfn.XLOOKUP(B55,B:B,BW:BW))</f>
        <v>TemperateForest TemperateSwamp Scarlands</v>
      </c>
      <c r="BX55" s="25" t="str">
        <f>IF(_xlfn.XLOOKUP(B55,'Base stats'!B:B,'Base stats'!AG:AG)=1,"true","false")</f>
        <v>false</v>
      </c>
      <c r="BY55" s="25">
        <f>IF(_xlfn.XLOOKUP(B55,'Base stats'!B:B,'Base stats'!N:N)=1,"No",MAX(0.01,MIN(MROUND(IF(OR(_xlfn.XLOOKUP(B55,'Base stats'!B:B,'Base stats'!AJ:AJ)=1,AND(BI55="True",CB55="False")),POWER(10,3.47*LOG10(_xlfn.XLOOKUP(B55,'Base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stats'!AH:AH)=1),0.5,1)/100,0.025),1)))</f>
        <v>0.05</v>
      </c>
      <c r="BZ55" s="25">
        <f>IF(P55="Standard","No",MAX(0.01,IF(_xlfn.XLOOKUP(B55,'Base stats'!B:B,'Base stats'!N:N)=0,MROUND(BY55*P55,0.05),MIN(1,MAX(0.025,MROUND(IF(OR(CB55="true",AND(BI55="false",BN55="false")),POWER(10,4.15*LOG10(_xlfn.XLOOKUP(B55,'Base stats'!B:B,'Base stats'!C:C)*1000)^-0.73),POWER(10,3.47*LOG10(_xlfn.XLOOKUP(B55,'Base stats'!B:B,'Base stats'!C:C)*1000)^-0.96))*IF(_xlfn.XLOOKUP(B55,'Base stats'!B:B,'Base stats'!AH:AH)=1,0.5,1)/100,0.025))))))</f>
        <v>0.05</v>
      </c>
      <c r="CA55" s="25" t="str">
        <f>IF(_xlfn.XLOOKUP(_xlfn.XLOOKUP(B55,'Base stats'!B:B,'Base stats'!E:E),Groups!A:A,Groups!AJ:AJ)="Mammal","True","False")</f>
        <v>True</v>
      </c>
      <c r="CB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C55" s="25" t="str">
        <f t="shared" si="6"/>
        <v>False</v>
      </c>
      <c r="CD55" s="25" t="str">
        <f>IF(_xlfn.XLOOKUP(_xlfn.XLOOKUP(B55,'Base stats'!B:B,'Base stats'!E:E),Groups!A:A,Groups!AX:AX),"True","False")</f>
        <v>False</v>
      </c>
      <c r="CE55" s="25" t="str">
        <f>IF(_xlfn.XLOOKUP(_xlfn.XLOOKUP(B55,'Base stats'!B:B,'Base stats'!E:E),Groups!A:A,Groups!AY:AY),"True","False")</f>
        <v>False</v>
      </c>
      <c r="CF55" s="25" t="str">
        <f>IF(_xlfn.XLOOKUP(_xlfn.XLOOKUP(B55,'Base stats'!B:B,'Base stats'!E:E),Groups!A:A,Groups!AW:AW),"True","False")</f>
        <v>False</v>
      </c>
      <c r="CG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H55" s="25" t="str">
        <f>IF(_xlfn.XLOOKUP(_xlfn.XLOOKUP(B55,'Base stats'!B:B,'Base stats'!E:E),Groups!A:A,Groups!BB:BB),"True","False")</f>
        <v>True</v>
      </c>
      <c r="CI55" s="25" t="str">
        <f>IF(_xlfn.XLOOKUP(_xlfn.XLOOKUP(B55,'Base stats'!B:B,'Base stats'!E:E),Groups!A:A,Groups!BA:BA),"True","False")</f>
        <v>False</v>
      </c>
    </row>
    <row r="56" spans="1:87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stats'!AI:AI)=0,BH56="None",_xlfn.XLOOKUP(_xlfn.XLOOKUP(B56,'Base stats'!B:B,'Base stats'!E:E),Groups!A:A,Groups!B:B)=0), (18 + BQ56 * 2.7) * 0.5,
    IF(AND(_xlfn.XLOOKUP(B56,'Base stats'!B:B,'Base stats'!AI:AI)=0,OR(AO56&lt;0.55,AND(BH56="Intermediate",_xlfn.XLOOKUP(_xlfn.XLOOKUP(B56,'Base stats'!B:B,'Base stats'!E:E),Groups!A:A,Groups!B:B)&lt;2))), (18 + BQ56 * 2.7),
      IF(OR(BH56="Advanced",_xlfn.XLOOKUP(B56,'Base stats'!B:B,'Base stats'!AI:AI)=1,_xlfn.XLOOKUP(_xlfn.XLOOKUP(B56,'Base stats'!B:B,'Base stats'!E:E),Groups!A:A,Groups!B:B)=2), (18 + BQ56 * 2.7) + 250, (18 + BQ56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IF(_xlfn.XLOOKUP(B56,'Base stats'!B:B,'Base stats'!AI:AI)=1,0.99,MIN(MROUND((1-0.6282*EXP(-0.459*AO56))*_xlfn.XLOOKUP(_xlfn.XLOOKUP(B56,'Base stats'!B:B,'Base stats'!E:E),Groups!A:A,Groups!C:C)*IF(_xlfn.XLOOKUP(B56,'Base stats'!B:B,'Base stats'!O:O)=1,0.5,IF(_xlfn.XLOOKUP(B56,'Base stats'!B:B,'Base stats'!O:O)=2,0,1)),0.05),0.985))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W56)),ISNUMBER(SEARCH("IceSheet",BW56))),-50,IF(OR(ISNUMBER(SEARCH("GlacialPlain",BW56)),ISNUMBER(SEARCH("Tundra",BW56))),-40,IF(OR(ISNUMBER(SEARCH("Alpine",BW56)),ISNUMBER(SEARCH("BorealForest",BW56)),ISNUMBER(SEARCH("ColdBog",BW56))),-30,IF(OR(ISNUMBER(SEARCH("TemperateForest",BW56)),ISNUMBER(SEARCH("TemperateSwamp",BW56))),-20,IF(_xlfn.XLOOKUP(_xlfn.XLOOKUP(B56,'Base stats'!B:B,'Base stats'!E:E),Groups!A:A,Groups!F:F)=1,-15,IF(OR(ISNUMBER(SEARCH("Desert",BW56)),ISNUMBER(SEARCH("ExtremeDesert",BW56))),-10,IF(OR(ISNUMBER(SEARCH("Grasslands",BW56)),ISNUMBER(SEARCH("TropicalRainforest",BW56)),ISNUMBER(SEARCH("TropicalSwamp",BW56))),10,0)))))))-IF(CB56="False",MIN(IFERROR(MAX(MROUND(LOG10(_xlfn.XLOOKUP(B56,'Base stats'!B:B,'Base stats'!C:C)^(2/3))*10,5),5),5),30))-_xlfn.XLOOKUP(B56,'Base stats'!B:B,'Base stats'!P:P)+IF(CB56="True",5,0)</f>
        <v>-50</v>
      </c>
      <c r="M56" s="2">
        <f>IF(OR(_xlfn.XLOOKUP(_xlfn.XLOOKUP(B56,'Base stats'!B:B,'Base stats'!E:E),Groups!A:A,Groups!G:G)=2,ISNUMBER(SEARCH("Desert",BW56)),ISNUMBER(SEARCH("ExtremeDesert",BW56)),ISNUMBER(SEARCH("LavaField",BW56))),50,IF(ISNUMBER(SEARCH("Grasslands",BW56)),45,IF(OR(_xlfn.XLOOKUP(_xlfn.XLOOKUP(B56,'Base stats'!B:B,'Base stats'!E:E),Groups!A:A,Groups!G:G)=1,ISNUMBER(SEARCH("TropicalRainforest",BW56)),ISNUMBER(SEARCH("TropicalSwamp",BW56))),40,IF(OR(ISNUMBER(SEARCH("TemperateForest",BW56)),ISNUMBER(SEARCH("TemperateSwamp",BW56))),35,IF(OR(ISNUMBER(SEARCH("Alpine",BW56)),ISNUMBER(SEARCH("BorealForest",BW56)),ISNUMBER(SEARCH("ColdBog",BW56))),30,IF(ISNUMBER(OR(ISNUMBER(SEARCH("GlacialPlain",BW56)),SEARCH("Tundra",BW56))),25,IF(OR(ISNUMBER(SEARCH("SeaIce",BW56)),ISNUMBER(SEARCH("IceSheet",BW56)),ISNUMBER(SEARCH("TropicalSwamp",BW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stats'!AO:AO))*(AO56^0.5)+(_xlfn.XLOOKUP(B56,'Base stats'!B:B,'Base stats'!AO:AO)/1000)^(2/3)+_xlfn.XLOOKUP(B56,'Base stats'!B:B,'Base stats'!AX:AX)/2)+0.5,0.5)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stats'!AP:AP))*(AO56^0.5)+(_xlfn.XLOOKUP(B56,'Base stats'!B:B,'Base stats'!AP:AP)/1000)^(2/3)+_xlfn.XLOOKUP(B56,'Base stats'!B:B,'Base stats'!AX:AX))+_xlfn.XLOOKUP(B56,'Base stats'!B:B,'Base stats'!AV:AV)+0.5,0.5))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stats'!AR:AR))*(AO56^0.5)+(_xlfn.XLOOKUP(B56,'Base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stats'!AQ:AQ)="No","No",MROUND((LOG10(_xlfn.XLOOKUP(B56,'Base stats'!B:B,'Base stats'!AQ:AQ))*(AO56^0.75)+(_xlfn.XLOOKUP(B56,'Base stats'!B:B,'Base stats'!AQ:AQ)/1000)^(2/3)+_xlfn.XLOOKUP(B56,'Base stats'!B:B,'Base stats'!AU:AU)+_xlfn.XLOOKUP(B56,'Base stats'!B:B,'Base stats'!AX:AX))+0.5,0.5))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stats'!AP:AP))*(AO56^0.75)+(_xlfn.XLOOKUP(B56,'Base stats'!B:B,'Base stats'!AP:AP)/1000)^(2/3)+_xlfn.XLOOKUP(B56,'Base stats'!B:B,'Base stats'!AV:AV)+_xlfn.XLOOKUP(B56,'Base stats'!B:B,'Base stats'!AX:AX))+0.5,0.5))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MAX(0.01,MROUND(IF(CB56="True",0.196*(AO56*100*1000)^0.889,IF(_xlfn.XLOOKUP(_xlfn.XLOOKUP(B56,'Base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stats'!AE:AE)</f>
        <v>Leather_Wolf</v>
      </c>
      <c r="BB56" s="23" t="str">
        <f>_xlfn.XLOOKUP(_xlfn.XLOOKUP(B56,'Base stats'!B:B,'Base stats'!E:E),Groups!A:A,Groups!AL:AL)</f>
        <v>QuadrupedAnimalWithPawsAndTail</v>
      </c>
      <c r="BC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D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E56" s="2" t="str">
        <f>IF(J56&gt;0.3,"No",_xlfn.XLOOKUP(_xlfn.XLOOKUP(Animals!B56,'Base stats'!B:B,'Base stats'!E:E),Groups!A:A,Groups!AP:AP))</f>
        <v>No</v>
      </c>
      <c r="BF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+ 24*(1-IF(BE56="No",0,BE56)) + 16/3, 12),"No")</f>
        <v>No</v>
      </c>
      <c r="BG56" s="2">
        <f>IF(AND(_xlfn.XLOOKUP(_xlfn.XLOOKUP(B56,'Base stats'!B:B,'Base stats'!E:E),Groups!A:A,Groups!AQ:AQ)=1,AO56&lt;=0.35),8,12)</f>
        <v>12</v>
      </c>
      <c r="BH56" s="2" t="str">
        <f>IF(_xlfn.XLOOKUP(_xlfn.XLOOKUP(B56,'Base stats'!B:B,'Base stats'!E:E),Groups!A:A,Groups!D:D)=0,_xlfn.XLOOKUP(_xlfn.XLOOKUP(B56,'Base stats'!B:B,'Base stats'!E:E),Groups!A:A,Groups!AR:AR),"None")</f>
        <v>Advanced</v>
      </c>
      <c r="BI56" s="2" t="str">
        <f>IF(AND(_xlfn.XLOOKUP(_xlfn.XLOOKUP(B56,'Base stats'!B:B,'Base stats'!E:E),Groups!A:A,Groups!AS:AS)=1,OR('Base stats'!Y56="Carnivore",'Base stats'!Y56="Omnivore")),"true","false")</f>
        <v>true</v>
      </c>
      <c r="BJ56" s="2">
        <f>IF(BI56="true",MROUND(IF(AND(AO56&gt;0.5,OR(_xlfn.XLOOKUP(_xlfn.XLOOKUP(B56,'Base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K56" s="2">
        <f t="shared" si="3"/>
        <v>1</v>
      </c>
      <c r="BL56" s="25" t="str">
        <f>IF(_xlfn.XLOOKUP(B56,'Base stats'!B:B,'Base stats'!AK:AK)="Standard","No",MROUND((_xlfn.XLOOKUP(B56,'Base stats'!B:B,'Base stats'!AK:AK)/3.6)/I56,0.1))</f>
        <v>No</v>
      </c>
      <c r="BM56" s="25" t="str">
        <f t="shared" si="4"/>
        <v>false</v>
      </c>
      <c r="BN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O56" s="25" t="str" cm="1">
        <f t="array" ref="BO56">IF(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 = "",
  "No",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
)</f>
        <v>AttackTarget</v>
      </c>
      <c r="BP56" s="25" t="str">
        <f>IF(
   AND(
      'Base stats'!AK56="Standard",_xlfn.XLOOKUP(_xlfn.XLOOKUP(B56,'Base stats'!B:B,'Base stats'!E:E),Groups!A:A,Groups!AU:AU)=0,
      OR(
      BN56="True"
      )
   ),
   10,
   IF(
       OR(BL56&lt;&gt;"No",_xlfn.XLOOKUP(_xlfn.XLOOKUP(B56,'Base stats'!B:B,'Base stats'!E:E),Groups!A:A,Groups!AU:AU)=1),
      1,
      "No"
   )
)</f>
        <v>No</v>
      </c>
      <c r="BQ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stats'!AS:AS) * 1.8) * 2) * 2.5 + 10 + I56 * 2,5)+IF(_xlfn.XLOOKUP(B56,'Base stats'!B:B,'Base stats'!AH:AH)=1,50,0)</f>
        <v>100</v>
      </c>
      <c r="BR56" s="8">
        <f t="shared" si="5"/>
        <v>0.55000000000000004</v>
      </c>
      <c r="BS56" s="8" t="str">
        <f>_xlfn.XLOOKUP(B56,'Base stats'!B:B,'Base stats'!AD:AD)</f>
        <v>2~6</v>
      </c>
      <c r="BT56" s="2" t="str">
        <f>IF(AND(J56&lt;=0.95,OR(_xlfn.XLOOKUP(B56,'Base stats'!B:B,'Base stats'!AH:AH)=1,_xlfn.XLOOKUP(B56,'Base stats'!B:B,'Base stats'!Y:Y)="Carnivore",_xlfn.XLOOKUP(B56,'Base stats'!B:B,'Base stats'!Y:Y)="Omnivore",BD56&gt;0.1)),"true","false")</f>
        <v>true</v>
      </c>
      <c r="BU56" s="2" t="str">
        <f>IF(_xlfn.XLOOKUP(B56,'Base stats'!B:B,'Base stats'!AF:AF)=1,"true","false")</f>
        <v>false</v>
      </c>
      <c r="BV56" s="25" t="str">
        <f>IF(E56="BaseInsect","AnimalInsect",
IF(J56&gt;0.95,"AnimalExotic",
_xlfn.TEXTJOIN(", ",TRUE,
IF(OR(_xlfn.XLOOKUP(B56,'Base stats'!B:B,'Base stats'!AJ:AJ)=1,AND(_xlfn.XLOOKUP(B56,'Base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stats'!AH:AH)=1,AND(BH56&lt;&gt;"None",BQ56&gt;=60),ISNUMBER(SEARCH("Attack target",BO56))),"AnimalFighter","")
)))</f>
        <v>AnimalCommon, AnimalFighter</v>
      </c>
      <c r="BW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),_xlfn.XLOOKUP(B56,B:B,BW:BW))</f>
        <v>BorealForest ColdBog TemperateForest TemperateSwamp GlacialPlain</v>
      </c>
      <c r="BX56" s="25" t="str">
        <f>IF(_xlfn.XLOOKUP(B56,'Base stats'!B:B,'Base stats'!AG:AG)=1,"true","false")</f>
        <v>false</v>
      </c>
      <c r="BY56" s="25">
        <f>IF(_xlfn.XLOOKUP(B56,'Base stats'!B:B,'Base stats'!N:N)=1,"No",MAX(0.01,MIN(MROUND(IF(OR(_xlfn.XLOOKUP(B56,'Base stats'!B:B,'Base stats'!AJ:AJ)=1,AND(BI56="True",CB56="False")),POWER(10,3.47*LOG10(_xlfn.XLOOKUP(B56,'Base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stats'!AH:AH)=1),0.5,1)/100,0.025),1)))</f>
        <v>7.5000000000000011E-2</v>
      </c>
      <c r="BZ56" s="25" t="str">
        <f>IF(P56="Standard","No",MAX(0.01,IF(_xlfn.XLOOKUP(B56,'Base stats'!B:B,'Base stats'!N:N)=0,MROUND(BY56*P56,0.05),MIN(1,MAX(0.025,MROUND(IF(OR(CB56="true",AND(BI56="false",BN56="false")),POWER(10,4.15*LOG10(_xlfn.XLOOKUP(B56,'Base stats'!B:B,'Base stats'!C:C)*1000)^-0.73),POWER(10,3.47*LOG10(_xlfn.XLOOKUP(B56,'Base stats'!B:B,'Base stats'!C:C)*1000)^-0.96))*IF(_xlfn.XLOOKUP(B56,'Base stats'!B:B,'Base stats'!AH:AH)=1,0.5,1)/100,0.025))))))</f>
        <v>No</v>
      </c>
      <c r="CA56" s="25" t="str">
        <f>IF(_xlfn.XLOOKUP(_xlfn.XLOOKUP(B56,'Base stats'!B:B,'Base stats'!E:E),Groups!A:A,Groups!AJ:AJ)="Mammal","True","False")</f>
        <v>True</v>
      </c>
      <c r="CB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C56" s="25" t="str">
        <f t="shared" si="6"/>
        <v>False</v>
      </c>
      <c r="CD56" s="25" t="str">
        <f>IF(_xlfn.XLOOKUP(_xlfn.XLOOKUP(B56,'Base stats'!B:B,'Base stats'!E:E),Groups!A:A,Groups!AX:AX),"True","False")</f>
        <v>False</v>
      </c>
      <c r="CE56" s="25" t="str">
        <f>IF(_xlfn.XLOOKUP(_xlfn.XLOOKUP(B56,'Base stats'!B:B,'Base stats'!E:E),Groups!A:A,Groups!AY:AY),"True","False")</f>
        <v>False</v>
      </c>
      <c r="CF56" s="25" t="str">
        <f>IF(_xlfn.XLOOKUP(_xlfn.XLOOKUP(B56,'Base stats'!B:B,'Base stats'!E:E),Groups!A:A,Groups!AW:AW),"True","False")</f>
        <v>False</v>
      </c>
      <c r="CG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H56" s="25" t="str">
        <f>IF(_xlfn.XLOOKUP(_xlfn.XLOOKUP(B56,'Base stats'!B:B,'Base stats'!E:E),Groups!A:A,Groups!BB:BB),"True","False")</f>
        <v>True</v>
      </c>
      <c r="CI56" s="25" t="str">
        <f>IF(_xlfn.XLOOKUP(_xlfn.XLOOKUP(B56,'Base stats'!B:B,'Base stats'!E:E),Groups!A:A,Groups!BA:BA),"True","False")</f>
        <v>False</v>
      </c>
    </row>
    <row r="57" spans="1:87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stats'!AI:AI)=0,BH57="None",_xlfn.XLOOKUP(_xlfn.XLOOKUP(B57,'Base stats'!B:B,'Base stats'!E:E),Groups!A:A,Groups!B:B)=0), (18 + BQ57 * 2.7) * 0.5,
    IF(AND(_xlfn.XLOOKUP(B57,'Base stats'!B:B,'Base stats'!AI:AI)=0,OR(AO57&lt;0.55,AND(BH57="Intermediate",_xlfn.XLOOKUP(_xlfn.XLOOKUP(B57,'Base stats'!B:B,'Base stats'!E:E),Groups!A:A,Groups!B:B)&lt;2))), (18 + BQ57 * 2.7),
      IF(OR(BH57="Advanced",_xlfn.XLOOKUP(B57,'Base stats'!B:B,'Base stats'!AI:AI)=1,_xlfn.XLOOKUP(_xlfn.XLOOKUP(B57,'Base stats'!B:B,'Base stats'!E:E),Groups!A:A,Groups!B:B)=2), (18 + BQ57 * 2.7) + 250, (18 + BQ57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IF(_xlfn.XLOOKUP(B57,'Base stats'!B:B,'Base stats'!AI:AI)=1,0.99,MIN(MROUND((1-0.6282*EXP(-0.459*AO57))*_xlfn.XLOOKUP(_xlfn.XLOOKUP(B57,'Base stats'!B:B,'Base stats'!E:E),Groups!A:A,Groups!C:C)*IF(_xlfn.XLOOKUP(B57,'Base stats'!B:B,'Base stats'!O:O)=1,0.5,IF(_xlfn.XLOOKUP(B57,'Base stats'!B:B,'Base stats'!O:O)=2,0,1)),0.05),0.985))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W57)),ISNUMBER(SEARCH("IceSheet",BW57))),-50,IF(OR(ISNUMBER(SEARCH("GlacialPlain",BW57)),ISNUMBER(SEARCH("Tundra",BW57))),-40,IF(OR(ISNUMBER(SEARCH("Alpine",BW57)),ISNUMBER(SEARCH("BorealForest",BW57)),ISNUMBER(SEARCH("ColdBog",BW57))),-30,IF(OR(ISNUMBER(SEARCH("TemperateForest",BW57)),ISNUMBER(SEARCH("TemperateSwamp",BW57))),-20,IF(_xlfn.XLOOKUP(_xlfn.XLOOKUP(B57,'Base stats'!B:B,'Base stats'!E:E),Groups!A:A,Groups!F:F)=1,-15,IF(OR(ISNUMBER(SEARCH("Desert",BW57)),ISNUMBER(SEARCH("ExtremeDesert",BW57))),-10,IF(OR(ISNUMBER(SEARCH("Grasslands",BW57)),ISNUMBER(SEARCH("TropicalRainforest",BW57)),ISNUMBER(SEARCH("TropicalSwamp",BW57))),10,0)))))))-IF(CB57="False",MIN(IFERROR(MAX(MROUND(LOG10(_xlfn.XLOOKUP(B57,'Base stats'!B:B,'Base stats'!C:C)^(2/3))*10,5),5),5),30))-_xlfn.XLOOKUP(B57,'Base stats'!B:B,'Base stats'!P:P)+IF(CB57="True",5,0)</f>
        <v>-50</v>
      </c>
      <c r="M57" s="2">
        <f>IF(OR(_xlfn.XLOOKUP(_xlfn.XLOOKUP(B57,'Base stats'!B:B,'Base stats'!E:E),Groups!A:A,Groups!G:G)=2,ISNUMBER(SEARCH("Desert",BW57)),ISNUMBER(SEARCH("ExtremeDesert",BW57)),ISNUMBER(SEARCH("LavaField",BW57))),50,IF(ISNUMBER(SEARCH("Grasslands",BW57)),45,IF(OR(_xlfn.XLOOKUP(_xlfn.XLOOKUP(B57,'Base stats'!B:B,'Base stats'!E:E),Groups!A:A,Groups!G:G)=1,ISNUMBER(SEARCH("TropicalRainforest",BW57)),ISNUMBER(SEARCH("TropicalSwamp",BW57))),40,IF(OR(ISNUMBER(SEARCH("TemperateForest",BW57)),ISNUMBER(SEARCH("TemperateSwamp",BW57))),35,IF(OR(ISNUMBER(SEARCH("Alpine",BW57)),ISNUMBER(SEARCH("BorealForest",BW57)),ISNUMBER(SEARCH("ColdBog",BW57))),30,IF(ISNUMBER(OR(ISNUMBER(SEARCH("GlacialPlain",BW57)),SEARCH("Tundra",BW57))),25,IF(OR(ISNUMBER(SEARCH("SeaIce",BW57)),ISNUMBER(SEARCH("IceSheet",BW57)),ISNUMBER(SEARCH("TropicalSwamp",BW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stats'!AO:AO))*(AO57^0.5)+(_xlfn.XLOOKUP(B57,'Base stats'!B:B,'Base stats'!AO:AO)/1000)^(2/3)+_xlfn.XLOOKUP(B57,'Base stats'!B:B,'Base stats'!AX:AX)/2)+0.5,0.5)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stats'!AP:AP))*(AO57^0.5)+(_xlfn.XLOOKUP(B57,'Base stats'!B:B,'Base stats'!AP:AP)/1000)^(2/3)+_xlfn.XLOOKUP(B57,'Base stats'!B:B,'Base stats'!AX:AX))+_xlfn.XLOOKUP(B57,'Base stats'!B:B,'Base stats'!AV:AV)+0.5,0.5))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stats'!AR:AR))*(AO57^0.5)+(_xlfn.XLOOKUP(B57,'Base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stats'!AQ:AQ)="No","No",MROUND((LOG10(_xlfn.XLOOKUP(B57,'Base stats'!B:B,'Base stats'!AQ:AQ))*(AO57^0.75)+(_xlfn.XLOOKUP(B57,'Base stats'!B:B,'Base stats'!AQ:AQ)/1000)^(2/3)+_xlfn.XLOOKUP(B57,'Base stats'!B:B,'Base stats'!AU:AU)+_xlfn.XLOOKUP(B57,'Base stats'!B:B,'Base stats'!AX:AX))+0.5,0.5))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stats'!AP:AP))*(AO57^0.75)+(_xlfn.XLOOKUP(B57,'Base stats'!B:B,'Base stats'!AP:AP)/1000)^(2/3)+_xlfn.XLOOKUP(B57,'Base stats'!B:B,'Base stats'!AV:AV)+_xlfn.XLOOKUP(B57,'Base stats'!B:B,'Base stats'!AX:AX))+0.5,0.5))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MAX(0.01,MROUND(IF(CB57="True",0.196*(AO57*100*1000)^0.889,IF(_xlfn.XLOOKUP(_xlfn.XLOOKUP(B57,'Base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stats'!AE:AE)</f>
        <v>Leather_Wolf</v>
      </c>
      <c r="BB57" s="23" t="str">
        <f>_xlfn.XLOOKUP(_xlfn.XLOOKUP(B57,'Base stats'!B:B,'Base stats'!E:E),Groups!A:A,Groups!AL:AL)</f>
        <v>QuadrupedAnimalWithPawsAndTail</v>
      </c>
      <c r="BC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D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E57" s="2" t="str">
        <f>IF(J57&gt;0.3,"No",_xlfn.XLOOKUP(_xlfn.XLOOKUP(Animals!B57,'Base stats'!B:B,'Base stats'!E:E),Groups!A:A,Groups!AP:AP))</f>
        <v>No</v>
      </c>
      <c r="BF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+ 24*(1-IF(BE57="No",0,BE57)) + 16/3, 12),"No")</f>
        <v>No</v>
      </c>
      <c r="BG57" s="2">
        <f>IF(AND(_xlfn.XLOOKUP(_xlfn.XLOOKUP(B57,'Base stats'!B:B,'Base stats'!E:E),Groups!A:A,Groups!AQ:AQ)=1,AO57&lt;=0.35),8,12)</f>
        <v>12</v>
      </c>
      <c r="BH57" s="2" t="str">
        <f>IF(_xlfn.XLOOKUP(_xlfn.XLOOKUP(B57,'Base stats'!B:B,'Base stats'!E:E),Groups!A:A,Groups!D:D)=0,_xlfn.XLOOKUP(_xlfn.XLOOKUP(B57,'Base stats'!B:B,'Base stats'!E:E),Groups!A:A,Groups!AR:AR),"None")</f>
        <v>Advanced</v>
      </c>
      <c r="BI57" s="2" t="str">
        <f>IF(AND(_xlfn.XLOOKUP(_xlfn.XLOOKUP(B57,'Base stats'!B:B,'Base stats'!E:E),Groups!A:A,Groups!AS:AS)=1,OR('Base stats'!Y57="Carnivore",'Base stats'!Y57="Omnivore")),"true","false")</f>
        <v>true</v>
      </c>
      <c r="BJ57" s="2">
        <f>IF(BI57="true",MROUND(IF(AND(AO57&gt;0.5,OR(_xlfn.XLOOKUP(_xlfn.XLOOKUP(B57,'Base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K57" s="2">
        <f t="shared" si="3"/>
        <v>1</v>
      </c>
      <c r="BL57" s="25" t="str">
        <f>IF(_xlfn.XLOOKUP(B57,'Base stats'!B:B,'Base stats'!AK:AK)="Standard","No",MROUND((_xlfn.XLOOKUP(B57,'Base stats'!B:B,'Base stats'!AK:AK)/3.6)/I57,0.1))</f>
        <v>No</v>
      </c>
      <c r="BM57" s="25" t="str">
        <f t="shared" si="4"/>
        <v>false</v>
      </c>
      <c r="BN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O57" s="25" t="str" cm="1">
        <f t="array" ref="BO57">IF(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 = "",
  "No",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
)</f>
        <v>AttackTarget</v>
      </c>
      <c r="BP57" s="25" t="str">
        <f>IF(
   AND(
      'Base stats'!AK57="Standard",_xlfn.XLOOKUP(_xlfn.XLOOKUP(B57,'Base stats'!B:B,'Base stats'!E:E),Groups!A:A,Groups!AU:AU)=0,
      OR(
      BN57="True"
      )
   ),
   10,
   IF(
       OR(BL57&lt;&gt;"No",_xlfn.XLOOKUP(_xlfn.XLOOKUP(B57,'Base stats'!B:B,'Base stats'!E:E),Groups!A:A,Groups!AU:AU)=1),
      1,
      "No"
   )
)</f>
        <v>No</v>
      </c>
      <c r="BQ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stats'!AS:AS) * 1.8) * 2) * 2.5 + 10 + I57 * 2,5)+IF(_xlfn.XLOOKUP(B57,'Base stats'!B:B,'Base stats'!AH:AH)=1,50,0)</f>
        <v>100</v>
      </c>
      <c r="BR57" s="8">
        <f t="shared" si="5"/>
        <v>0.55000000000000004</v>
      </c>
      <c r="BS57" s="8" t="str">
        <f>_xlfn.XLOOKUP(B57,'Base stats'!B:B,'Base stats'!AD:AD)</f>
        <v>2~6</v>
      </c>
      <c r="BT57" s="2" t="str">
        <f>IF(AND(J57&lt;=0.95,OR(_xlfn.XLOOKUP(B57,'Base stats'!B:B,'Base stats'!AH:AH)=1,_xlfn.XLOOKUP(B57,'Base stats'!B:B,'Base stats'!Y:Y)="Carnivore",_xlfn.XLOOKUP(B57,'Base stats'!B:B,'Base stats'!Y:Y)="Omnivore",BD57&gt;0.1)),"true","false")</f>
        <v>true</v>
      </c>
      <c r="BU57" s="2" t="str">
        <f>IF(_xlfn.XLOOKUP(B57,'Base stats'!B:B,'Base stats'!AF:AF)=1,"true","false")</f>
        <v>false</v>
      </c>
      <c r="BV57" s="25" t="str">
        <f>IF(E57="BaseInsect","AnimalInsect",
IF(J57&gt;0.95,"AnimalExotic",
_xlfn.TEXTJOIN(", ",TRUE,
IF(OR(_xlfn.XLOOKUP(B57,'Base stats'!B:B,'Base stats'!AJ:AJ)=1,AND(_xlfn.XLOOKUP(B57,'Base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stats'!AH:AH)=1,AND(BH57&lt;&gt;"None",BQ57&gt;=60),ISNUMBER(SEARCH("Attack target",BO57))),"AnimalFighter","")
)))</f>
        <v>AnimalCommon, AnimalFighter</v>
      </c>
      <c r="BW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),_xlfn.XLOOKUP(B57,B:B,BW:BW))</f>
        <v>Tundra</v>
      </c>
      <c r="BX57" s="25" t="str">
        <f>IF(_xlfn.XLOOKUP(B57,'Base stats'!B:B,'Base stats'!AG:AG)=1,"true","false")</f>
        <v>false</v>
      </c>
      <c r="BY57" s="25">
        <f>IF(_xlfn.XLOOKUP(B57,'Base stats'!B:B,'Base stats'!N:N)=1,"No",MAX(0.01,MIN(MROUND(IF(OR(_xlfn.XLOOKUP(B57,'Base stats'!B:B,'Base stats'!AJ:AJ)=1,AND(BI57="True",CB57="False")),POWER(10,3.47*LOG10(_xlfn.XLOOKUP(B57,'Base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stats'!AH:AH)=1),0.5,1)/100,0.025),1)))</f>
        <v>7.5000000000000011E-2</v>
      </c>
      <c r="BZ57" s="25" t="str">
        <f>IF(P57="Standard","No",MAX(0.01,IF(_xlfn.XLOOKUP(B57,'Base stats'!B:B,'Base stats'!N:N)=0,MROUND(BY57*P57,0.05),MIN(1,MAX(0.025,MROUND(IF(OR(CB57="true",AND(BI57="false",BN57="false")),POWER(10,4.15*LOG10(_xlfn.XLOOKUP(B57,'Base stats'!B:B,'Base stats'!C:C)*1000)^-0.73),POWER(10,3.47*LOG10(_xlfn.XLOOKUP(B57,'Base stats'!B:B,'Base stats'!C:C)*1000)^-0.96))*IF(_xlfn.XLOOKUP(B57,'Base stats'!B:B,'Base stats'!AH:AH)=1,0.5,1)/100,0.025))))))</f>
        <v>No</v>
      </c>
      <c r="CA57" s="25" t="str">
        <f>IF(_xlfn.XLOOKUP(_xlfn.XLOOKUP(B57,'Base stats'!B:B,'Base stats'!E:E),Groups!A:A,Groups!AJ:AJ)="Mammal","True","False")</f>
        <v>True</v>
      </c>
      <c r="CB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C57" s="25" t="str">
        <f t="shared" si="6"/>
        <v>False</v>
      </c>
      <c r="CD57" s="25" t="str">
        <f>IF(_xlfn.XLOOKUP(_xlfn.XLOOKUP(B57,'Base stats'!B:B,'Base stats'!E:E),Groups!A:A,Groups!AX:AX),"True","False")</f>
        <v>False</v>
      </c>
      <c r="CE57" s="25" t="str">
        <f>IF(_xlfn.XLOOKUP(_xlfn.XLOOKUP(B57,'Base stats'!B:B,'Base stats'!E:E),Groups!A:A,Groups!AY:AY),"True","False")</f>
        <v>False</v>
      </c>
      <c r="CF57" s="25" t="str">
        <f>IF(_xlfn.XLOOKUP(_xlfn.XLOOKUP(B57,'Base stats'!B:B,'Base stats'!E:E),Groups!A:A,Groups!AW:AW),"True","False")</f>
        <v>False</v>
      </c>
      <c r="CG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H57" s="25" t="str">
        <f>IF(_xlfn.XLOOKUP(_xlfn.XLOOKUP(B57,'Base stats'!B:B,'Base stats'!E:E),Groups!A:A,Groups!BB:BB),"True","False")</f>
        <v>True</v>
      </c>
      <c r="CI57" s="25" t="str">
        <f>IF(_xlfn.XLOOKUP(_xlfn.XLOOKUP(B57,'Base stats'!B:B,'Base stats'!E:E),Groups!A:A,Groups!BA:BA),"True","False")</f>
        <v>False</v>
      </c>
    </row>
    <row r="58" spans="1:87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stats'!AI:AI)=0,BH58="None",_xlfn.XLOOKUP(_xlfn.XLOOKUP(B58,'Base stats'!B:B,'Base stats'!E:E),Groups!A:A,Groups!B:B)=0), (18 + BQ58 * 2.7) * 0.5,
    IF(AND(_xlfn.XLOOKUP(B58,'Base stats'!B:B,'Base stats'!AI:AI)=0,OR(AO58&lt;0.55,AND(BH58="Intermediate",_xlfn.XLOOKUP(_xlfn.XLOOKUP(B58,'Base stats'!B:B,'Base stats'!E:E),Groups!A:A,Groups!B:B)&lt;2))), (18 + BQ58 * 2.7),
      IF(OR(BH58="Advanced",_xlfn.XLOOKUP(B58,'Base stats'!B:B,'Base stats'!AI:AI)=1,_xlfn.XLOOKUP(_xlfn.XLOOKUP(B58,'Base stats'!B:B,'Base stats'!E:E),Groups!A:A,Groups!B:B)=2), (18 + BQ58 * 2.7) + 250, (18 + BQ58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IF(_xlfn.XLOOKUP(B58,'Base stats'!B:B,'Base stats'!AI:AI)=1,0.99,MIN(MROUND((1-0.6282*EXP(-0.459*AO58))*_xlfn.XLOOKUP(_xlfn.XLOOKUP(B58,'Base stats'!B:B,'Base stats'!E:E),Groups!A:A,Groups!C:C)*IF(_xlfn.XLOOKUP(B58,'Base stats'!B:B,'Base stats'!O:O)=1,0.5,IF(_xlfn.XLOOKUP(B58,'Base stats'!B:B,'Base stats'!O:O)=2,0,1)),0.05),0.985))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W58)),ISNUMBER(SEARCH("IceSheet",BW58))),-50,IF(OR(ISNUMBER(SEARCH("GlacialPlain",BW58)),ISNUMBER(SEARCH("Tundra",BW58))),-40,IF(OR(ISNUMBER(SEARCH("Alpine",BW58)),ISNUMBER(SEARCH("BorealForest",BW58)),ISNUMBER(SEARCH("ColdBog",BW58))),-30,IF(OR(ISNUMBER(SEARCH("TemperateForest",BW58)),ISNUMBER(SEARCH("TemperateSwamp",BW58))),-20,IF(_xlfn.XLOOKUP(_xlfn.XLOOKUP(B58,'Base stats'!B:B,'Base stats'!E:E),Groups!A:A,Groups!F:F)=1,-15,IF(OR(ISNUMBER(SEARCH("Desert",BW58)),ISNUMBER(SEARCH("ExtremeDesert",BW58))),-10,IF(OR(ISNUMBER(SEARCH("Grasslands",BW58)),ISNUMBER(SEARCH("TropicalRainforest",BW58)),ISNUMBER(SEARCH("TropicalSwamp",BW58))),10,0)))))))-IF(CB58="False",MIN(IFERROR(MAX(MROUND(LOG10(_xlfn.XLOOKUP(B58,'Base stats'!B:B,'Base stats'!C:C)^(2/3))*10,5),5),5),30))-_xlfn.XLOOKUP(B58,'Base stats'!B:B,'Base stats'!P:P)+IF(CB58="True",5,0)</f>
        <v>-45</v>
      </c>
      <c r="M58" s="2">
        <f>IF(OR(_xlfn.XLOOKUP(_xlfn.XLOOKUP(B58,'Base stats'!B:B,'Base stats'!E:E),Groups!A:A,Groups!G:G)=2,ISNUMBER(SEARCH("Desert",BW58)),ISNUMBER(SEARCH("ExtremeDesert",BW58)),ISNUMBER(SEARCH("LavaField",BW58))),50,IF(ISNUMBER(SEARCH("Grasslands",BW58)),45,IF(OR(_xlfn.XLOOKUP(_xlfn.XLOOKUP(B58,'Base stats'!B:B,'Base stats'!E:E),Groups!A:A,Groups!G:G)=1,ISNUMBER(SEARCH("TropicalRainforest",BW58)),ISNUMBER(SEARCH("TropicalSwamp",BW58))),40,IF(OR(ISNUMBER(SEARCH("TemperateForest",BW58)),ISNUMBER(SEARCH("TemperateSwamp",BW58))),35,IF(OR(ISNUMBER(SEARCH("Alpine",BW58)),ISNUMBER(SEARCH("BorealForest",BW58)),ISNUMBER(SEARCH("ColdBog",BW58))),30,IF(ISNUMBER(OR(ISNUMBER(SEARCH("GlacialPlain",BW58)),SEARCH("Tundra",BW58))),25,IF(OR(ISNUMBER(SEARCH("SeaIce",BW58)),ISNUMBER(SEARCH("IceSheet",BW58)),ISNUMBER(SEARCH("TropicalSwamp",BW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stats'!AO:AO))*(AO58^0.5)+(_xlfn.XLOOKUP(B58,'Base stats'!B:B,'Base stats'!AO:AO)/1000)^(2/3)+_xlfn.XLOOKUP(B58,'Base stats'!B:B,'Base stats'!AX:AX)/2)+0.5,0.5)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stats'!AP:AP))*(AO58^0.5)+(_xlfn.XLOOKUP(B58,'Base stats'!B:B,'Base stats'!AP:AP)/1000)^(2/3)+_xlfn.XLOOKUP(B58,'Base stats'!B:B,'Base stats'!AX:AX))+_xlfn.XLOOKUP(B58,'Base stats'!B:B,'Base stats'!AV:AV)+0.5,0.5))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stats'!AR:AR))*(AO58^0.5)+(_xlfn.XLOOKUP(B58,'Base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stats'!AQ:AQ)="No","No",MROUND((LOG10(_xlfn.XLOOKUP(B58,'Base stats'!B:B,'Base stats'!AQ:AQ))*(AO58^0.75)+(_xlfn.XLOOKUP(B58,'Base stats'!B:B,'Base stats'!AQ:AQ)/1000)^(2/3)+_xlfn.XLOOKUP(B58,'Base stats'!B:B,'Base stats'!AU:AU)+_xlfn.XLOOKUP(B58,'Base stats'!B:B,'Base stats'!AX:AX))+0.5,0.5))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stats'!AP:AP))*(AO58^0.75)+(_xlfn.XLOOKUP(B58,'Base stats'!B:B,'Base stats'!AP:AP)/1000)^(2/3)+_xlfn.XLOOKUP(B58,'Base stats'!B:B,'Base stats'!AV:AV)+_xlfn.XLOOKUP(B58,'Base stats'!B:B,'Base stats'!AX:AX))+0.5,0.5))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MAX(0.01,MROUND(IF(CB58="True",0.196*(AO58*100*1000)^0.889,IF(_xlfn.XLOOKUP(_xlfn.XLOOKUP(B58,'Base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stats'!AE:AE)</f>
        <v>Leather_Fox</v>
      </c>
      <c r="BB58" s="23" t="str">
        <f>_xlfn.XLOOKUP(_xlfn.XLOOKUP(B58,'Base stats'!B:B,'Base stats'!E:E),Groups!A:A,Groups!AL:AL)</f>
        <v>QuadrupedAnimalWithPawsAndTail</v>
      </c>
      <c r="BC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D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E58" s="2" t="str">
        <f>IF(J58&gt;0.3,"No",_xlfn.XLOOKUP(_xlfn.XLOOKUP(Animals!B58,'Base stats'!B:B,'Base stats'!E:E),Groups!A:A,Groups!AP:AP))</f>
        <v>No</v>
      </c>
      <c r="BF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+ 24*(1-IF(BE58="No",0,BE58)) + 16/3, 12),"No")</f>
        <v>36</v>
      </c>
      <c r="BG58" s="2">
        <f>IF(AND(_xlfn.XLOOKUP(_xlfn.XLOOKUP(B58,'Base stats'!B:B,'Base stats'!E:E),Groups!A:A,Groups!AQ:AQ)=1,AO58&lt;=0.35),8,12)</f>
        <v>12</v>
      </c>
      <c r="BH58" s="2" t="str">
        <f>IF(_xlfn.XLOOKUP(_xlfn.XLOOKUP(B58,'Base stats'!B:B,'Base stats'!E:E),Groups!A:A,Groups!D:D)=0,_xlfn.XLOOKUP(_xlfn.XLOOKUP(B58,'Base stats'!B:B,'Base stats'!E:E),Groups!A:A,Groups!AR:AR),"None")</f>
        <v>Advanced</v>
      </c>
      <c r="BI58" s="2" t="str">
        <f>IF(AND(_xlfn.XLOOKUP(_xlfn.XLOOKUP(B58,'Base stats'!B:B,'Base stats'!E:E),Groups!A:A,Groups!AS:AS)=1,OR('Base stats'!Y58="Carnivore",'Base stats'!Y58="Omnivore")),"true","false")</f>
        <v>true</v>
      </c>
      <c r="BJ58" s="2">
        <f>IF(BI58="true",MROUND(IF(AND(AO58&gt;0.5,OR(_xlfn.XLOOKUP(_xlfn.XLOOKUP(B58,'Base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K58" s="2">
        <f t="shared" si="3"/>
        <v>1</v>
      </c>
      <c r="BL58" s="25" t="str">
        <f>IF(_xlfn.XLOOKUP(B58,'Base stats'!B:B,'Base stats'!AK:AK)="Standard","No",MROUND((_xlfn.XLOOKUP(B58,'Base stats'!B:B,'Base stats'!AK:AK)/3.6)/I58,0.1))</f>
        <v>No</v>
      </c>
      <c r="BM58" s="25" t="str">
        <f t="shared" si="4"/>
        <v>false</v>
      </c>
      <c r="BN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O58" s="25" t="str" cm="1">
        <f t="array" ref="BO58">IF(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 = "",
  "No",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
)</f>
        <v>Comfort</v>
      </c>
      <c r="BP58" s="25" t="str">
        <f>IF(
   AND(
      'Base stats'!AK58="Standard",_xlfn.XLOOKUP(_xlfn.XLOOKUP(B58,'Base stats'!B:B,'Base stats'!E:E),Groups!A:A,Groups!AU:AU)=0,
      OR(
      BN58="True"
      )
   ),
   10,
   IF(
       OR(BL58&lt;&gt;"No",_xlfn.XLOOKUP(_xlfn.XLOOKUP(B58,'Base stats'!B:B,'Base stats'!E:E),Groups!A:A,Groups!AU:AU)=1),
      1,
      "No"
   )
)</f>
        <v>No</v>
      </c>
      <c r="BQ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stats'!AS:AS) * 1.8) * 2) * 2.5 + 10 + I58 * 2,5)+IF(_xlfn.XLOOKUP(B58,'Base stats'!B:B,'Base stats'!AH:AH)=1,50,0)</f>
        <v>55</v>
      </c>
      <c r="BR58" s="8">
        <f t="shared" si="5"/>
        <v>0.30000000000000004</v>
      </c>
      <c r="BS58" s="8" t="str">
        <f>_xlfn.XLOOKUP(B58,'Base stats'!B:B,'Base stats'!AD:AD)</f>
        <v>No</v>
      </c>
      <c r="BT58" s="2" t="str">
        <f>IF(AND(J58&lt;=0.95,OR(_xlfn.XLOOKUP(B58,'Base stats'!B:B,'Base stats'!AH:AH)=1,_xlfn.XLOOKUP(B58,'Base stats'!B:B,'Base stats'!Y:Y)="Carnivore",_xlfn.XLOOKUP(B58,'Base stats'!B:B,'Base stats'!Y:Y)="Omnivore",BD58&gt;0.1)),"true","false")</f>
        <v>true</v>
      </c>
      <c r="BU58" s="2" t="str">
        <f>IF(_xlfn.XLOOKUP(B58,'Base stats'!B:B,'Base stats'!AF:AF)=1,"true","false")</f>
        <v>false</v>
      </c>
      <c r="BV58" s="25" t="str">
        <f>IF(E58="BaseInsect","AnimalInsect",
IF(J58&gt;0.95,"AnimalExotic",
_xlfn.TEXTJOIN(", ",TRUE,
IF(OR(_xlfn.XLOOKUP(B58,'Base stats'!B:B,'Base stats'!AJ:AJ)=1,AND(_xlfn.XLOOKUP(B58,'Base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stats'!AH:AH)=1,AND(BH58&lt;&gt;"None",BQ58&gt;=60),ISNUMBER(SEARCH("Attack target",BO58))),"AnimalFighter","")
)))</f>
        <v>AnimalCommon</v>
      </c>
      <c r="BW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),_xlfn.XLOOKUP(B58,B:B,BW:BW))</f>
        <v>BorealForest ColdBog TemperateForest TemperateSwamp GlacialPlain</v>
      </c>
      <c r="BX58" s="25" t="str">
        <f>IF(_xlfn.XLOOKUP(B58,'Base stats'!B:B,'Base stats'!AG:AG)=1,"true","false")</f>
        <v>false</v>
      </c>
      <c r="BY58" s="25">
        <f>IF(_xlfn.XLOOKUP(B58,'Base stats'!B:B,'Base stats'!N:N)=1,"No",MAX(0.01,MIN(MROUND(IF(OR(_xlfn.XLOOKUP(B58,'Base stats'!B:B,'Base stats'!AJ:AJ)=1,AND(BI58="True",CB58="False")),POWER(10,3.47*LOG10(_xlfn.XLOOKUP(B58,'Base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stats'!AH:AH)=1),0.5,1)/100,0.025),1)))</f>
        <v>0.1</v>
      </c>
      <c r="BZ58" s="25" t="str">
        <f>IF(P58="Standard","No",MAX(0.01,IF(_xlfn.XLOOKUP(B58,'Base stats'!B:B,'Base stats'!N:N)=0,MROUND(BY58*P58,0.05),MIN(1,MAX(0.025,MROUND(IF(OR(CB58="true",AND(BI58="false",BN58="false")),POWER(10,4.15*LOG10(_xlfn.XLOOKUP(B58,'Base stats'!B:B,'Base stats'!C:C)*1000)^-0.73),POWER(10,3.47*LOG10(_xlfn.XLOOKUP(B58,'Base stats'!B:B,'Base stats'!C:C)*1000)^-0.96))*IF(_xlfn.XLOOKUP(B58,'Base stats'!B:B,'Base stats'!AH:AH)=1,0.5,1)/100,0.025))))))</f>
        <v>No</v>
      </c>
      <c r="CA58" s="25" t="str">
        <f>IF(_xlfn.XLOOKUP(_xlfn.XLOOKUP(B58,'Base stats'!B:B,'Base stats'!E:E),Groups!A:A,Groups!AJ:AJ)="Mammal","True","False")</f>
        <v>True</v>
      </c>
      <c r="CB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C58" s="25" t="str">
        <f t="shared" si="6"/>
        <v>False</v>
      </c>
      <c r="CD58" s="25" t="str">
        <f>IF(_xlfn.XLOOKUP(_xlfn.XLOOKUP(B58,'Base stats'!B:B,'Base stats'!E:E),Groups!A:A,Groups!AX:AX),"True","False")</f>
        <v>False</v>
      </c>
      <c r="CE58" s="25" t="str">
        <f>IF(_xlfn.XLOOKUP(_xlfn.XLOOKUP(B58,'Base stats'!B:B,'Base stats'!E:E),Groups!A:A,Groups!AY:AY),"True","False")</f>
        <v>False</v>
      </c>
      <c r="CF58" s="25" t="str">
        <f>IF(_xlfn.XLOOKUP(_xlfn.XLOOKUP(B58,'Base stats'!B:B,'Base stats'!E:E),Groups!A:A,Groups!AW:AW),"True","False")</f>
        <v>False</v>
      </c>
      <c r="CG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H58" s="25" t="str">
        <f>IF(_xlfn.XLOOKUP(_xlfn.XLOOKUP(B58,'Base stats'!B:B,'Base stats'!E:E),Groups!A:A,Groups!BB:BB),"True","False")</f>
        <v>True</v>
      </c>
      <c r="CI58" s="25" t="str">
        <f>IF(_xlfn.XLOOKUP(_xlfn.XLOOKUP(B58,'Base stats'!B:B,'Base stats'!E:E),Groups!A:A,Groups!BA:BA),"True","False")</f>
        <v>False</v>
      </c>
    </row>
    <row r="59" spans="1:87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stats'!AI:AI)=0,BH59="None",_xlfn.XLOOKUP(_xlfn.XLOOKUP(B59,'Base stats'!B:B,'Base stats'!E:E),Groups!A:A,Groups!B:B)=0), (18 + BQ59 * 2.7) * 0.5,
    IF(AND(_xlfn.XLOOKUP(B59,'Base stats'!B:B,'Base stats'!AI:AI)=0,OR(AO59&lt;0.55,AND(BH59="Intermediate",_xlfn.XLOOKUP(_xlfn.XLOOKUP(B59,'Base stats'!B:B,'Base stats'!E:E),Groups!A:A,Groups!B:B)&lt;2))), (18 + BQ59 * 2.7),
      IF(OR(BH59="Advanced",_xlfn.XLOOKUP(B59,'Base stats'!B:B,'Base stats'!AI:AI)=1,_xlfn.XLOOKUP(_xlfn.XLOOKUP(B59,'Base stats'!B:B,'Base stats'!E:E),Groups!A:A,Groups!B:B)=2), (18 + BQ59 * 2.7) + 250, (18 + BQ59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IF(_xlfn.XLOOKUP(B59,'Base stats'!B:B,'Base stats'!AI:AI)=1,0.99,MIN(MROUND((1-0.6282*EXP(-0.459*AO59))*_xlfn.XLOOKUP(_xlfn.XLOOKUP(B59,'Base stats'!B:B,'Base stats'!E:E),Groups!A:A,Groups!C:C)*IF(_xlfn.XLOOKUP(B59,'Base stats'!B:B,'Base stats'!O:O)=1,0.5,IF(_xlfn.XLOOKUP(B59,'Base stats'!B:B,'Base stats'!O:O)=2,0,1)),0.05),0.985))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W59)),ISNUMBER(SEARCH("IceSheet",BW59))),-50,IF(OR(ISNUMBER(SEARCH("GlacialPlain",BW59)),ISNUMBER(SEARCH("Tundra",BW59))),-40,IF(OR(ISNUMBER(SEARCH("Alpine",BW59)),ISNUMBER(SEARCH("BorealForest",BW59)),ISNUMBER(SEARCH("ColdBog",BW59))),-30,IF(OR(ISNUMBER(SEARCH("TemperateForest",BW59)),ISNUMBER(SEARCH("TemperateSwamp",BW59))),-20,IF(_xlfn.XLOOKUP(_xlfn.XLOOKUP(B59,'Base stats'!B:B,'Base stats'!E:E),Groups!A:A,Groups!F:F)=1,-15,IF(OR(ISNUMBER(SEARCH("Desert",BW59)),ISNUMBER(SEARCH("ExtremeDesert",BW59))),-10,IF(OR(ISNUMBER(SEARCH("Grasslands",BW59)),ISNUMBER(SEARCH("TropicalRainforest",BW59)),ISNUMBER(SEARCH("TropicalSwamp",BW59))),10,0)))))))-IF(CB59="False",MIN(IFERROR(MAX(MROUND(LOG10(_xlfn.XLOOKUP(B59,'Base stats'!B:B,'Base stats'!C:C)^(2/3))*10,5),5),5),30))-_xlfn.XLOOKUP(B59,'Base stats'!B:B,'Base stats'!P:P)+IF(CB59="True",5,0)</f>
        <v>-55</v>
      </c>
      <c r="M59" s="2">
        <f>IF(OR(_xlfn.XLOOKUP(_xlfn.XLOOKUP(B59,'Base stats'!B:B,'Base stats'!E:E),Groups!A:A,Groups!G:G)=2,ISNUMBER(SEARCH("Desert",BW59)),ISNUMBER(SEARCH("ExtremeDesert",BW59)),ISNUMBER(SEARCH("LavaField",BW59))),50,IF(ISNUMBER(SEARCH("Grasslands",BW59)),45,IF(OR(_xlfn.XLOOKUP(_xlfn.XLOOKUP(B59,'Base stats'!B:B,'Base stats'!E:E),Groups!A:A,Groups!G:G)=1,ISNUMBER(SEARCH("TropicalRainforest",BW59)),ISNUMBER(SEARCH("TropicalSwamp",BW59))),40,IF(OR(ISNUMBER(SEARCH("TemperateForest",BW59)),ISNUMBER(SEARCH("TemperateSwamp",BW59))),35,IF(OR(ISNUMBER(SEARCH("Alpine",BW59)),ISNUMBER(SEARCH("BorealForest",BW59)),ISNUMBER(SEARCH("ColdBog",BW59))),30,IF(ISNUMBER(OR(ISNUMBER(SEARCH("GlacialPlain",BW59)),SEARCH("Tundra",BW59))),25,IF(OR(ISNUMBER(SEARCH("SeaIce",BW59)),ISNUMBER(SEARCH("IceSheet",BW59)),ISNUMBER(SEARCH("TropicalSwamp",BW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stats'!AO:AO))*(AO59^0.5)+(_xlfn.XLOOKUP(B59,'Base stats'!B:B,'Base stats'!AO:AO)/1000)^(2/3)+_xlfn.XLOOKUP(B59,'Base stats'!B:B,'Base stats'!AX:AX)/2)+0.5,0.5)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stats'!AP:AP))*(AO59^0.5)+(_xlfn.XLOOKUP(B59,'Base stats'!B:B,'Base stats'!AP:AP)/1000)^(2/3)+_xlfn.XLOOKUP(B59,'Base stats'!B:B,'Base stats'!AX:AX))+_xlfn.XLOOKUP(B59,'Base stats'!B:B,'Base stats'!AV:AV)+0.5,0.5))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stats'!AR:AR))*(AO59^0.5)+(_xlfn.XLOOKUP(B59,'Base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stats'!AQ:AQ)="No","No",MROUND((LOG10(_xlfn.XLOOKUP(B59,'Base stats'!B:B,'Base stats'!AQ:AQ))*(AO59^0.75)+(_xlfn.XLOOKUP(B59,'Base stats'!B:B,'Base stats'!AQ:AQ)/1000)^(2/3)+_xlfn.XLOOKUP(B59,'Base stats'!B:B,'Base stats'!AU:AU)+_xlfn.XLOOKUP(B59,'Base stats'!B:B,'Base stats'!AX:AX))+0.5,0.5))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stats'!AP:AP))*(AO59^0.75)+(_xlfn.XLOOKUP(B59,'Base stats'!B:B,'Base stats'!AP:AP)/1000)^(2/3)+_xlfn.XLOOKUP(B59,'Base stats'!B:B,'Base stats'!AV:AV)+_xlfn.XLOOKUP(B59,'Base stats'!B:B,'Base stats'!AX:AX))+0.5,0.5))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MAX(0.01,MROUND(IF(CB59="True",0.196*(AO59*100*1000)^0.889,IF(_xlfn.XLOOKUP(_xlfn.XLOOKUP(B59,'Base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stats'!AE:AE)</f>
        <v>Leather_Fox</v>
      </c>
      <c r="BB59" s="23" t="str">
        <f>_xlfn.XLOOKUP(_xlfn.XLOOKUP(B59,'Base stats'!B:B,'Base stats'!E:E),Groups!A:A,Groups!AL:AL)</f>
        <v>QuadrupedAnimalWithPawsAndTail</v>
      </c>
      <c r="BC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D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E59" s="2" t="str">
        <f>IF(J59&gt;0.3,"No",_xlfn.XLOOKUP(_xlfn.XLOOKUP(Animals!B59,'Base stats'!B:B,'Base stats'!E:E),Groups!A:A,Groups!AP:AP))</f>
        <v>No</v>
      </c>
      <c r="BF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+ 24*(1-IF(BE59="No",0,BE59)) + 16/3, 12),"No")</f>
        <v>36</v>
      </c>
      <c r="BG59" s="2">
        <f>IF(AND(_xlfn.XLOOKUP(_xlfn.XLOOKUP(B59,'Base stats'!B:B,'Base stats'!E:E),Groups!A:A,Groups!AQ:AQ)=1,AO59&lt;=0.35),8,12)</f>
        <v>12</v>
      </c>
      <c r="BH59" s="2" t="str">
        <f>IF(_xlfn.XLOOKUP(_xlfn.XLOOKUP(B59,'Base stats'!B:B,'Base stats'!E:E),Groups!A:A,Groups!D:D)=0,_xlfn.XLOOKUP(_xlfn.XLOOKUP(B59,'Base stats'!B:B,'Base stats'!E:E),Groups!A:A,Groups!AR:AR),"None")</f>
        <v>Advanced</v>
      </c>
      <c r="BI59" s="2" t="str">
        <f>IF(AND(_xlfn.XLOOKUP(_xlfn.XLOOKUP(B59,'Base stats'!B:B,'Base stats'!E:E),Groups!A:A,Groups!AS:AS)=1,OR('Base stats'!Y59="Carnivore",'Base stats'!Y59="Omnivore")),"true","false")</f>
        <v>true</v>
      </c>
      <c r="BJ59" s="2">
        <f>IF(BI59="true",MROUND(IF(AND(AO59&gt;0.5,OR(_xlfn.XLOOKUP(_xlfn.XLOOKUP(B59,'Base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K59" s="2">
        <f t="shared" si="3"/>
        <v>1</v>
      </c>
      <c r="BL59" s="25" t="str">
        <f>IF(_xlfn.XLOOKUP(B59,'Base stats'!B:B,'Base stats'!AK:AK)="Standard","No",MROUND((_xlfn.XLOOKUP(B59,'Base stats'!B:B,'Base stats'!AK:AK)/3.6)/I59,0.1))</f>
        <v>No</v>
      </c>
      <c r="BM59" s="25" t="str">
        <f t="shared" si="4"/>
        <v>false</v>
      </c>
      <c r="BN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O59" s="25" t="str" cm="1">
        <f t="array" ref="BO59">IF(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 = "",
  "No",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
)</f>
        <v>Comfort</v>
      </c>
      <c r="BP59" s="25" t="str">
        <f>IF(
   AND(
      'Base stats'!AK59="Standard",_xlfn.XLOOKUP(_xlfn.XLOOKUP(B59,'Base stats'!B:B,'Base stats'!E:E),Groups!A:A,Groups!AU:AU)=0,
      OR(
      BN59="True"
      )
   ),
   10,
   IF(
       OR(BL59&lt;&gt;"No",_xlfn.XLOOKUP(_xlfn.XLOOKUP(B59,'Base stats'!B:B,'Base stats'!E:E),Groups!A:A,Groups!AU:AU)=1),
      1,
      "No"
   )
)</f>
        <v>No</v>
      </c>
      <c r="BQ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stats'!AS:AS) * 1.8) * 2) * 2.5 + 10 + I59 * 2,5)+IF(_xlfn.XLOOKUP(B59,'Base stats'!B:B,'Base stats'!AH:AH)=1,50,0)</f>
        <v>45</v>
      </c>
      <c r="BR59" s="8">
        <f t="shared" si="5"/>
        <v>0.25</v>
      </c>
      <c r="BS59" s="8" t="str">
        <f>_xlfn.XLOOKUP(B59,'Base stats'!B:B,'Base stats'!AD:AD)</f>
        <v>No</v>
      </c>
      <c r="BT59" s="2" t="str">
        <f>IF(AND(J59&lt;=0.95,OR(_xlfn.XLOOKUP(B59,'Base stats'!B:B,'Base stats'!AH:AH)=1,_xlfn.XLOOKUP(B59,'Base stats'!B:B,'Base stats'!Y:Y)="Carnivore",_xlfn.XLOOKUP(B59,'Base stats'!B:B,'Base stats'!Y:Y)="Omnivore",BD59&gt;0.1)),"true","false")</f>
        <v>true</v>
      </c>
      <c r="BU59" s="2" t="str">
        <f>IF(_xlfn.XLOOKUP(B59,'Base stats'!B:B,'Base stats'!AF:AF)=1,"true","false")</f>
        <v>false</v>
      </c>
      <c r="BV59" s="25" t="str">
        <f>IF(E59="BaseInsect","AnimalInsect",
IF(J59&gt;0.95,"AnimalExotic",
_xlfn.TEXTJOIN(", ",TRUE,
IF(OR(_xlfn.XLOOKUP(B59,'Base stats'!B:B,'Base stats'!AJ:AJ)=1,AND(_xlfn.XLOOKUP(B59,'Base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stats'!AH:AH)=1,AND(BH59&lt;&gt;"None",BQ59&gt;=60),ISNUMBER(SEARCH("Attack target",BO59))),"AnimalFighter","")
)))</f>
        <v>AnimalCommon</v>
      </c>
      <c r="BW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),_xlfn.XLOOKUP(B59,B:B,BW:BW))</f>
        <v>SeaIce IceSheet Tundra</v>
      </c>
      <c r="BX59" s="25" t="str">
        <f>IF(_xlfn.XLOOKUP(B59,'Base stats'!B:B,'Base stats'!AG:AG)=1,"true","false")</f>
        <v>false</v>
      </c>
      <c r="BY59" s="25">
        <f>IF(_xlfn.XLOOKUP(B59,'Base stats'!B:B,'Base stats'!N:N)=1,"No",MAX(0.01,MIN(MROUND(IF(OR(_xlfn.XLOOKUP(B59,'Base stats'!B:B,'Base stats'!AJ:AJ)=1,AND(BI59="True",CB59="False")),POWER(10,3.47*LOG10(_xlfn.XLOOKUP(B59,'Base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stats'!AH:AH)=1),0.5,1)/100,0.025),1)))</f>
        <v>0.1</v>
      </c>
      <c r="BZ59" s="25" t="str">
        <f>IF(P59="Standard","No",MAX(0.01,IF(_xlfn.XLOOKUP(B59,'Base stats'!B:B,'Base stats'!N:N)=0,MROUND(BY59*P59,0.05),MIN(1,MAX(0.025,MROUND(IF(OR(CB59="true",AND(BI59="false",BN59="false")),POWER(10,4.15*LOG10(_xlfn.XLOOKUP(B59,'Base stats'!B:B,'Base stats'!C:C)*1000)^-0.73),POWER(10,3.47*LOG10(_xlfn.XLOOKUP(B59,'Base stats'!B:B,'Base stats'!C:C)*1000)^-0.96))*IF(_xlfn.XLOOKUP(B59,'Base stats'!B:B,'Base stats'!AH:AH)=1,0.5,1)/100,0.025))))))</f>
        <v>No</v>
      </c>
      <c r="CA59" s="25" t="str">
        <f>IF(_xlfn.XLOOKUP(_xlfn.XLOOKUP(B59,'Base stats'!B:B,'Base stats'!E:E),Groups!A:A,Groups!AJ:AJ)="Mammal","True","False")</f>
        <v>True</v>
      </c>
      <c r="CB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C59" s="25" t="str">
        <f t="shared" si="6"/>
        <v>False</v>
      </c>
      <c r="CD59" s="25" t="str">
        <f>IF(_xlfn.XLOOKUP(_xlfn.XLOOKUP(B59,'Base stats'!B:B,'Base stats'!E:E),Groups!A:A,Groups!AX:AX),"True","False")</f>
        <v>False</v>
      </c>
      <c r="CE59" s="25" t="str">
        <f>IF(_xlfn.XLOOKUP(_xlfn.XLOOKUP(B59,'Base stats'!B:B,'Base stats'!E:E),Groups!A:A,Groups!AY:AY),"True","False")</f>
        <v>False</v>
      </c>
      <c r="CF59" s="25" t="str">
        <f>IF(_xlfn.XLOOKUP(_xlfn.XLOOKUP(B59,'Base stats'!B:B,'Base stats'!E:E),Groups!A:A,Groups!AW:AW),"True","False")</f>
        <v>False</v>
      </c>
      <c r="CG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H59" s="25" t="str">
        <f>IF(_xlfn.XLOOKUP(_xlfn.XLOOKUP(B59,'Base stats'!B:B,'Base stats'!E:E),Groups!A:A,Groups!BB:BB),"True","False")</f>
        <v>True</v>
      </c>
      <c r="CI59" s="25" t="str">
        <f>IF(_xlfn.XLOOKUP(_xlfn.XLOOKUP(B59,'Base stats'!B:B,'Base stats'!E:E),Groups!A:A,Groups!BA:BA),"True","False")</f>
        <v>False</v>
      </c>
    </row>
    <row r="60" spans="1:87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stats'!AI:AI)=0,BH60="None",_xlfn.XLOOKUP(_xlfn.XLOOKUP(B60,'Base stats'!B:B,'Base stats'!E:E),Groups!A:A,Groups!B:B)=0), (18 + BQ60 * 2.7) * 0.5,
    IF(AND(_xlfn.XLOOKUP(B60,'Base stats'!B:B,'Base stats'!AI:AI)=0,OR(AO60&lt;0.55,AND(BH60="Intermediate",_xlfn.XLOOKUP(_xlfn.XLOOKUP(B60,'Base stats'!B:B,'Base stats'!E:E),Groups!A:A,Groups!B:B)&lt;2))), (18 + BQ60 * 2.7),
      IF(OR(BH60="Advanced",_xlfn.XLOOKUP(B60,'Base stats'!B:B,'Base stats'!AI:AI)=1,_xlfn.XLOOKUP(_xlfn.XLOOKUP(B60,'Base stats'!B:B,'Base stats'!E:E),Groups!A:A,Groups!B:B)=2), (18 + BQ60 * 2.7) + 250, (18 + BQ60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IF(_xlfn.XLOOKUP(B60,'Base stats'!B:B,'Base stats'!AI:AI)=1,0.99,MIN(MROUND((1-0.6282*EXP(-0.459*AO60))*_xlfn.XLOOKUP(_xlfn.XLOOKUP(B60,'Base stats'!B:B,'Base stats'!E:E),Groups!A:A,Groups!C:C)*IF(_xlfn.XLOOKUP(B60,'Base stats'!B:B,'Base stats'!O:O)=1,0.5,IF(_xlfn.XLOOKUP(B60,'Base stats'!B:B,'Base stats'!O:O)=2,0,1)),0.05),0.985))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W60)),ISNUMBER(SEARCH("IceSheet",BW60))),-50,IF(OR(ISNUMBER(SEARCH("GlacialPlain",BW60)),ISNUMBER(SEARCH("Tundra",BW60))),-40,IF(OR(ISNUMBER(SEARCH("Alpine",BW60)),ISNUMBER(SEARCH("BorealForest",BW60)),ISNUMBER(SEARCH("ColdBog",BW60))),-30,IF(OR(ISNUMBER(SEARCH("TemperateForest",BW60)),ISNUMBER(SEARCH("TemperateSwamp",BW60))),-20,IF(_xlfn.XLOOKUP(_xlfn.XLOOKUP(B60,'Base stats'!B:B,'Base stats'!E:E),Groups!A:A,Groups!F:F)=1,-15,IF(OR(ISNUMBER(SEARCH("Desert",BW60)),ISNUMBER(SEARCH("ExtremeDesert",BW60))),-10,IF(OR(ISNUMBER(SEARCH("Grasslands",BW60)),ISNUMBER(SEARCH("TropicalRainforest",BW60)),ISNUMBER(SEARCH("TropicalSwamp",BW60))),10,0)))))))-IF(CB60="False",MIN(IFERROR(MAX(MROUND(LOG10(_xlfn.XLOOKUP(B60,'Base stats'!B:B,'Base stats'!C:C)^(2/3))*10,5),5),5),30))-_xlfn.XLOOKUP(B60,'Base stats'!B:B,'Base stats'!P:P)+IF(CB60="True",5,0)</f>
        <v>-20</v>
      </c>
      <c r="M60" s="2">
        <f>IF(OR(_xlfn.XLOOKUP(_xlfn.XLOOKUP(B60,'Base stats'!B:B,'Base stats'!E:E),Groups!A:A,Groups!G:G)=2,ISNUMBER(SEARCH("Desert",BW60)),ISNUMBER(SEARCH("ExtremeDesert",BW60)),ISNUMBER(SEARCH("LavaField",BW60))),50,IF(ISNUMBER(SEARCH("Grasslands",BW60)),45,IF(OR(_xlfn.XLOOKUP(_xlfn.XLOOKUP(B60,'Base stats'!B:B,'Base stats'!E:E),Groups!A:A,Groups!G:G)=1,ISNUMBER(SEARCH("TropicalRainforest",BW60)),ISNUMBER(SEARCH("TropicalSwamp",BW60))),40,IF(OR(ISNUMBER(SEARCH("TemperateForest",BW60)),ISNUMBER(SEARCH("TemperateSwamp",BW60))),35,IF(OR(ISNUMBER(SEARCH("Alpine",BW60)),ISNUMBER(SEARCH("BorealForest",BW60)),ISNUMBER(SEARCH("ColdBog",BW60))),30,IF(ISNUMBER(OR(ISNUMBER(SEARCH("GlacialPlain",BW60)),SEARCH("Tundra",BW60))),25,IF(OR(ISNUMBER(SEARCH("SeaIce",BW60)),ISNUMBER(SEARCH("IceSheet",BW60)),ISNUMBER(SEARCH("TropicalSwamp",BW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stats'!AO:AO))*(AO60^0.5)+(_xlfn.XLOOKUP(B60,'Base stats'!B:B,'Base stats'!AO:AO)/1000)^(2/3)+_xlfn.XLOOKUP(B60,'Base stats'!B:B,'Base stats'!AX:AX)/2)+0.5,0.5)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stats'!AP:AP))*(AO60^0.5)+(_xlfn.XLOOKUP(B60,'Base stats'!B:B,'Base stats'!AP:AP)/1000)^(2/3)+_xlfn.XLOOKUP(B60,'Base stats'!B:B,'Base stats'!AX:AX))+_xlfn.XLOOKUP(B60,'Base stats'!B:B,'Base stats'!AV:AV)+0.5,0.5))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stats'!AR:AR))*(AO60^0.5)+(_xlfn.XLOOKUP(B60,'Base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stats'!AQ:AQ)="No","No",MROUND((LOG10(_xlfn.XLOOKUP(B60,'Base stats'!B:B,'Base stats'!AQ:AQ))*(AO60^0.75)+(_xlfn.XLOOKUP(B60,'Base stats'!B:B,'Base stats'!AQ:AQ)/1000)^(2/3)+_xlfn.XLOOKUP(B60,'Base stats'!B:B,'Base stats'!AU:AU)+_xlfn.XLOOKUP(B60,'Base stats'!B:B,'Base stats'!AX:AX))+0.5,0.5))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stats'!AP:AP))*(AO60^0.75)+(_xlfn.XLOOKUP(B60,'Base stats'!B:B,'Base stats'!AP:AP)/1000)^(2/3)+_xlfn.XLOOKUP(B60,'Base stats'!B:B,'Base stats'!AV:AV)+_xlfn.XLOOKUP(B60,'Base stats'!B:B,'Base stats'!AX:AX))+0.5,0.5))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MAX(0.01,MROUND(IF(CB60="True",0.196*(AO60*100*1000)^0.889,IF(_xlfn.XLOOKUP(_xlfn.XLOOKUP(B60,'Base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stats'!AE:AE)</f>
        <v>Leather_Fox</v>
      </c>
      <c r="BB60" s="23" t="str">
        <f>_xlfn.XLOOKUP(_xlfn.XLOOKUP(B60,'Base stats'!B:B,'Base stats'!E:E),Groups!A:A,Groups!AL:AL)</f>
        <v>QuadrupedAnimalWithPawsAndTail</v>
      </c>
      <c r="BC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D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E60" s="2" t="str">
        <f>IF(J60&gt;0.3,"No",_xlfn.XLOOKUP(_xlfn.XLOOKUP(Animals!B60,'Base stats'!B:B,'Base stats'!E:E),Groups!A:A,Groups!AP:AP))</f>
        <v>No</v>
      </c>
      <c r="BF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+ 24*(1-IF(BE60="No",0,BE60)) + 16/3, 12),"No")</f>
        <v>36</v>
      </c>
      <c r="BG60" s="2">
        <f>IF(AND(_xlfn.XLOOKUP(_xlfn.XLOOKUP(B60,'Base stats'!B:B,'Base stats'!E:E),Groups!A:A,Groups!AQ:AQ)=1,AO60&lt;=0.35),8,12)</f>
        <v>12</v>
      </c>
      <c r="BH60" s="2" t="str">
        <f>IF(_xlfn.XLOOKUP(_xlfn.XLOOKUP(B60,'Base stats'!B:B,'Base stats'!E:E),Groups!A:A,Groups!D:D)=0,_xlfn.XLOOKUP(_xlfn.XLOOKUP(B60,'Base stats'!B:B,'Base stats'!E:E),Groups!A:A,Groups!AR:AR),"None")</f>
        <v>Advanced</v>
      </c>
      <c r="BI60" s="2" t="str">
        <f>IF(AND(_xlfn.XLOOKUP(_xlfn.XLOOKUP(B60,'Base stats'!B:B,'Base stats'!E:E),Groups!A:A,Groups!AS:AS)=1,OR('Base stats'!Y60="Carnivore",'Base stats'!Y60="Omnivore")),"true","false")</f>
        <v>true</v>
      </c>
      <c r="BJ60" s="2">
        <f>IF(BI60="true",MROUND(IF(AND(AO60&gt;0.5,OR(_xlfn.XLOOKUP(_xlfn.XLOOKUP(B60,'Base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K60" s="2">
        <f t="shared" si="3"/>
        <v>1</v>
      </c>
      <c r="BL60" s="25" t="str">
        <f>IF(_xlfn.XLOOKUP(B60,'Base stats'!B:B,'Base stats'!AK:AK)="Standard","No",MROUND((_xlfn.XLOOKUP(B60,'Base stats'!B:B,'Base stats'!AK:AK)/3.6)/I60,0.1))</f>
        <v>No</v>
      </c>
      <c r="BM60" s="25" t="str">
        <f t="shared" si="4"/>
        <v>false</v>
      </c>
      <c r="BN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O60" s="25" t="str" cm="1">
        <f t="array" ref="BO60">IF(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 = "",
  "No",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
)</f>
        <v>Comfort</v>
      </c>
      <c r="BP60" s="25" t="str">
        <f>IF(
   AND(
      'Base stats'!AK60="Standard",_xlfn.XLOOKUP(_xlfn.XLOOKUP(B60,'Base stats'!B:B,'Base stats'!E:E),Groups!A:A,Groups!AU:AU)=0,
      OR(
      BN60="True"
      )
   ),
   10,
   IF(
       OR(BL60&lt;&gt;"No",_xlfn.XLOOKUP(_xlfn.XLOOKUP(B60,'Base stats'!B:B,'Base stats'!E:E),Groups!A:A,Groups!AU:AU)=1),
      1,
      "No"
   )
)</f>
        <v>No</v>
      </c>
      <c r="BQ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stats'!AS:AS) * 1.8) * 2) * 2.5 + 10 + I60 * 2,5)+IF(_xlfn.XLOOKUP(B60,'Base stats'!B:B,'Base stats'!AH:AH)=1,50,0)</f>
        <v>40</v>
      </c>
      <c r="BR60" s="8">
        <f t="shared" si="5"/>
        <v>0.25</v>
      </c>
      <c r="BS60" s="8" t="str">
        <f>_xlfn.XLOOKUP(B60,'Base stats'!B:B,'Base stats'!AD:AD)</f>
        <v>No</v>
      </c>
      <c r="BT60" s="2" t="str">
        <f>IF(AND(J60&lt;=0.95,OR(_xlfn.XLOOKUP(B60,'Base stats'!B:B,'Base stats'!AH:AH)=1,_xlfn.XLOOKUP(B60,'Base stats'!B:B,'Base stats'!Y:Y)="Carnivore",_xlfn.XLOOKUP(B60,'Base stats'!B:B,'Base stats'!Y:Y)="Omnivore",BD60&gt;0.1)),"true","false")</f>
        <v>true</v>
      </c>
      <c r="BU60" s="2" t="str">
        <f>IF(_xlfn.XLOOKUP(B60,'Base stats'!B:B,'Base stats'!AF:AF)=1,"true","false")</f>
        <v>false</v>
      </c>
      <c r="BV60" s="25" t="str">
        <f>IF(E60="BaseInsect","AnimalInsect",
IF(J60&gt;0.95,"AnimalExotic",
_xlfn.TEXTJOIN(", ",TRUE,
IF(OR(_xlfn.XLOOKUP(B60,'Base stats'!B:B,'Base stats'!AJ:AJ)=1,AND(_xlfn.XLOOKUP(B60,'Base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stats'!AH:AH)=1,AND(BH60&lt;&gt;"None",BQ60&gt;=60),ISNUMBER(SEARCH("Attack target",BO60))),"AnimalFighter","")
)))</f>
        <v>AnimalCommon</v>
      </c>
      <c r="BW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),_xlfn.XLOOKUP(B60,B:B,BW:BW))</f>
        <v>AridShrubland Desert ExtremeDesert LavaField</v>
      </c>
      <c r="BX60" s="25" t="str">
        <f>IF(_xlfn.XLOOKUP(B60,'Base stats'!B:B,'Base stats'!AG:AG)=1,"true","false")</f>
        <v>false</v>
      </c>
      <c r="BY60" s="25">
        <f>IF(_xlfn.XLOOKUP(B60,'Base stats'!B:B,'Base stats'!N:N)=1,"No",MAX(0.01,MIN(MROUND(IF(OR(_xlfn.XLOOKUP(B60,'Base stats'!B:B,'Base stats'!AJ:AJ)=1,AND(BI60="True",CB60="False")),POWER(10,3.47*LOG10(_xlfn.XLOOKUP(B60,'Base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stats'!AH:AH)=1),0.5,1)/100,0.025),1)))</f>
        <v>0.125</v>
      </c>
      <c r="BZ60" s="25" t="str">
        <f>IF(P60="Standard","No",MAX(0.01,IF(_xlfn.XLOOKUP(B60,'Base stats'!B:B,'Base stats'!N:N)=0,MROUND(BY60*P60,0.05),MIN(1,MAX(0.025,MROUND(IF(OR(CB60="true",AND(BI60="false",BN60="false")),POWER(10,4.15*LOG10(_xlfn.XLOOKUP(B60,'Base stats'!B:B,'Base stats'!C:C)*1000)^-0.73),POWER(10,3.47*LOG10(_xlfn.XLOOKUP(B60,'Base stats'!B:B,'Base stats'!C:C)*1000)^-0.96))*IF(_xlfn.XLOOKUP(B60,'Base stats'!B:B,'Base stats'!AH:AH)=1,0.5,1)/100,0.025))))))</f>
        <v>No</v>
      </c>
      <c r="CA60" s="25" t="str">
        <f>IF(_xlfn.XLOOKUP(_xlfn.XLOOKUP(B60,'Base stats'!B:B,'Base stats'!E:E),Groups!A:A,Groups!AJ:AJ)="Mammal","True","False")</f>
        <v>True</v>
      </c>
      <c r="CB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C60" s="25" t="str">
        <f t="shared" si="6"/>
        <v>False</v>
      </c>
      <c r="CD60" s="25" t="str">
        <f>IF(_xlfn.XLOOKUP(_xlfn.XLOOKUP(B60,'Base stats'!B:B,'Base stats'!E:E),Groups!A:A,Groups!AX:AX),"True","False")</f>
        <v>False</v>
      </c>
      <c r="CE60" s="25" t="str">
        <f>IF(_xlfn.XLOOKUP(_xlfn.XLOOKUP(B60,'Base stats'!B:B,'Base stats'!E:E),Groups!A:A,Groups!AY:AY),"True","False")</f>
        <v>False</v>
      </c>
      <c r="CF60" s="25" t="str">
        <f>IF(_xlfn.XLOOKUP(_xlfn.XLOOKUP(B60,'Base stats'!B:B,'Base stats'!E:E),Groups!A:A,Groups!AW:AW),"True","False")</f>
        <v>False</v>
      </c>
      <c r="CG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H60" s="25" t="str">
        <f>IF(_xlfn.XLOOKUP(_xlfn.XLOOKUP(B60,'Base stats'!B:B,'Base stats'!E:E),Groups!A:A,Groups!BB:BB),"True","False")</f>
        <v>True</v>
      </c>
      <c r="CI60" s="25" t="str">
        <f>IF(_xlfn.XLOOKUP(_xlfn.XLOOKUP(B60,'Base stats'!B:B,'Base stats'!E:E),Groups!A:A,Groups!BA:BA),"True","False")</f>
        <v>False</v>
      </c>
    </row>
    <row r="61" spans="1:87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stats'!AI:AI)=0,BH61="None",_xlfn.XLOOKUP(_xlfn.XLOOKUP(B61,'Base stats'!B:B,'Base stats'!E:E),Groups!A:A,Groups!B:B)=0), (18 + BQ61 * 2.7) * 0.5,
    IF(AND(_xlfn.XLOOKUP(B61,'Base stats'!B:B,'Base stats'!AI:AI)=0,OR(AO61&lt;0.55,AND(BH61="Intermediate",_xlfn.XLOOKUP(_xlfn.XLOOKUP(B61,'Base stats'!B:B,'Base stats'!E:E),Groups!A:A,Groups!B:B)&lt;2))), (18 + BQ61 * 2.7),
      IF(OR(BH61="Advanced",_xlfn.XLOOKUP(B61,'Base stats'!B:B,'Base stats'!AI:AI)=1,_xlfn.XLOOKUP(_xlfn.XLOOKUP(B61,'Base stats'!B:B,'Base stats'!E:E),Groups!A:A,Groups!B:B)=2), (18 + BQ61 * 2.7) + 250, (18 + BQ61 * 2.7))
    )
  ))
  + AO61 * 80
  + IF(COUNTIF(EggMilk!K$2:K$998, A61) &gt; 0, 125, 0)
  + IF(COUNTIF(EggMilk!P$2:P$998, A61) &gt; 0, 90, 0)
  + IF(COUNTIF(EggMilk!A$2:A$998, A61) &gt; 0, 90, 0)
)
* (0.8 + 0.4 * J61)
* 0.75,25)</f>
        <v>75</v>
      </c>
      <c r="I61" s="2">
        <f>MROUND(ROUNDDOWN(_xlfn.XLOOKUP(B61,'Base stats'!B:B,'Base stats'!L:L)/3.6/(23.3/11),1),0.5)</f>
        <v>3.5</v>
      </c>
      <c r="J61" s="2">
        <f>IF(_xlfn.XLOOKUP(B61,'Base stats'!B:B,'Base stats'!AI:AI)=1,0.99,MIN(MROUND((1-0.6282*EXP(-0.459*AO61))*_xlfn.XLOOKUP(_xlfn.XLOOKUP(B61,'Base stats'!B:B,'Base stats'!E:E),Groups!A:A,Groups!C:C)*IF(_xlfn.XLOOKUP(B61,'Base stats'!B:B,'Base stats'!O:O)=1,0.5,IF(_xlfn.XLOOKUP(B61,'Base stats'!B:B,'Base stats'!O:O)=2,0,1)),0.05),0.985))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W61)),ISNUMBER(SEARCH("IceSheet",BW61))),-50,IF(OR(ISNUMBER(SEARCH("GlacialPlain",BW61)),ISNUMBER(SEARCH("Tundra",BW61))),-40,IF(OR(ISNUMBER(SEARCH("Alpine",BW61)),ISNUMBER(SEARCH("BorealForest",BW61)),ISNUMBER(SEARCH("ColdBog",BW61))),-30,IF(OR(ISNUMBER(SEARCH("TemperateForest",BW61)),ISNUMBER(SEARCH("TemperateSwamp",BW61))),-20,IF(_xlfn.XLOOKUP(_xlfn.XLOOKUP(B61,'Base stats'!B:B,'Base stats'!E:E),Groups!A:A,Groups!F:F)=1,-15,IF(OR(ISNUMBER(SEARCH("Desert",BW61)),ISNUMBER(SEARCH("ExtremeDesert",BW61))),-10,IF(OR(ISNUMBER(SEARCH("Grasslands",BW61)),ISNUMBER(SEARCH("TropicalRainforest",BW61)),ISNUMBER(SEARCH("TropicalSwamp",BW61))),10,0)))))))-IF(CB61="False",MIN(IFERROR(MAX(MROUND(LOG10(_xlfn.XLOOKUP(B61,'Base stats'!B:B,'Base stats'!C:C)^(2/3))*10,5),5),5),30))-_xlfn.XLOOKUP(B61,'Base stats'!B:B,'Base stats'!P:P)+IF(CB61="True",5,0)</f>
        <v>-35</v>
      </c>
      <c r="M61" s="2">
        <f>IF(OR(_xlfn.XLOOKUP(_xlfn.XLOOKUP(B61,'Base stats'!B:B,'Base stats'!E:E),Groups!A:A,Groups!G:G)=2,ISNUMBER(SEARCH("Desert",BW61)),ISNUMBER(SEARCH("ExtremeDesert",BW61)),ISNUMBER(SEARCH("LavaField",BW61))),50,IF(ISNUMBER(SEARCH("Grasslands",BW61)),45,IF(OR(_xlfn.XLOOKUP(_xlfn.XLOOKUP(B61,'Base stats'!B:B,'Base stats'!E:E),Groups!A:A,Groups!G:G)=1,ISNUMBER(SEARCH("TropicalRainforest",BW61)),ISNUMBER(SEARCH("TropicalSwamp",BW61))),40,IF(OR(ISNUMBER(SEARCH("TemperateForest",BW61)),ISNUMBER(SEARCH("TemperateSwamp",BW61))),35,IF(OR(ISNUMBER(SEARCH("Alpine",BW61)),ISNUMBER(SEARCH("BorealForest",BW61)),ISNUMBER(SEARCH("ColdBog",BW61))),30,IF(ISNUMBER(OR(ISNUMBER(SEARCH("GlacialPlain",BW61)),SEARCH("Tundra",BW61))),25,IF(OR(ISNUMBER(SEARCH("SeaIce",BW61)),ISNUMBER(SEARCH("IceSheet",BW61)),ISNUMBER(SEARCH("TropicalSwamp",BW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stats'!AO:AO))*(AO61^0.5)+(_xlfn.XLOOKUP(B61,'Base stats'!B:B,'Base stats'!AO:AO)/1000)^(2/3)+_xlfn.XLOOKUP(B61,'Base stats'!B:B,'Base stats'!AX:AX)/2)+0.5,0.5)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stats'!AP:AP))*(AO61^0.5)+(_xlfn.XLOOKUP(B61,'Base stats'!B:B,'Base stats'!AP:AP)/1000)^(2/3)+_xlfn.XLOOKUP(B61,'Base stats'!B:B,'Base stats'!AX:AX))+_xlfn.XLOOKUP(B61,'Base stats'!B:B,'Base stats'!AV:AV)+0.5,0.5))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stats'!AR:AR))*(AO61^0.5)+(_xlfn.XLOOKUP(B61,'Base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stats'!AQ:AQ)="No","No",MROUND((LOG10(_xlfn.XLOOKUP(B61,'Base stats'!B:B,'Base stats'!AQ:AQ))*(AO61^0.75)+(_xlfn.XLOOKUP(B61,'Base stats'!B:B,'Base stats'!AQ:AQ)/1000)^(2/3)+_xlfn.XLOOKUP(B61,'Base stats'!B:B,'Base stats'!AU:AU)+_xlfn.XLOOKUP(B61,'Base stats'!B:B,'Base stats'!AX:AX))+0.5,0.5))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stats'!AP:AP))*(AO61^0.75)+(_xlfn.XLOOKUP(B61,'Base stats'!B:B,'Base stats'!AP:AP)/1000)^(2/3)+_xlfn.XLOOKUP(B61,'Base stats'!B:B,'Base stats'!AV:AV)+_xlfn.XLOOKUP(B61,'Base stats'!B:B,'Base stats'!AX:AX))+0.5,0.5))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MAX(0.01,MROUND(IF(CB61="True",0.196*(AO61*100*1000)^0.889,IF(_xlfn.XLOOKUP(_xlfn.XLOOKUP(B61,'Base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stats'!AE:AE)</f>
        <v>Leather_Light</v>
      </c>
      <c r="BB61" s="23" t="str">
        <f>_xlfn.XLOOKUP(_xlfn.XLOOKUP(B61,'Base stats'!B:B,'Base stats'!E:E),Groups!A:A,Groups!AL:AL)</f>
        <v>QuadrupedAnimalWithPawsAndTail</v>
      </c>
      <c r="BC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D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E61" s="2" t="str">
        <f>IF(J61&gt;0.3,"No",_xlfn.XLOOKUP(_xlfn.XLOOKUP(Animals!B61,'Base stats'!B:B,'Base stats'!E:E),Groups!A:A,Groups!AP:AP))</f>
        <v>No</v>
      </c>
      <c r="BF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+ 24*(1-IF(BE61="No",0,BE61)) + 16/3, 12),"No")</f>
        <v>36</v>
      </c>
      <c r="BG61" s="2">
        <f>IF(AND(_xlfn.XLOOKUP(_xlfn.XLOOKUP(B61,'Base stats'!B:B,'Base stats'!E:E),Groups!A:A,Groups!AQ:AQ)=1,AO61&lt;=0.35),8,12)</f>
        <v>12</v>
      </c>
      <c r="BH61" s="2" t="str">
        <f>IF(_xlfn.XLOOKUP(_xlfn.XLOOKUP(B61,'Base stats'!B:B,'Base stats'!E:E),Groups!A:A,Groups!D:D)=0,_xlfn.XLOOKUP(_xlfn.XLOOKUP(B61,'Base stats'!B:B,'Base stats'!E:E),Groups!A:A,Groups!AR:AR),"None")</f>
        <v>None</v>
      </c>
      <c r="BI61" s="2" t="str">
        <f>IF(AND(_xlfn.XLOOKUP(_xlfn.XLOOKUP(B61,'Base stats'!B:B,'Base stats'!E:E),Groups!A:A,Groups!AS:AS)=1,OR('Base stats'!Y61="Carnivore",'Base stats'!Y61="Omnivore")),"true","false")</f>
        <v>false</v>
      </c>
      <c r="BJ61" s="2" t="str">
        <f>IF(BI61="true",MROUND(IF(AND(AO61&gt;0.5,OR(_xlfn.XLOOKUP(_xlfn.XLOOKUP(B61,'Base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K61" s="2">
        <f t="shared" si="3"/>
        <v>0</v>
      </c>
      <c r="BL61" s="25" t="str">
        <f>IF(_xlfn.XLOOKUP(B61,'Base stats'!B:B,'Base stats'!AK:AK)="Standard","No",MROUND((_xlfn.XLOOKUP(B61,'Base stats'!B:B,'Base stats'!AK:AK)/3.6)/I61,0.1))</f>
        <v>No</v>
      </c>
      <c r="BM61" s="25" t="str">
        <f t="shared" si="4"/>
        <v>false</v>
      </c>
      <c r="BN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O61" s="25" t="str" cm="1">
        <f t="array" ref="BO61">IF(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 = "",
  "No",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
)</f>
        <v>Forage, Comfort</v>
      </c>
      <c r="BP61" s="25" t="str">
        <f>IF(
   AND(
      'Base stats'!AK61="Standard",_xlfn.XLOOKUP(_xlfn.XLOOKUP(B61,'Base stats'!B:B,'Base stats'!E:E),Groups!A:A,Groups!AU:AU)=0,
      OR(
      BN61="True"
      )
   ),
   10,
   IF(
       OR(BL61&lt;&gt;"No",_xlfn.XLOOKUP(_xlfn.XLOOKUP(B61,'Base stats'!B:B,'Base stats'!E:E),Groups!A:A,Groups!AU:AU)=1),
      1,
      "No"
   )
)</f>
        <v>No</v>
      </c>
      <c r="BQ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stats'!AS:AS) * 1.8) * 2) * 2.5 + 10 + I61 * 2,5)+IF(_xlfn.XLOOKUP(B61,'Base stats'!B:B,'Base stats'!AH:AH)=1,50,0)</f>
        <v>50</v>
      </c>
      <c r="BR61" s="8">
        <f t="shared" si="5"/>
        <v>0.35000000000000003</v>
      </c>
      <c r="BS61" s="8" t="str">
        <f>_xlfn.XLOOKUP(B61,'Base stats'!B:B,'Base stats'!AD:AD)</f>
        <v>1~6</v>
      </c>
      <c r="BT61" s="2" t="str">
        <f>IF(AND(J61&lt;=0.95,OR(_xlfn.XLOOKUP(B61,'Base stats'!B:B,'Base stats'!AH:AH)=1,_xlfn.XLOOKUP(B61,'Base stats'!B:B,'Base stats'!Y:Y)="Carnivore",_xlfn.XLOOKUP(B61,'Base stats'!B:B,'Base stats'!Y:Y)="Omnivore",BD61&gt;0.1)),"true","false")</f>
        <v>true</v>
      </c>
      <c r="BU61" s="2" t="str">
        <f>IF(_xlfn.XLOOKUP(B61,'Base stats'!B:B,'Base stats'!AF:AF)=1,"true","false")</f>
        <v>false</v>
      </c>
      <c r="BV61" s="25" t="str">
        <f>IF(E61="BaseInsect","AnimalInsect",
IF(J61&gt;0.95,"AnimalExotic",
_xlfn.TEXTJOIN(", ",TRUE,
IF(OR(_xlfn.XLOOKUP(B61,'Base stats'!B:B,'Base stats'!AJ:AJ)=1,AND(_xlfn.XLOOKUP(B61,'Base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stats'!AH:AH)=1,AND(BH61&lt;&gt;"None",BQ61&gt;=60),ISNUMBER(SEARCH("Attack target",BO61))),"AnimalFighter","")
)))</f>
        <v>AnimalCommon</v>
      </c>
      <c r="BW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),_xlfn.XLOOKUP(B61,B:B,BW:BW))</f>
        <v>BorealForest ColdBog TemperateForest TemperateSwamp AridShrubland Desert ExtremeDesert TropicalRainforest TropicalSwamp Grasslands Glowforest LavaField Alpine Scarlands</v>
      </c>
      <c r="BX61" s="25" t="str">
        <f>IF(_xlfn.XLOOKUP(B61,'Base stats'!B:B,'Base stats'!AG:AG)=1,"true","false")</f>
        <v>false</v>
      </c>
      <c r="BY61" s="25" t="str">
        <f>IF(_xlfn.XLOOKUP(B61,'Base stats'!B:B,'Base stats'!N:N)=1,"No",MAX(0.01,MIN(MROUND(IF(OR(_xlfn.XLOOKUP(B61,'Base stats'!B:B,'Base stats'!AJ:AJ)=1,AND(BI61="True",CB61="False")),POWER(10,3.47*LOG10(_xlfn.XLOOKUP(B61,'Base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stats'!AH:AH)=1),0.5,1)/100,0.025),1)))</f>
        <v>No</v>
      </c>
      <c r="BZ61" s="25">
        <f>IF(P61="Standard","No",MAX(0.01,IF(_xlfn.XLOOKUP(B61,'Base stats'!B:B,'Base stats'!N:N)=0,MROUND(BY61*P61,0.05),MIN(1,MAX(0.025,MROUND(IF(OR(CB61="true",AND(BI61="false",BN61="false")),POWER(10,4.15*LOG10(_xlfn.XLOOKUP(B61,'Base stats'!B:B,'Base stats'!C:C)*1000)^-0.73),POWER(10,3.47*LOG10(_xlfn.XLOOKUP(B61,'Base stats'!B:B,'Base stats'!C:C)*1000)^-0.96))*IF(_xlfn.XLOOKUP(B61,'Base stats'!B:B,'Base stats'!AH:AH)=1,0.5,1)/100,0.025))))))</f>
        <v>0.32500000000000001</v>
      </c>
      <c r="CA61" s="25" t="str">
        <f>IF(_xlfn.XLOOKUP(_xlfn.XLOOKUP(B61,'Base stats'!B:B,'Base stats'!E:E),Groups!A:A,Groups!AJ:AJ)="Mammal","True","False")</f>
        <v>True</v>
      </c>
      <c r="CB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C61" s="25" t="str">
        <f t="shared" si="6"/>
        <v>False</v>
      </c>
      <c r="CD61" s="25" t="str">
        <f>IF(_xlfn.XLOOKUP(_xlfn.XLOOKUP(B61,'Base stats'!B:B,'Base stats'!E:E),Groups!A:A,Groups!AX:AX),"True","False")</f>
        <v>False</v>
      </c>
      <c r="CE61" s="25" t="str">
        <f>IF(_xlfn.XLOOKUP(_xlfn.XLOOKUP(B61,'Base stats'!B:B,'Base stats'!E:E),Groups!A:A,Groups!AY:AY),"True","False")</f>
        <v>False</v>
      </c>
      <c r="CF61" s="25" t="str">
        <f>IF(_xlfn.XLOOKUP(_xlfn.XLOOKUP(B61,'Base stats'!B:B,'Base stats'!E:E),Groups!A:A,Groups!AW:AW),"True","False")</f>
        <v>False</v>
      </c>
      <c r="CG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H61" s="25" t="str">
        <f>IF(_xlfn.XLOOKUP(_xlfn.XLOOKUP(B61,'Base stats'!B:B,'Base stats'!E:E),Groups!A:A,Groups!BB:BB),"True","False")</f>
        <v>True</v>
      </c>
      <c r="CI61" s="25" t="str">
        <f>IF(_xlfn.XLOOKUP(_xlfn.XLOOKUP(B61,'Base stats'!B:B,'Base stats'!E:E),Groups!A:A,Groups!BA:BA),"True","False")</f>
        <v>False</v>
      </c>
    </row>
    <row r="62" spans="1:87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stats'!AI:AI)=0,BH62="None",_xlfn.XLOOKUP(_xlfn.XLOOKUP(B62,'Base stats'!B:B,'Base stats'!E:E),Groups!A:A,Groups!B:B)=0), (18 + BQ62 * 2.7) * 0.5,
    IF(AND(_xlfn.XLOOKUP(B62,'Base stats'!B:B,'Base stats'!AI:AI)=0,OR(AO62&lt;0.55,AND(BH62="Intermediate",_xlfn.XLOOKUP(_xlfn.XLOOKUP(B62,'Base stats'!B:B,'Base stats'!E:E),Groups!A:A,Groups!B:B)&lt;2))), (18 + BQ62 * 2.7),
      IF(OR(BH62="Advanced",_xlfn.XLOOKUP(B62,'Base stats'!B:B,'Base stats'!AI:AI)=1,_xlfn.XLOOKUP(_xlfn.XLOOKUP(B62,'Base stats'!B:B,'Base stats'!E:E),Groups!A:A,Groups!B:B)=2), (18 + BQ62 * 2.7) + 250, (18 + BQ62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IF(_xlfn.XLOOKUP(B62,'Base stats'!B:B,'Base stats'!AI:AI)=1,0.99,MIN(MROUND((1-0.6282*EXP(-0.459*AO62))*_xlfn.XLOOKUP(_xlfn.XLOOKUP(B62,'Base stats'!B:B,'Base stats'!E:E),Groups!A:A,Groups!C:C)*IF(_xlfn.XLOOKUP(B62,'Base stats'!B:B,'Base stats'!O:O)=1,0.5,IF(_xlfn.XLOOKUP(B62,'Base stats'!B:B,'Base stats'!O:O)=2,0,1)),0.05),0.985))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W62)),ISNUMBER(SEARCH("IceSheet",BW62))),-50,IF(OR(ISNUMBER(SEARCH("GlacialPlain",BW62)),ISNUMBER(SEARCH("Tundra",BW62))),-40,IF(OR(ISNUMBER(SEARCH("Alpine",BW62)),ISNUMBER(SEARCH("BorealForest",BW62)),ISNUMBER(SEARCH("ColdBog",BW62))),-30,IF(OR(ISNUMBER(SEARCH("TemperateForest",BW62)),ISNUMBER(SEARCH("TemperateSwamp",BW62))),-20,IF(_xlfn.XLOOKUP(_xlfn.XLOOKUP(B62,'Base stats'!B:B,'Base stats'!E:E),Groups!A:A,Groups!F:F)=1,-15,IF(OR(ISNUMBER(SEARCH("Desert",BW62)),ISNUMBER(SEARCH("ExtremeDesert",BW62))),-10,IF(OR(ISNUMBER(SEARCH("Grasslands",BW62)),ISNUMBER(SEARCH("TropicalRainforest",BW62)),ISNUMBER(SEARCH("TropicalSwamp",BW62))),10,0)))))))-IF(CB62="False",MIN(IFERROR(MAX(MROUND(LOG10(_xlfn.XLOOKUP(B62,'Base stats'!B:B,'Base stats'!C:C)^(2/3))*10,5),5),5),30))-_xlfn.XLOOKUP(B62,'Base stats'!B:B,'Base stats'!P:P)+IF(CB62="True",5,0)</f>
        <v>-35</v>
      </c>
      <c r="M62" s="2">
        <f>IF(OR(_xlfn.XLOOKUP(_xlfn.XLOOKUP(B62,'Base stats'!B:B,'Base stats'!E:E),Groups!A:A,Groups!G:G)=2,ISNUMBER(SEARCH("Desert",BW62)),ISNUMBER(SEARCH("ExtremeDesert",BW62)),ISNUMBER(SEARCH("LavaField",BW62))),50,IF(ISNUMBER(SEARCH("Grasslands",BW62)),45,IF(OR(_xlfn.XLOOKUP(_xlfn.XLOOKUP(B62,'Base stats'!B:B,'Base stats'!E:E),Groups!A:A,Groups!G:G)=1,ISNUMBER(SEARCH("TropicalRainforest",BW62)),ISNUMBER(SEARCH("TropicalSwamp",BW62))),40,IF(OR(ISNUMBER(SEARCH("TemperateForest",BW62)),ISNUMBER(SEARCH("TemperateSwamp",BW62))),35,IF(OR(ISNUMBER(SEARCH("Alpine",BW62)),ISNUMBER(SEARCH("BorealForest",BW62)),ISNUMBER(SEARCH("ColdBog",BW62))),30,IF(ISNUMBER(OR(ISNUMBER(SEARCH("GlacialPlain",BW62)),SEARCH("Tundra",BW62))),25,IF(OR(ISNUMBER(SEARCH("SeaIce",BW62)),ISNUMBER(SEARCH("IceSheet",BW62)),ISNUMBER(SEARCH("TropicalSwamp",BW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stats'!AO:AO))*(AO62^0.5)+(_xlfn.XLOOKUP(B62,'Base stats'!B:B,'Base stats'!AO:AO)/1000)^(2/3)+_xlfn.XLOOKUP(B62,'Base stats'!B:B,'Base stats'!AX:AX)/2)+0.5,0.5)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stats'!AP:AP))*(AO62^0.5)+(_xlfn.XLOOKUP(B62,'Base stats'!B:B,'Base stats'!AP:AP)/1000)^(2/3)+_xlfn.XLOOKUP(B62,'Base stats'!B:B,'Base stats'!AX:AX))+_xlfn.XLOOKUP(B62,'Base stats'!B:B,'Base stats'!AV:AV)+0.5,0.5))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stats'!AR:AR))*(AO62^0.5)+(_xlfn.XLOOKUP(B62,'Base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stats'!AQ:AQ)="No","No",MROUND((LOG10(_xlfn.XLOOKUP(B62,'Base stats'!B:B,'Base stats'!AQ:AQ))*(AO62^0.75)+(_xlfn.XLOOKUP(B62,'Base stats'!B:B,'Base stats'!AQ:AQ)/1000)^(2/3)+_xlfn.XLOOKUP(B62,'Base stats'!B:B,'Base stats'!AU:AU)+_xlfn.XLOOKUP(B62,'Base stats'!B:B,'Base stats'!AX:AX))+0.5,0.5))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stats'!AP:AP))*(AO62^0.75)+(_xlfn.XLOOKUP(B62,'Base stats'!B:B,'Base stats'!AP:AP)/1000)^(2/3)+_xlfn.XLOOKUP(B62,'Base stats'!B:B,'Base stats'!AV:AV)+_xlfn.XLOOKUP(B62,'Base stats'!B:B,'Base stats'!AX:AX))+0.5,0.5))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MAX(0.01,MROUND(IF(CB62="True",0.196*(AO62*100*1000)^0.889,IF(_xlfn.XLOOKUP(_xlfn.XLOOKUP(B62,'Base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stats'!AE:AE)</f>
        <v>Leather_Bear</v>
      </c>
      <c r="BB62" s="23" t="str">
        <f>_xlfn.XLOOKUP(_xlfn.XLOOKUP(B62,'Base stats'!B:B,'Base stats'!E:E),Groups!A:A,Groups!AL:AL)</f>
        <v>QuadrupedAnimalWithPaws</v>
      </c>
      <c r="BC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D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E62" s="2" t="str">
        <f>IF(J62&gt;0.3,"No",_xlfn.XLOOKUP(_xlfn.XLOOKUP(Animals!B62,'Base stats'!B:B,'Base stats'!E:E),Groups!A:A,Groups!AP:AP))</f>
        <v>No</v>
      </c>
      <c r="BF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+ 24*(1-IF(BE62="No",0,BE62)) + 16/3, 12),"No")</f>
        <v>No</v>
      </c>
      <c r="BG62" s="2">
        <f>IF(AND(_xlfn.XLOOKUP(_xlfn.XLOOKUP(B62,'Base stats'!B:B,'Base stats'!E:E),Groups!A:A,Groups!AQ:AQ)=1,AO62&lt;=0.35),8,12)</f>
        <v>12</v>
      </c>
      <c r="BH62" s="2" t="str">
        <f>IF(_xlfn.XLOOKUP(_xlfn.XLOOKUP(B62,'Base stats'!B:B,'Base stats'!E:E),Groups!A:A,Groups!D:D)=0,_xlfn.XLOOKUP(_xlfn.XLOOKUP(B62,'Base stats'!B:B,'Base stats'!E:E),Groups!A:A,Groups!AR:AR),"None")</f>
        <v>Advanced</v>
      </c>
      <c r="BI62" s="2" t="str">
        <f>IF(AND(_xlfn.XLOOKUP(_xlfn.XLOOKUP(B62,'Base stats'!B:B,'Base stats'!E:E),Groups!A:A,Groups!AS:AS)=1,OR('Base stats'!Y62="Carnivore",'Base stats'!Y62="Omnivore")),"true","false")</f>
        <v>false</v>
      </c>
      <c r="BJ62" s="2" t="str">
        <f>IF(BI62="true",MROUND(IF(AND(AO62&gt;0.5,OR(_xlfn.XLOOKUP(_xlfn.XLOOKUP(B62,'Base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K62" s="2">
        <f t="shared" si="3"/>
        <v>1</v>
      </c>
      <c r="BL62" s="25" t="str">
        <f>IF(_xlfn.XLOOKUP(B62,'Base stats'!B:B,'Base stats'!AK:AK)="Standard","No",MROUND((_xlfn.XLOOKUP(B62,'Base stats'!B:B,'Base stats'!AK:AK)/3.6)/I62,0.1))</f>
        <v>No</v>
      </c>
      <c r="BM62" s="25" t="str">
        <f t="shared" si="4"/>
        <v>false</v>
      </c>
      <c r="BN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O62" s="25" t="str" cm="1">
        <f t="array" ref="BO62">IF(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 = "",
  "No",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
)</f>
        <v>No</v>
      </c>
      <c r="BP62" s="25" t="str">
        <f>IF(
   AND(
      'Base stats'!AK62="Standard",_xlfn.XLOOKUP(_xlfn.XLOOKUP(B62,'Base stats'!B:B,'Base stats'!E:E),Groups!A:A,Groups!AU:AU)=0,
      OR(
      BN62="True"
      )
   ),
   10,
   IF(
       OR(BL62&lt;&gt;"No",_xlfn.XLOOKUP(_xlfn.XLOOKUP(B62,'Base stats'!B:B,'Base stats'!E:E),Groups!A:A,Groups!AU:AU)=1),
      1,
      "No"
   )
)</f>
        <v>No</v>
      </c>
      <c r="BQ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stats'!AS:AS) * 1.8) * 2) * 2.5 + 10 + I62 * 2,5)+IF(_xlfn.XLOOKUP(B62,'Base stats'!B:B,'Base stats'!AH:AH)=1,50,0)</f>
        <v>140</v>
      </c>
      <c r="BR62" s="8">
        <f t="shared" si="5"/>
        <v>0.8</v>
      </c>
      <c r="BS62" s="8" t="str">
        <f>_xlfn.XLOOKUP(B62,'Base stats'!B:B,'Base stats'!AD:AD)</f>
        <v>No</v>
      </c>
      <c r="BT62" s="2" t="str">
        <f>IF(AND(J62&lt;=0.95,OR(_xlfn.XLOOKUP(B62,'Base stats'!B:B,'Base stats'!AH:AH)=1,_xlfn.XLOOKUP(B62,'Base stats'!B:B,'Base stats'!Y:Y)="Carnivore",_xlfn.XLOOKUP(B62,'Base stats'!B:B,'Base stats'!Y:Y)="Omnivore",BD62&gt;0.1)),"true","false")</f>
        <v>false</v>
      </c>
      <c r="BU62" s="2" t="str">
        <f>IF(_xlfn.XLOOKUP(B62,'Base stats'!B:B,'Base stats'!AF:AF)=1,"true","false")</f>
        <v>false</v>
      </c>
      <c r="BV62" s="25" t="str">
        <f>IF(E62="BaseInsect","AnimalInsect",
IF(J62&gt;0.95,"AnimalExotic",
_xlfn.TEXTJOIN(", ",TRUE,
IF(OR(_xlfn.XLOOKUP(B62,'Base stats'!B:B,'Base stats'!AJ:AJ)=1,AND(_xlfn.XLOOKUP(B62,'Base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stats'!AH:AH)=1,AND(BH62&lt;&gt;"None",BQ62&gt;=60),ISNUMBER(SEARCH("Attack target",BO62))),"AnimalFighter","")
)))</f>
        <v>AnimalUncommon, AnimalFighter</v>
      </c>
      <c r="BW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),_xlfn.XLOOKUP(B62,B:B,BW:BW))</f>
        <v>TemperateForest TemperateSwamp</v>
      </c>
      <c r="BX62" s="25" t="str">
        <f>IF(_xlfn.XLOOKUP(B62,'Base stats'!B:B,'Base stats'!AG:AG)=1,"true","false")</f>
        <v>false</v>
      </c>
      <c r="BY62" s="25">
        <f>IF(_xlfn.XLOOKUP(B62,'Base stats'!B:B,'Base stats'!N:N)=1,"No",MAX(0.01,MIN(MROUND(IF(OR(_xlfn.XLOOKUP(B62,'Base stats'!B:B,'Base stats'!AJ:AJ)=1,AND(BI62="True",CB62="False")),POWER(10,3.47*LOG10(_xlfn.XLOOKUP(B62,'Base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stats'!AH:AH)=1),0.5,1)/100,0.025),1)))</f>
        <v>2.5000000000000001E-2</v>
      </c>
      <c r="BZ62" s="25" t="str">
        <f>IF(P62="Standard","No",MAX(0.01,IF(_xlfn.XLOOKUP(B62,'Base stats'!B:B,'Base stats'!N:N)=0,MROUND(BY62*P62,0.05),MIN(1,MAX(0.025,MROUND(IF(OR(CB62="true",AND(BI62="false",BN62="false")),POWER(10,4.15*LOG10(_xlfn.XLOOKUP(B62,'Base stats'!B:B,'Base stats'!C:C)*1000)^-0.73),POWER(10,3.47*LOG10(_xlfn.XLOOKUP(B62,'Base stats'!B:B,'Base stats'!C:C)*1000)^-0.96))*IF(_xlfn.XLOOKUP(B62,'Base stats'!B:B,'Base stats'!AH:AH)=1,0.5,1)/100,0.025))))))</f>
        <v>No</v>
      </c>
      <c r="CA62" s="25" t="str">
        <f>IF(_xlfn.XLOOKUP(_xlfn.XLOOKUP(B62,'Base stats'!B:B,'Base stats'!E:E),Groups!A:A,Groups!AJ:AJ)="Mammal","True","False")</f>
        <v>True</v>
      </c>
      <c r="CB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C62" s="25" t="str">
        <f t="shared" si="6"/>
        <v>False</v>
      </c>
      <c r="CD62" s="25" t="str">
        <f>IF(_xlfn.XLOOKUP(_xlfn.XLOOKUP(B62,'Base stats'!B:B,'Base stats'!E:E),Groups!A:A,Groups!AX:AX),"True","False")</f>
        <v>False</v>
      </c>
      <c r="CE62" s="25" t="str">
        <f>IF(_xlfn.XLOOKUP(_xlfn.XLOOKUP(B62,'Base stats'!B:B,'Base stats'!E:E),Groups!A:A,Groups!AY:AY),"True","False")</f>
        <v>False</v>
      </c>
      <c r="CF62" s="25" t="str">
        <f>IF(_xlfn.XLOOKUP(_xlfn.XLOOKUP(B62,'Base stats'!B:B,'Base stats'!E:E),Groups!A:A,Groups!AW:AW),"True","False")</f>
        <v>False</v>
      </c>
      <c r="CG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H62" s="25" t="str">
        <f>IF(_xlfn.XLOOKUP(_xlfn.XLOOKUP(B62,'Base stats'!B:B,'Base stats'!E:E),Groups!A:A,Groups!BB:BB),"True","False")</f>
        <v>True</v>
      </c>
      <c r="CI62" s="25" t="str">
        <f>IF(_xlfn.XLOOKUP(_xlfn.XLOOKUP(B62,'Base stats'!B:B,'Base stats'!E:E),Groups!A:A,Groups!BA:BA),"True","False")</f>
        <v>False</v>
      </c>
    </row>
    <row r="63" spans="1:87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stats'!AI:AI)=0,BH63="None",_xlfn.XLOOKUP(_xlfn.XLOOKUP(B63,'Base stats'!B:B,'Base stats'!E:E),Groups!A:A,Groups!B:B)=0), (18 + BQ63 * 2.7) * 0.5,
    IF(AND(_xlfn.XLOOKUP(B63,'Base stats'!B:B,'Base stats'!AI:AI)=0,OR(AO63&lt;0.55,AND(BH63="Intermediate",_xlfn.XLOOKUP(_xlfn.XLOOKUP(B63,'Base stats'!B:B,'Base stats'!E:E),Groups!A:A,Groups!B:B)&lt;2))), (18 + BQ63 * 2.7),
      IF(OR(BH63="Advanced",_xlfn.XLOOKUP(B63,'Base stats'!B:B,'Base stats'!AI:AI)=1,_xlfn.XLOOKUP(_xlfn.XLOOKUP(B63,'Base stats'!B:B,'Base stats'!E:E),Groups!A:A,Groups!B:B)=2), (18 + BQ63 * 2.7) + 250, (18 + BQ63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IF(_xlfn.XLOOKUP(B63,'Base stats'!B:B,'Base stats'!AI:AI)=1,0.99,MIN(MROUND((1-0.6282*EXP(-0.459*AO63))*_xlfn.XLOOKUP(_xlfn.XLOOKUP(B63,'Base stats'!B:B,'Base stats'!E:E),Groups!A:A,Groups!C:C)*IF(_xlfn.XLOOKUP(B63,'Base stats'!B:B,'Base stats'!O:O)=1,0.5,IF(_xlfn.XLOOKUP(B63,'Base stats'!B:B,'Base stats'!O:O)=2,0,1)),0.05),0.985))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W63)),ISNUMBER(SEARCH("IceSheet",BW63))),-50,IF(OR(ISNUMBER(SEARCH("GlacialPlain",BW63)),ISNUMBER(SEARCH("Tundra",BW63))),-40,IF(OR(ISNUMBER(SEARCH("Alpine",BW63)),ISNUMBER(SEARCH("BorealForest",BW63)),ISNUMBER(SEARCH("ColdBog",BW63))),-30,IF(OR(ISNUMBER(SEARCH("TemperateForest",BW63)),ISNUMBER(SEARCH("TemperateSwamp",BW63))),-20,IF(_xlfn.XLOOKUP(_xlfn.XLOOKUP(B63,'Base stats'!B:B,'Base stats'!E:E),Groups!A:A,Groups!F:F)=1,-15,IF(OR(ISNUMBER(SEARCH("Desert",BW63)),ISNUMBER(SEARCH("ExtremeDesert",BW63))),-10,IF(OR(ISNUMBER(SEARCH("Grasslands",BW63)),ISNUMBER(SEARCH("TropicalRainforest",BW63)),ISNUMBER(SEARCH("TropicalSwamp",BW63))),10,0)))))))-IF(CB63="False",MIN(IFERROR(MAX(MROUND(LOG10(_xlfn.XLOOKUP(B63,'Base stats'!B:B,'Base stats'!C:C)^(2/3))*10,5),5),5),30))-_xlfn.XLOOKUP(B63,'Base stats'!B:B,'Base stats'!P:P)+IF(CB63="True",5,0)</f>
        <v>-45</v>
      </c>
      <c r="M63" s="2">
        <f>IF(OR(_xlfn.XLOOKUP(_xlfn.XLOOKUP(B63,'Base stats'!B:B,'Base stats'!E:E),Groups!A:A,Groups!G:G)=2,ISNUMBER(SEARCH("Desert",BW63)),ISNUMBER(SEARCH("ExtremeDesert",BW63)),ISNUMBER(SEARCH("LavaField",BW63))),50,IF(ISNUMBER(SEARCH("Grasslands",BW63)),45,IF(OR(_xlfn.XLOOKUP(_xlfn.XLOOKUP(B63,'Base stats'!B:B,'Base stats'!E:E),Groups!A:A,Groups!G:G)=1,ISNUMBER(SEARCH("TropicalRainforest",BW63)),ISNUMBER(SEARCH("TropicalSwamp",BW63))),40,IF(OR(ISNUMBER(SEARCH("TemperateForest",BW63)),ISNUMBER(SEARCH("TemperateSwamp",BW63))),35,IF(OR(ISNUMBER(SEARCH("Alpine",BW63)),ISNUMBER(SEARCH("BorealForest",BW63)),ISNUMBER(SEARCH("ColdBog",BW63))),30,IF(ISNUMBER(OR(ISNUMBER(SEARCH("GlacialPlain",BW63)),SEARCH("Tundra",BW63))),25,IF(OR(ISNUMBER(SEARCH("SeaIce",BW63)),ISNUMBER(SEARCH("IceSheet",BW63)),ISNUMBER(SEARCH("TropicalSwamp",BW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stats'!AO:AO))*(AO63^0.5)+(_xlfn.XLOOKUP(B63,'Base stats'!B:B,'Base stats'!AO:AO)/1000)^(2/3)+_xlfn.XLOOKUP(B63,'Base stats'!B:B,'Base stats'!AX:AX)/2)+0.5,0.5)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stats'!AP:AP))*(AO63^0.5)+(_xlfn.XLOOKUP(B63,'Base stats'!B:B,'Base stats'!AP:AP)/1000)^(2/3)+_xlfn.XLOOKUP(B63,'Base stats'!B:B,'Base stats'!AX:AX))+_xlfn.XLOOKUP(B63,'Base stats'!B:B,'Base stats'!AV:AV)+0.5,0.5))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stats'!AR:AR))*(AO63^0.5)+(_xlfn.XLOOKUP(B63,'Base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stats'!AQ:AQ)="No","No",MROUND((LOG10(_xlfn.XLOOKUP(B63,'Base stats'!B:B,'Base stats'!AQ:AQ))*(AO63^0.75)+(_xlfn.XLOOKUP(B63,'Base stats'!B:B,'Base stats'!AQ:AQ)/1000)^(2/3)+_xlfn.XLOOKUP(B63,'Base stats'!B:B,'Base stats'!AU:AU)+_xlfn.XLOOKUP(B63,'Base stats'!B:B,'Base stats'!AX:AX))+0.5,0.5))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stats'!AP:AP))*(AO63^0.75)+(_xlfn.XLOOKUP(B63,'Base stats'!B:B,'Base stats'!AP:AP)/1000)^(2/3)+_xlfn.XLOOKUP(B63,'Base stats'!B:B,'Base stats'!AV:AV)+_xlfn.XLOOKUP(B63,'Base stats'!B:B,'Base stats'!AX:AX))+0.5,0.5))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MAX(0.01,MROUND(IF(CB63="True",0.196*(AO63*100*1000)^0.889,IF(_xlfn.XLOOKUP(_xlfn.XLOOKUP(B63,'Base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stats'!AE:AE)</f>
        <v>No</v>
      </c>
      <c r="BB63" s="23" t="str">
        <f>_xlfn.XLOOKUP(_xlfn.XLOOKUP(B63,'Base stats'!B:B,'Base stats'!E:E),Groups!A:A,Groups!AL:AL)</f>
        <v>Bird</v>
      </c>
      <c r="BC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D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E63" s="2" t="str">
        <f>IF(J63&gt;0.3,"No",_xlfn.XLOOKUP(_xlfn.XLOOKUP(Animals!B63,'Base stats'!B:B,'Base stats'!E:E),Groups!A:A,Groups!AP:AP))</f>
        <v>No</v>
      </c>
      <c r="BF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+ 24*(1-IF(BE63="No",0,BE63)) + 16/3, 12),"No")</f>
        <v>No</v>
      </c>
      <c r="BG63" s="2">
        <f>IF(AND(_xlfn.XLOOKUP(_xlfn.XLOOKUP(B63,'Base stats'!B:B,'Base stats'!E:E),Groups!A:A,Groups!AQ:AQ)=1,AO63&lt;=0.35),8,12)</f>
        <v>12</v>
      </c>
      <c r="BH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I63" s="2" t="str">
        <f>IF(AND(_xlfn.XLOOKUP(_xlfn.XLOOKUP(B63,'Base stats'!B:B,'Base stats'!E:E),Groups!A:A,Groups!AS:AS)=1,OR('Base stats'!Y63="Carnivore",'Base stats'!Y63="Omnivore")),"true","false")</f>
        <v>false</v>
      </c>
      <c r="BJ63" s="2" t="str">
        <f>IF(BI63="true",MROUND(IF(AND(AO63&gt;0.5,OR(_xlfn.XLOOKUP(_xlfn.XLOOKUP(B63,'Base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K63" s="2">
        <f t="shared" si="3"/>
        <v>1</v>
      </c>
      <c r="BL63" s="25" t="str">
        <f>IF(_xlfn.XLOOKUP(B63,'Base stats'!B:B,'Base stats'!AK:AK)="Standard","No",MROUND((_xlfn.XLOOKUP(B63,'Base stats'!B:B,'Base stats'!AK:AK)/3.6)/I63,0.1))</f>
        <v>No</v>
      </c>
      <c r="BM63" s="25" t="str">
        <f t="shared" si="4"/>
        <v>false</v>
      </c>
      <c r="BN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O63" s="25" t="str" cm="1">
        <f t="array" ref="BO63">IF(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 = "",
  "No",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
)</f>
        <v>No</v>
      </c>
      <c r="BP63" s="25" t="str">
        <f>IF(
   AND(
      'Base stats'!AK63="Standard",_xlfn.XLOOKUP(_xlfn.XLOOKUP(B63,'Base stats'!B:B,'Base stats'!E:E),Groups!A:A,Groups!AU:AU)=0,
      OR(
      BN63="True"
      )
   ),
   10,
   IF(
       OR(BL63&lt;&gt;"No",_xlfn.XLOOKUP(_xlfn.XLOOKUP(B63,'Base stats'!B:B,'Base stats'!E:E),Groups!A:A,Groups!AU:AU)=1),
      1,
      "No"
   )
)</f>
        <v>No</v>
      </c>
      <c r="BQ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stats'!AS:AS) * 1.8) * 2) * 2.5 + 10 + I63 * 2,5)+IF(_xlfn.XLOOKUP(B63,'Base stats'!B:B,'Base stats'!AH:AH)=1,50,0)</f>
        <v>20</v>
      </c>
      <c r="BR63" s="8">
        <f t="shared" si="5"/>
        <v>0.2</v>
      </c>
      <c r="BS63" s="8" t="str">
        <f>_xlfn.XLOOKUP(B63,'Base stats'!B:B,'Base stats'!AD:AD)</f>
        <v>3~8</v>
      </c>
      <c r="BT63" s="2" t="str">
        <f>IF(AND(J63&lt;=0.95,OR(_xlfn.XLOOKUP(B63,'Base stats'!B:B,'Base stats'!AH:AH)=1,_xlfn.XLOOKUP(B63,'Base stats'!B:B,'Base stats'!Y:Y)="Carnivore",_xlfn.XLOOKUP(B63,'Base stats'!B:B,'Base stats'!Y:Y)="Omnivore",BD63&gt;0.1)),"true","false")</f>
        <v>false</v>
      </c>
      <c r="BU63" s="2" t="str">
        <f>IF(_xlfn.XLOOKUP(B63,'Base stats'!B:B,'Base stats'!AF:AF)=1,"true","false")</f>
        <v>false</v>
      </c>
      <c r="BV63" s="25" t="str">
        <f>IF(E63="BaseInsect","AnimalInsect",
IF(J63&gt;0.95,"AnimalExotic",
_xlfn.TEXTJOIN(", ",TRUE,
IF(OR(_xlfn.XLOOKUP(B63,'Base stats'!B:B,'Base stats'!AJ:AJ)=1,AND(_xlfn.XLOOKUP(B63,'Base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stats'!AH:AH)=1,AND(BH63&lt;&gt;"None",BQ63&gt;=60),ISNUMBER(SEARCH("Attack target",BO63))),"AnimalFighter","")
)))</f>
        <v>AnimalCommon</v>
      </c>
      <c r="BW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),_xlfn.XLOOKUP(B63,B:B,BW:BW))</f>
        <v>Tundra BorealForest ColdBog TemperateForest TemperateSwamp AridShrubland Desert TropicalRainforest TropicalSwamp Grasslands LavaField GlacialPlain Scarlands</v>
      </c>
      <c r="BX63" s="25" t="str">
        <f>IF(_xlfn.XLOOKUP(B63,'Base stats'!B:B,'Base stats'!AG:AG)=1,"true","false")</f>
        <v>false</v>
      </c>
      <c r="BY63" s="25">
        <f>IF(_xlfn.XLOOKUP(B63,'Base stats'!B:B,'Base stats'!N:N)=1,"No",MAX(0.01,MIN(MROUND(IF(OR(_xlfn.XLOOKUP(B63,'Base stats'!B:B,'Base stats'!AJ:AJ)=1,AND(BI63="True",CB63="False")),POWER(10,3.47*LOG10(_xlfn.XLOOKUP(B63,'Base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stats'!AH:AH)=1),0.5,1)/100,0.025),1)))</f>
        <v>1</v>
      </c>
      <c r="BZ63" s="25">
        <f>IF(P63="Standard","No",MAX(0.01,IF(_xlfn.XLOOKUP(B63,'Base stats'!B:B,'Base stats'!N:N)=0,MROUND(BY63*P63,0.05),MIN(1,MAX(0.025,MROUND(IF(OR(CB63="true",AND(BI63="false",BN63="false")),POWER(10,4.15*LOG10(_xlfn.XLOOKUP(B63,'Base stats'!B:B,'Base stats'!C:C)*1000)^-0.73),POWER(10,3.47*LOG10(_xlfn.XLOOKUP(B63,'Base stats'!B:B,'Base stats'!C:C)*1000)^-0.96))*IF(_xlfn.XLOOKUP(B63,'Base stats'!B:B,'Base stats'!AH:AH)=1,0.5,1)/100,0.025))))))</f>
        <v>0.8</v>
      </c>
      <c r="CA63" s="25" t="str">
        <f>IF(_xlfn.XLOOKUP(_xlfn.XLOOKUP(B63,'Base stats'!B:B,'Base stats'!E:E),Groups!A:A,Groups!AJ:AJ)="Mammal","True","False")</f>
        <v>False</v>
      </c>
      <c r="CB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C63" s="25" t="str">
        <f t="shared" si="6"/>
        <v>False</v>
      </c>
      <c r="CD63" s="25" t="str">
        <f>IF(_xlfn.XLOOKUP(_xlfn.XLOOKUP(B63,'Base stats'!B:B,'Base stats'!E:E),Groups!A:A,Groups!AX:AX),"True","False")</f>
        <v>False</v>
      </c>
      <c r="CE63" s="25" t="str">
        <f>IF(_xlfn.XLOOKUP(_xlfn.XLOOKUP(B63,'Base stats'!B:B,'Base stats'!E:E),Groups!A:A,Groups!AY:AY),"True","False")</f>
        <v>False</v>
      </c>
      <c r="CF63" s="25" t="str">
        <f>IF(_xlfn.XLOOKUP(_xlfn.XLOOKUP(B63,'Base stats'!B:B,'Base stats'!E:E),Groups!A:A,Groups!AW:AW),"True","False")</f>
        <v>False</v>
      </c>
      <c r="CG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H63" s="25" t="str">
        <f>IF(_xlfn.XLOOKUP(_xlfn.XLOOKUP(B63,'Base stats'!B:B,'Base stats'!E:E),Groups!A:A,Groups!BB:BB),"True","False")</f>
        <v>True</v>
      </c>
      <c r="CI63" s="25" t="str">
        <f>IF(_xlfn.XLOOKUP(_xlfn.XLOOKUP(B63,'Base stats'!B:B,'Base stats'!E:E),Groups!A:A,Groups!BA:BA),"True","False")</f>
        <v>False</v>
      </c>
    </row>
    <row r="64" spans="1:87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stats'!AI:AI)=0,BH64="None",_xlfn.XLOOKUP(_xlfn.XLOOKUP(B64,'Base stats'!B:B,'Base stats'!E:E),Groups!A:A,Groups!B:B)=0), (18 + BQ64 * 2.7) * 0.5,
    IF(AND(_xlfn.XLOOKUP(B64,'Base stats'!B:B,'Base stats'!AI:AI)=0,OR(AO64&lt;0.55,AND(BH64="Intermediate",_xlfn.XLOOKUP(_xlfn.XLOOKUP(B64,'Base stats'!B:B,'Base stats'!E:E),Groups!A:A,Groups!B:B)&lt;2))), (18 + BQ64 * 2.7),
      IF(OR(BH64="Advanced",_xlfn.XLOOKUP(B64,'Base stats'!B:B,'Base stats'!AI:AI)=1,_xlfn.XLOOKUP(_xlfn.XLOOKUP(B64,'Base stats'!B:B,'Base stats'!E:E),Groups!A:A,Groups!B:B)=2), (18 + BQ64 * 2.7) + 250, (18 + BQ64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IF(_xlfn.XLOOKUP(B64,'Base stats'!B:B,'Base stats'!AI:AI)=1,0.99,MIN(MROUND((1-0.6282*EXP(-0.459*AO64))*_xlfn.XLOOKUP(_xlfn.XLOOKUP(B64,'Base stats'!B:B,'Base stats'!E:E),Groups!A:A,Groups!C:C)*IF(_xlfn.XLOOKUP(B64,'Base stats'!B:B,'Base stats'!O:O)=1,0.5,IF(_xlfn.XLOOKUP(B64,'Base stats'!B:B,'Base stats'!O:O)=2,0,1)),0.05),0.985))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W64)),ISNUMBER(SEARCH("IceSheet",BW64))),-50,IF(OR(ISNUMBER(SEARCH("GlacialPlain",BW64)),ISNUMBER(SEARCH("Tundra",BW64))),-40,IF(OR(ISNUMBER(SEARCH("Alpine",BW64)),ISNUMBER(SEARCH("BorealForest",BW64)),ISNUMBER(SEARCH("ColdBog",BW64))),-30,IF(OR(ISNUMBER(SEARCH("TemperateForest",BW64)),ISNUMBER(SEARCH("TemperateSwamp",BW64))),-20,IF(_xlfn.XLOOKUP(_xlfn.XLOOKUP(B64,'Base stats'!B:B,'Base stats'!E:E),Groups!A:A,Groups!F:F)=1,-15,IF(OR(ISNUMBER(SEARCH("Desert",BW64)),ISNUMBER(SEARCH("ExtremeDesert",BW64))),-10,IF(OR(ISNUMBER(SEARCH("Grasslands",BW64)),ISNUMBER(SEARCH("TropicalRainforest",BW64)),ISNUMBER(SEARCH("TropicalSwamp",BW64))),10,0)))))))-IF(CB64="False",MIN(IFERROR(MAX(MROUND(LOG10(_xlfn.XLOOKUP(B64,'Base stats'!B:B,'Base stats'!C:C)^(2/3))*10,5),5),5),30))-_xlfn.XLOOKUP(B64,'Base stats'!B:B,'Base stats'!P:P)+IF(CB64="True",5,0)</f>
        <v>-45</v>
      </c>
      <c r="M64" s="2">
        <f>IF(OR(_xlfn.XLOOKUP(_xlfn.XLOOKUP(B64,'Base stats'!B:B,'Base stats'!E:E),Groups!A:A,Groups!G:G)=2,ISNUMBER(SEARCH("Desert",BW64)),ISNUMBER(SEARCH("ExtremeDesert",BW64)),ISNUMBER(SEARCH("LavaField",BW64))),50,IF(ISNUMBER(SEARCH("Grasslands",BW64)),45,IF(OR(_xlfn.XLOOKUP(_xlfn.XLOOKUP(B64,'Base stats'!B:B,'Base stats'!E:E),Groups!A:A,Groups!G:G)=1,ISNUMBER(SEARCH("TropicalRainforest",BW64)),ISNUMBER(SEARCH("TropicalSwamp",BW64))),40,IF(OR(ISNUMBER(SEARCH("TemperateForest",BW64)),ISNUMBER(SEARCH("TemperateSwamp",BW64))),35,IF(OR(ISNUMBER(SEARCH("Alpine",BW64)),ISNUMBER(SEARCH("BorealForest",BW64)),ISNUMBER(SEARCH("ColdBog",BW64))),30,IF(ISNUMBER(OR(ISNUMBER(SEARCH("GlacialPlain",BW64)),SEARCH("Tundra",BW64))),25,IF(OR(ISNUMBER(SEARCH("SeaIce",BW64)),ISNUMBER(SEARCH("IceSheet",BW64)),ISNUMBER(SEARCH("TropicalSwamp",BW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stats'!AO:AO))*(AO64^0.5)+(_xlfn.XLOOKUP(B64,'Base stats'!B:B,'Base stats'!AO:AO)/1000)^(2/3)+_xlfn.XLOOKUP(B64,'Base stats'!B:B,'Base stats'!AX:AX)/2)+0.5,0.5)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stats'!AP:AP))*(AO64^0.5)+(_xlfn.XLOOKUP(B64,'Base stats'!B:B,'Base stats'!AP:AP)/1000)^(2/3)+_xlfn.XLOOKUP(B64,'Base stats'!B:B,'Base stats'!AX:AX))+_xlfn.XLOOKUP(B64,'Base stats'!B:B,'Base stats'!AV:AV)+0.5,0.5))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stats'!AR:AR))*(AO64^0.5)+(_xlfn.XLOOKUP(B64,'Base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stats'!AQ:AQ)="No","No",MROUND((LOG10(_xlfn.XLOOKUP(B64,'Base stats'!B:B,'Base stats'!AQ:AQ))*(AO64^0.75)+(_xlfn.XLOOKUP(B64,'Base stats'!B:B,'Base stats'!AQ:AQ)/1000)^(2/3)+_xlfn.XLOOKUP(B64,'Base stats'!B:B,'Base stats'!AU:AU)+_xlfn.XLOOKUP(B64,'Base stats'!B:B,'Base stats'!AX:AX))+0.5,0.5))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stats'!AP:AP))*(AO64^0.75)+(_xlfn.XLOOKUP(B64,'Base stats'!B:B,'Base stats'!AP:AP)/1000)^(2/3)+_xlfn.XLOOKUP(B64,'Base stats'!B:B,'Base stats'!AV:AV)+_xlfn.XLOOKUP(B64,'Base stats'!B:B,'Base stats'!AX:AX))+0.5,0.5))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MAX(0.01,MROUND(IF(CB64="True",0.196*(AO64*100*1000)^0.889,IF(_xlfn.XLOOKUP(_xlfn.XLOOKUP(B64,'Base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stats'!AE:AE)</f>
        <v>No</v>
      </c>
      <c r="BB64" s="23" t="str">
        <f>_xlfn.XLOOKUP(_xlfn.XLOOKUP(B64,'Base stats'!B:B,'Base stats'!E:E),Groups!A:A,Groups!AL:AL)</f>
        <v>Bird</v>
      </c>
      <c r="BC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D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E64" s="2" t="str">
        <f>IF(J64&gt;0.3,"No",_xlfn.XLOOKUP(_xlfn.XLOOKUP(Animals!B64,'Base stats'!B:B,'Base stats'!E:E),Groups!A:A,Groups!AP:AP))</f>
        <v>No</v>
      </c>
      <c r="BF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+ 24*(1-IF(BE64="No",0,BE64)) + 16/3, 12),"No")</f>
        <v>No</v>
      </c>
      <c r="BG64" s="2">
        <f>IF(AND(_xlfn.XLOOKUP(_xlfn.XLOOKUP(B64,'Base stats'!B:B,'Base stats'!E:E),Groups!A:A,Groups!AQ:AQ)=1,AO64&lt;=0.35),8,12)</f>
        <v>12</v>
      </c>
      <c r="BH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I64" s="2" t="str">
        <f>IF(AND(_xlfn.XLOOKUP(_xlfn.XLOOKUP(B64,'Base stats'!B:B,'Base stats'!E:E),Groups!A:A,Groups!AS:AS)=1,OR('Base stats'!Y64="Carnivore",'Base stats'!Y64="Omnivore")),"true","false")</f>
        <v>false</v>
      </c>
      <c r="BJ64" s="2" t="str">
        <f>IF(BI64="true",MROUND(IF(AND(AO64&gt;0.5,OR(_xlfn.XLOOKUP(_xlfn.XLOOKUP(B64,'Base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K64" s="2">
        <f t="shared" si="3"/>
        <v>1</v>
      </c>
      <c r="BL64" s="25" t="str">
        <f>IF(_xlfn.XLOOKUP(B64,'Base stats'!B:B,'Base stats'!AK:AK)="Standard","No",MROUND((_xlfn.XLOOKUP(B64,'Base stats'!B:B,'Base stats'!AK:AK)/3.6)/I64,0.1))</f>
        <v>No</v>
      </c>
      <c r="BM64" s="25" t="str">
        <f t="shared" si="4"/>
        <v>false</v>
      </c>
      <c r="BN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O64" s="25" t="str" cm="1">
        <f t="array" ref="BO64">IF(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 = "",
  "No",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
)</f>
        <v>No</v>
      </c>
      <c r="BP64" s="25" t="str">
        <f>IF(
   AND(
      'Base stats'!AK64="Standard",_xlfn.XLOOKUP(_xlfn.XLOOKUP(B64,'Base stats'!B:B,'Base stats'!E:E),Groups!A:A,Groups!AU:AU)=0,
      OR(
      BN64="True"
      )
   ),
   10,
   IF(
       OR(BL64&lt;&gt;"No",_xlfn.XLOOKUP(_xlfn.XLOOKUP(B64,'Base stats'!B:B,'Base stats'!E:E),Groups!A:A,Groups!AU:AU)=1),
      1,
      "No"
   )
)</f>
        <v>No</v>
      </c>
      <c r="BQ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stats'!AS:AS) * 1.8) * 2) * 2.5 + 10 + I64 * 2,5)+IF(_xlfn.XLOOKUP(B64,'Base stats'!B:B,'Base stats'!AH:AH)=1,50,0)</f>
        <v>20</v>
      </c>
      <c r="BR64" s="8">
        <f t="shared" si="5"/>
        <v>0.2</v>
      </c>
      <c r="BS64" s="8" t="str">
        <f>_xlfn.XLOOKUP(B64,'Base stats'!B:B,'Base stats'!AD:AD)</f>
        <v>No</v>
      </c>
      <c r="BT64" s="2" t="str">
        <f>IF(AND(J64&lt;=0.95,OR(_xlfn.XLOOKUP(B64,'Base stats'!B:B,'Base stats'!AH:AH)=1,_xlfn.XLOOKUP(B64,'Base stats'!B:B,'Base stats'!Y:Y)="Carnivore",_xlfn.XLOOKUP(B64,'Base stats'!B:B,'Base stats'!Y:Y)="Omnivore",BD64&gt;0.1)),"true","false")</f>
        <v>false</v>
      </c>
      <c r="BU64" s="2" t="str">
        <f>IF(_xlfn.XLOOKUP(B64,'Base stats'!B:B,'Base stats'!AF:AF)=1,"true","false")</f>
        <v>false</v>
      </c>
      <c r="BV64" s="25" t="str">
        <f>IF(E64="BaseInsect","AnimalInsect",
IF(J64&gt;0.95,"AnimalExotic",
_xlfn.TEXTJOIN(", ",TRUE,
IF(OR(_xlfn.XLOOKUP(B64,'Base stats'!B:B,'Base stats'!AJ:AJ)=1,AND(_xlfn.XLOOKUP(B64,'Base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stats'!AH:AH)=1,AND(BH64&lt;&gt;"None",BQ64&gt;=60),ISNUMBER(SEARCH("Attack target",BO64))),"AnimalFighter","")
)))</f>
        <v>AnimalCommon</v>
      </c>
      <c r="BW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),_xlfn.XLOOKUP(B64,B:B,BW:BW))</f>
        <v>BorealForest ColdBog TemperateForest TemperateSwamp GlacialPlain</v>
      </c>
      <c r="BX64" s="25" t="str">
        <f>IF(_xlfn.XLOOKUP(B64,'Base stats'!B:B,'Base stats'!AG:AG)=1,"true","false")</f>
        <v>false</v>
      </c>
      <c r="BY64" s="25">
        <f>IF(_xlfn.XLOOKUP(B64,'Base stats'!B:B,'Base stats'!N:N)=1,"No",MAX(0.01,MIN(MROUND(IF(OR(_xlfn.XLOOKUP(B64,'Base stats'!B:B,'Base stats'!AJ:AJ)=1,AND(BI64="True",CB64="False")),POWER(10,3.47*LOG10(_xlfn.XLOOKUP(B64,'Base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stats'!AH:AH)=1),0.5,1)/100,0.025),1)))</f>
        <v>1</v>
      </c>
      <c r="BZ64" s="25" t="str">
        <f>IF(P64="Standard","No",MAX(0.01,IF(_xlfn.XLOOKUP(B64,'Base stats'!B:B,'Base stats'!N:N)=0,MROUND(BY64*P64,0.05),MIN(1,MAX(0.025,MROUND(IF(OR(CB64="true",AND(BI64="false",BN64="false")),POWER(10,4.15*LOG10(_xlfn.XLOOKUP(B64,'Base stats'!B:B,'Base stats'!C:C)*1000)^-0.73),POWER(10,3.47*LOG10(_xlfn.XLOOKUP(B64,'Base stats'!B:B,'Base stats'!C:C)*1000)^-0.96))*IF(_xlfn.XLOOKUP(B64,'Base stats'!B:B,'Base stats'!AH:AH)=1,0.5,1)/100,0.025))))))</f>
        <v>No</v>
      </c>
      <c r="CA64" s="25" t="str">
        <f>IF(_xlfn.XLOOKUP(_xlfn.XLOOKUP(B64,'Base stats'!B:B,'Base stats'!E:E),Groups!A:A,Groups!AJ:AJ)="Mammal","True","False")</f>
        <v>False</v>
      </c>
      <c r="CB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C64" s="25" t="str">
        <f t="shared" si="6"/>
        <v>False</v>
      </c>
      <c r="CD64" s="25" t="str">
        <f>IF(_xlfn.XLOOKUP(_xlfn.XLOOKUP(B64,'Base stats'!B:B,'Base stats'!E:E),Groups!A:A,Groups!AX:AX),"True","False")</f>
        <v>False</v>
      </c>
      <c r="CE64" s="25" t="str">
        <f>IF(_xlfn.XLOOKUP(_xlfn.XLOOKUP(B64,'Base stats'!B:B,'Base stats'!E:E),Groups!A:A,Groups!AY:AY),"True","False")</f>
        <v>False</v>
      </c>
      <c r="CF64" s="25" t="str">
        <f>IF(_xlfn.XLOOKUP(_xlfn.XLOOKUP(B64,'Base stats'!B:B,'Base stats'!E:E),Groups!A:A,Groups!AW:AW),"True","False")</f>
        <v>False</v>
      </c>
      <c r="CG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H64" s="25" t="str">
        <f>IF(_xlfn.XLOOKUP(_xlfn.XLOOKUP(B64,'Base stats'!B:B,'Base stats'!E:E),Groups!A:A,Groups!BB:BB),"True","False")</f>
        <v>True</v>
      </c>
      <c r="CI64" s="25" t="str">
        <f>IF(_xlfn.XLOOKUP(_xlfn.XLOOKUP(B64,'Base stats'!B:B,'Base stats'!E:E),Groups!A:A,Groups!BA:BA),"True","False")</f>
        <v>False</v>
      </c>
    </row>
    <row r="65" spans="1:87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stats'!AI:AI)=0,BH65="None",_xlfn.XLOOKUP(_xlfn.XLOOKUP(B65,'Base stats'!B:B,'Base stats'!E:E),Groups!A:A,Groups!B:B)=0), (18 + BQ65 * 2.7) * 0.5,
    IF(AND(_xlfn.XLOOKUP(B65,'Base stats'!B:B,'Base stats'!AI:AI)=0,OR(AO65&lt;0.55,AND(BH65="Intermediate",_xlfn.XLOOKUP(_xlfn.XLOOKUP(B65,'Base stats'!B:B,'Base stats'!E:E),Groups!A:A,Groups!B:B)&lt;2))), (18 + BQ65 * 2.7),
      IF(OR(BH65="Advanced",_xlfn.XLOOKUP(B65,'Base stats'!B:B,'Base stats'!AI:AI)=1,_xlfn.XLOOKUP(_xlfn.XLOOKUP(B65,'Base stats'!B:B,'Base stats'!E:E),Groups!A:A,Groups!B:B)=2), (18 + BQ65 * 2.7) + 250, (18 + BQ65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IF(_xlfn.XLOOKUP(B65,'Base stats'!B:B,'Base stats'!AI:AI)=1,0.99,MIN(MROUND((1-0.6282*EXP(-0.459*AO65))*_xlfn.XLOOKUP(_xlfn.XLOOKUP(B65,'Base stats'!B:B,'Base stats'!E:E),Groups!A:A,Groups!C:C)*IF(_xlfn.XLOOKUP(B65,'Base stats'!B:B,'Base stats'!O:O)=1,0.5,IF(_xlfn.XLOOKUP(B65,'Base stats'!B:B,'Base stats'!O:O)=2,0,1)),0.05),0.985))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W65)),ISNUMBER(SEARCH("IceSheet",BW65))),-50,IF(OR(ISNUMBER(SEARCH("GlacialPlain",BW65)),ISNUMBER(SEARCH("Tundra",BW65))),-40,IF(OR(ISNUMBER(SEARCH("Alpine",BW65)),ISNUMBER(SEARCH("BorealForest",BW65)),ISNUMBER(SEARCH("ColdBog",BW65))),-30,IF(OR(ISNUMBER(SEARCH("TemperateForest",BW65)),ISNUMBER(SEARCH("TemperateSwamp",BW65))),-20,IF(_xlfn.XLOOKUP(_xlfn.XLOOKUP(B65,'Base stats'!B:B,'Base stats'!E:E),Groups!A:A,Groups!F:F)=1,-15,IF(OR(ISNUMBER(SEARCH("Desert",BW65)),ISNUMBER(SEARCH("ExtremeDesert",BW65))),-10,IF(OR(ISNUMBER(SEARCH("Grasslands",BW65)),ISNUMBER(SEARCH("TropicalRainforest",BW65)),ISNUMBER(SEARCH("TropicalSwamp",BW65))),10,0)))))))-IF(CB65="False",MIN(IFERROR(MAX(MROUND(LOG10(_xlfn.XLOOKUP(B65,'Base stats'!B:B,'Base stats'!C:C)^(2/3))*10,5),5),5),30))-_xlfn.XLOOKUP(B65,'Base stats'!B:B,'Base stats'!P:P)+IF(CB65="True",5,0)</f>
        <v>-45</v>
      </c>
      <c r="M65" s="2">
        <f>IF(OR(_xlfn.XLOOKUP(_xlfn.XLOOKUP(B65,'Base stats'!B:B,'Base stats'!E:E),Groups!A:A,Groups!G:G)=2,ISNUMBER(SEARCH("Desert",BW65)),ISNUMBER(SEARCH("ExtremeDesert",BW65)),ISNUMBER(SEARCH("LavaField",BW65))),50,IF(ISNUMBER(SEARCH("Grasslands",BW65)),45,IF(OR(_xlfn.XLOOKUP(_xlfn.XLOOKUP(B65,'Base stats'!B:B,'Base stats'!E:E),Groups!A:A,Groups!G:G)=1,ISNUMBER(SEARCH("TropicalRainforest",BW65)),ISNUMBER(SEARCH("TropicalSwamp",BW65))),40,IF(OR(ISNUMBER(SEARCH("TemperateForest",BW65)),ISNUMBER(SEARCH("TemperateSwamp",BW65))),35,IF(OR(ISNUMBER(SEARCH("Alpine",BW65)),ISNUMBER(SEARCH("BorealForest",BW65)),ISNUMBER(SEARCH("ColdBog",BW65))),30,IF(ISNUMBER(OR(ISNUMBER(SEARCH("GlacialPlain",BW65)),SEARCH("Tundra",BW65))),25,IF(OR(ISNUMBER(SEARCH("SeaIce",BW65)),ISNUMBER(SEARCH("IceSheet",BW65)),ISNUMBER(SEARCH("TropicalSwamp",BW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stats'!AO:AO))*(AO65^0.5)+(_xlfn.XLOOKUP(B65,'Base stats'!B:B,'Base stats'!AO:AO)/1000)^(2/3)+_xlfn.XLOOKUP(B65,'Base stats'!B:B,'Base stats'!AX:AX)/2)+0.5,0.5)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stats'!AP:AP))*(AO65^0.5)+(_xlfn.XLOOKUP(B65,'Base stats'!B:B,'Base stats'!AP:AP)/1000)^(2/3)+_xlfn.XLOOKUP(B65,'Base stats'!B:B,'Base stats'!AX:AX))+_xlfn.XLOOKUP(B65,'Base stats'!B:B,'Base stats'!AV:AV)+0.5,0.5))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stats'!AR:AR))*(AO65^0.5)+(_xlfn.XLOOKUP(B65,'Base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stats'!AQ:AQ)="No","No",MROUND((LOG10(_xlfn.XLOOKUP(B65,'Base stats'!B:B,'Base stats'!AQ:AQ))*(AO65^0.75)+(_xlfn.XLOOKUP(B65,'Base stats'!B:B,'Base stats'!AQ:AQ)/1000)^(2/3)+_xlfn.XLOOKUP(B65,'Base stats'!B:B,'Base stats'!AU:AU)+_xlfn.XLOOKUP(B65,'Base stats'!B:B,'Base stats'!AX:AX))+0.5,0.5))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stats'!AP:AP))*(AO65^0.75)+(_xlfn.XLOOKUP(B65,'Base stats'!B:B,'Base stats'!AP:AP)/1000)^(2/3)+_xlfn.XLOOKUP(B65,'Base stats'!B:B,'Base stats'!AV:AV)+_xlfn.XLOOKUP(B65,'Base stats'!B:B,'Base stats'!AX:AX))+0.5,0.5))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MAX(0.01,MROUND(IF(CB65="True",0.196*(AO65*100*1000)^0.889,IF(_xlfn.XLOOKUP(_xlfn.XLOOKUP(B65,'Base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stats'!AE:AE)</f>
        <v>No</v>
      </c>
      <c r="BB65" s="23" t="str">
        <f>_xlfn.XLOOKUP(_xlfn.XLOOKUP(B65,'Base stats'!B:B,'Base stats'!E:E),Groups!A:A,Groups!AL:AL)</f>
        <v>Bird</v>
      </c>
      <c r="BC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D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E65" s="2" t="str">
        <f>IF(J65&gt;0.3,"No",_xlfn.XLOOKUP(_xlfn.XLOOKUP(Animals!B65,'Base stats'!B:B,'Base stats'!E:E),Groups!A:A,Groups!AP:AP))</f>
        <v>No</v>
      </c>
      <c r="BF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+ 24*(1-IF(BE65="No",0,BE65)) + 16/3, 12),"No")</f>
        <v>No</v>
      </c>
      <c r="BG65" s="2">
        <f>IF(AND(_xlfn.XLOOKUP(_xlfn.XLOOKUP(B65,'Base stats'!B:B,'Base stats'!E:E),Groups!A:A,Groups!AQ:AQ)=1,AO65&lt;=0.35),8,12)</f>
        <v>12</v>
      </c>
      <c r="BH65" s="2" t="str">
        <f>IF(_xlfn.XLOOKUP(_xlfn.XLOOKUP(B65,'Base stats'!B:B,'Base stats'!E:E),Groups!A:A,Groups!D:D)=0,_xlfn.XLOOKUP(_xlfn.XLOOKUP(B65,'Base stats'!B:B,'Base stats'!E:E),Groups!A:A,Groups!AR:AR),"None")</f>
        <v>Advanced</v>
      </c>
      <c r="BI65" s="2" t="str">
        <f>IF(AND(_xlfn.XLOOKUP(_xlfn.XLOOKUP(B65,'Base stats'!B:B,'Base stats'!E:E),Groups!A:A,Groups!AS:AS)=1,OR('Base stats'!Y65="Carnivore",'Base stats'!Y65="Omnivore")),"true","false")</f>
        <v>false</v>
      </c>
      <c r="BJ65" s="2" t="str">
        <f>IF(BI65="true",MROUND(IF(AND(AO65&gt;0.5,OR(_xlfn.XLOOKUP(_xlfn.XLOOKUP(B65,'Base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K65" s="2">
        <f t="shared" si="3"/>
        <v>1</v>
      </c>
      <c r="BL65" s="25" t="str">
        <f>IF(_xlfn.XLOOKUP(B65,'Base stats'!B:B,'Base stats'!AK:AK)="Standard","No",MROUND((_xlfn.XLOOKUP(B65,'Base stats'!B:B,'Base stats'!AK:AK)/3.6)/I65,0.1))</f>
        <v>No</v>
      </c>
      <c r="BM65" s="25" t="str">
        <f t="shared" si="4"/>
        <v>false</v>
      </c>
      <c r="BN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O65" s="25" t="str" cm="1">
        <f t="array" ref="BO65">IF(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 = "",
  "No",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
)</f>
        <v>No</v>
      </c>
      <c r="BP65" s="25" t="str">
        <f>IF(
   AND(
      'Base stats'!AK65="Standard",_xlfn.XLOOKUP(_xlfn.XLOOKUP(B65,'Base stats'!B:B,'Base stats'!E:E),Groups!A:A,Groups!AU:AU)=0,
      OR(
      BN65="True"
      )
   ),
   10,
   IF(
       OR(BL65&lt;&gt;"No",_xlfn.XLOOKUP(_xlfn.XLOOKUP(B65,'Base stats'!B:B,'Base stats'!E:E),Groups!A:A,Groups!AU:AU)=1),
      1,
      "No"
   )
)</f>
        <v>No</v>
      </c>
      <c r="BQ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stats'!AS:AS) * 1.8) * 2) * 2.5 + 10 + I65 * 2,5)+IF(_xlfn.XLOOKUP(B65,'Base stats'!B:B,'Base stats'!AH:AH)=1,50,0)</f>
        <v>25</v>
      </c>
      <c r="BR65" s="8">
        <f t="shared" si="5"/>
        <v>0.2</v>
      </c>
      <c r="BS65" s="8" t="str">
        <f>_xlfn.XLOOKUP(B65,'Base stats'!B:B,'Base stats'!AD:AD)</f>
        <v>3~8</v>
      </c>
      <c r="BT65" s="2" t="str">
        <f>IF(AND(J65&lt;=0.95,OR(_xlfn.XLOOKUP(B65,'Base stats'!B:B,'Base stats'!AH:AH)=1,_xlfn.XLOOKUP(B65,'Base stats'!B:B,'Base stats'!Y:Y)="Carnivore",_xlfn.XLOOKUP(B65,'Base stats'!B:B,'Base stats'!Y:Y)="Omnivore",BD65&gt;0.1)),"true","false")</f>
        <v>true</v>
      </c>
      <c r="BU65" s="2" t="str">
        <f>IF(_xlfn.XLOOKUP(B65,'Base stats'!B:B,'Base stats'!AF:AF)=1,"true","false")</f>
        <v>false</v>
      </c>
      <c r="BV65" s="25" t="str">
        <f>IF(E65="BaseInsect","AnimalInsect",
IF(J65&gt;0.95,"AnimalExotic",
_xlfn.TEXTJOIN(", ",TRUE,
IF(OR(_xlfn.XLOOKUP(B65,'Base stats'!B:B,'Base stats'!AJ:AJ)=1,AND(_xlfn.XLOOKUP(B65,'Base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stats'!AH:AH)=1,AND(BH65&lt;&gt;"None",BQ65&gt;=60),ISNUMBER(SEARCH("Attack target",BO65))),"AnimalFighter","")
)))</f>
        <v>AnimalUncommon</v>
      </c>
      <c r="BW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),_xlfn.XLOOKUP(B65,B:B,BW:BW))</f>
        <v>Tundra BorealForest ColdBog TemperateForest TemperateSwamp AridShrubland Desert TropicalRainforest TropicalSwamp Grasslands Glowforest LavaField GlacialPlain Scarlands</v>
      </c>
      <c r="BX65" s="25" t="str">
        <f>IF(_xlfn.XLOOKUP(B65,'Base stats'!B:B,'Base stats'!AG:AG)=1,"true","false")</f>
        <v>false</v>
      </c>
      <c r="BY65" s="25">
        <f>IF(_xlfn.XLOOKUP(B65,'Base stats'!B:B,'Base stats'!N:N)=1,"No",MAX(0.01,MIN(MROUND(IF(OR(_xlfn.XLOOKUP(B65,'Base stats'!B:B,'Base stats'!AJ:AJ)=1,AND(BI65="True",CB65="False")),POWER(10,3.47*LOG10(_xlfn.XLOOKUP(B65,'Base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stats'!AH:AH)=1),0.5,1)/100,0.025),1)))</f>
        <v>1</v>
      </c>
      <c r="BZ65" s="25">
        <f>IF(P65="Standard","No",MAX(0.01,IF(_xlfn.XLOOKUP(B65,'Base stats'!B:B,'Base stats'!N:N)=0,MROUND(BY65*P65,0.05),MIN(1,MAX(0.025,MROUND(IF(OR(CB65="true",AND(BI65="false",BN65="false")),POWER(10,4.15*LOG10(_xlfn.XLOOKUP(B65,'Base stats'!B:B,'Base stats'!C:C)*1000)^-0.73),POWER(10,3.47*LOG10(_xlfn.XLOOKUP(B65,'Base stats'!B:B,'Base stats'!C:C)*1000)^-0.96))*IF(_xlfn.XLOOKUP(B65,'Base stats'!B:B,'Base stats'!AH:AH)=1,0.5,1)/100,0.025))))))</f>
        <v>0.8</v>
      </c>
      <c r="CA65" s="25" t="str">
        <f>IF(_xlfn.XLOOKUP(_xlfn.XLOOKUP(B65,'Base stats'!B:B,'Base stats'!E:E),Groups!A:A,Groups!AJ:AJ)="Mammal","True","False")</f>
        <v>False</v>
      </c>
      <c r="CB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C65" s="25" t="str">
        <f t="shared" si="6"/>
        <v>False</v>
      </c>
      <c r="CD65" s="25" t="str">
        <f>IF(_xlfn.XLOOKUP(_xlfn.XLOOKUP(B65,'Base stats'!B:B,'Base stats'!E:E),Groups!A:A,Groups!AX:AX),"True","False")</f>
        <v>False</v>
      </c>
      <c r="CE65" s="25" t="str">
        <f>IF(_xlfn.XLOOKUP(_xlfn.XLOOKUP(B65,'Base stats'!B:B,'Base stats'!E:E),Groups!A:A,Groups!AY:AY),"True","False")</f>
        <v>False</v>
      </c>
      <c r="CF65" s="25" t="str">
        <f>IF(_xlfn.XLOOKUP(_xlfn.XLOOKUP(B65,'Base stats'!B:B,'Base stats'!E:E),Groups!A:A,Groups!AW:AW),"True","False")</f>
        <v>False</v>
      </c>
      <c r="CG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H65" s="25" t="str">
        <f>IF(_xlfn.XLOOKUP(_xlfn.XLOOKUP(B65,'Base stats'!B:B,'Base stats'!E:E),Groups!A:A,Groups!BB:BB),"True","False")</f>
        <v>True</v>
      </c>
      <c r="CI65" s="25" t="str">
        <f>IF(_xlfn.XLOOKUP(_xlfn.XLOOKUP(B65,'Base stats'!B:B,'Base stats'!E:E),Groups!A:A,Groups!BA:BA),"True","False")</f>
        <v>False</v>
      </c>
    </row>
    <row r="66" spans="1:87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stats'!AI:AI)=0,BH66="None",_xlfn.XLOOKUP(_xlfn.XLOOKUP(B66,'Base stats'!B:B,'Base stats'!E:E),Groups!A:A,Groups!B:B)=0), (18 + BQ66 * 2.7) * 0.5,
    IF(AND(_xlfn.XLOOKUP(B66,'Base stats'!B:B,'Base stats'!AI:AI)=0,OR(AO66&lt;0.55,AND(BH66="Intermediate",_xlfn.XLOOKUP(_xlfn.XLOOKUP(B66,'Base stats'!B:B,'Base stats'!E:E),Groups!A:A,Groups!B:B)&lt;2))), (18 + BQ66 * 2.7),
      IF(OR(BH66="Advanced",_xlfn.XLOOKUP(B66,'Base stats'!B:B,'Base stats'!AI:AI)=1,_xlfn.XLOOKUP(_xlfn.XLOOKUP(B66,'Base stats'!B:B,'Base stats'!E:E),Groups!A:A,Groups!B:B)=2), (18 + BQ66 * 2.7) + 250, (18 + BQ66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IF(_xlfn.XLOOKUP(B66,'Base stats'!B:B,'Base stats'!AI:AI)=1,0.99,MIN(MROUND((1-0.6282*EXP(-0.459*AO66))*_xlfn.XLOOKUP(_xlfn.XLOOKUP(B66,'Base stats'!B:B,'Base stats'!E:E),Groups!A:A,Groups!C:C)*IF(_xlfn.XLOOKUP(B66,'Base stats'!B:B,'Base stats'!O:O)=1,0.5,IF(_xlfn.XLOOKUP(B66,'Base stats'!B:B,'Base stats'!O:O)=2,0,1)),0.05),0.985))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W66)),ISNUMBER(SEARCH("IceSheet",BW66))),-50,IF(OR(ISNUMBER(SEARCH("GlacialPlain",BW66)),ISNUMBER(SEARCH("Tundra",BW66))),-40,IF(OR(ISNUMBER(SEARCH("Alpine",BW66)),ISNUMBER(SEARCH("BorealForest",BW66)),ISNUMBER(SEARCH("ColdBog",BW66))),-30,IF(OR(ISNUMBER(SEARCH("TemperateForest",BW66)),ISNUMBER(SEARCH("TemperateSwamp",BW66))),-20,IF(_xlfn.XLOOKUP(_xlfn.XLOOKUP(B66,'Base stats'!B:B,'Base stats'!E:E),Groups!A:A,Groups!F:F)=1,-15,IF(OR(ISNUMBER(SEARCH("Desert",BW66)),ISNUMBER(SEARCH("ExtremeDesert",BW66))),-10,IF(OR(ISNUMBER(SEARCH("Grasslands",BW66)),ISNUMBER(SEARCH("TropicalRainforest",BW66)),ISNUMBER(SEARCH("TropicalSwamp",BW66))),10,0)))))))-IF(CB66="False",MIN(IFERROR(MAX(MROUND(LOG10(_xlfn.XLOOKUP(B66,'Base stats'!B:B,'Base stats'!C:C)^(2/3))*10,5),5),5),30))-_xlfn.XLOOKUP(B66,'Base stats'!B:B,'Base stats'!P:P)+IF(CB66="True",5,0)</f>
        <v>5</v>
      </c>
      <c r="M66" s="2">
        <f>IF(OR(_xlfn.XLOOKUP(_xlfn.XLOOKUP(B66,'Base stats'!B:B,'Base stats'!E:E),Groups!A:A,Groups!G:G)=2,ISNUMBER(SEARCH("Desert",BW66)),ISNUMBER(SEARCH("ExtremeDesert",BW66)),ISNUMBER(SEARCH("LavaField",BW66))),50,IF(ISNUMBER(SEARCH("Grasslands",BW66)),45,IF(OR(_xlfn.XLOOKUP(_xlfn.XLOOKUP(B66,'Base stats'!B:B,'Base stats'!E:E),Groups!A:A,Groups!G:G)=1,ISNUMBER(SEARCH("TropicalRainforest",BW66)),ISNUMBER(SEARCH("TropicalSwamp",BW66))),40,IF(OR(ISNUMBER(SEARCH("TemperateForest",BW66)),ISNUMBER(SEARCH("TemperateSwamp",BW66))),35,IF(OR(ISNUMBER(SEARCH("Alpine",BW66)),ISNUMBER(SEARCH("BorealForest",BW66)),ISNUMBER(SEARCH("ColdBog",BW66))),30,IF(ISNUMBER(OR(ISNUMBER(SEARCH("GlacialPlain",BW66)),SEARCH("Tundra",BW66))),25,IF(OR(ISNUMBER(SEARCH("SeaIce",BW66)),ISNUMBER(SEARCH("IceSheet",BW66)),ISNUMBER(SEARCH("TropicalSwamp",BW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stats'!AO:AO))*(AO66^0.5)+(_xlfn.XLOOKUP(B66,'Base stats'!B:B,'Base stats'!AO:AO)/1000)^(2/3)+_xlfn.XLOOKUP(B66,'Base stats'!B:B,'Base stats'!AX:AX)/2)+0.5,0.5)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stats'!AP:AP))*(AO66^0.5)+(_xlfn.XLOOKUP(B66,'Base stats'!B:B,'Base stats'!AP:AP)/1000)^(2/3)+_xlfn.XLOOKUP(B66,'Base stats'!B:B,'Base stats'!AX:AX))+_xlfn.XLOOKUP(B66,'Base stats'!B:B,'Base stats'!AV:AV)+0.5,0.5))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stats'!AR:AR))*(AO66^0.5)+(_xlfn.XLOOKUP(B66,'Base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stats'!AQ:AQ)="No","No",MROUND((LOG10(_xlfn.XLOOKUP(B66,'Base stats'!B:B,'Base stats'!AQ:AQ))*(AO66^0.75)+(_xlfn.XLOOKUP(B66,'Base stats'!B:B,'Base stats'!AQ:AQ)/1000)^(2/3)+_xlfn.XLOOKUP(B66,'Base stats'!B:B,'Base stats'!AU:AU)+_xlfn.XLOOKUP(B66,'Base stats'!B:B,'Base stats'!AX:AX))+0.5,0.5))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stats'!AP:AP))*(AO66^0.75)+(_xlfn.XLOOKUP(B66,'Base stats'!B:B,'Base stats'!AP:AP)/1000)^(2/3)+_xlfn.XLOOKUP(B66,'Base stats'!B:B,'Base stats'!AV:AV)+_xlfn.XLOOKUP(B66,'Base stats'!B:B,'Base stats'!AX:AX))+0.5,0.5))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MAX(0.01,MROUND(IF(CB66="True",0.196*(AO66*100*1000)^0.889,IF(_xlfn.XLOOKUP(_xlfn.XLOOKUP(B66,'Base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stats'!AE:AE)</f>
        <v>No</v>
      </c>
      <c r="BB66" s="23" t="str">
        <f>_xlfn.XLOOKUP(_xlfn.XLOOKUP(B66,'Base stats'!B:B,'Base stats'!E:E),Groups!A:A,Groups!AL:AL)</f>
        <v>Bird</v>
      </c>
      <c r="BC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D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E66" s="2" t="str">
        <f>IF(J66&gt;0.3,"No",_xlfn.XLOOKUP(_xlfn.XLOOKUP(Animals!B66,'Base stats'!B:B,'Base stats'!E:E),Groups!A:A,Groups!AP:AP))</f>
        <v>No</v>
      </c>
      <c r="BF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+ 24*(1-IF(BE66="No",0,BE66)) + 16/3, 12),"No")</f>
        <v>No</v>
      </c>
      <c r="BG66" s="2">
        <f>IF(AND(_xlfn.XLOOKUP(_xlfn.XLOOKUP(B66,'Base stats'!B:B,'Base stats'!E:E),Groups!A:A,Groups!AQ:AQ)=1,AO66&lt;=0.35),8,12)</f>
        <v>12</v>
      </c>
      <c r="BH66" s="2" t="str">
        <f>IF(_xlfn.XLOOKUP(_xlfn.XLOOKUP(B66,'Base stats'!B:B,'Base stats'!E:E),Groups!A:A,Groups!D:D)=0,_xlfn.XLOOKUP(_xlfn.XLOOKUP(B66,'Base stats'!B:B,'Base stats'!E:E),Groups!A:A,Groups!AR:AR),"None")</f>
        <v>Advanced</v>
      </c>
      <c r="BI66" s="2" t="str">
        <f>IF(AND(_xlfn.XLOOKUP(_xlfn.XLOOKUP(B66,'Base stats'!B:B,'Base stats'!E:E),Groups!A:A,Groups!AS:AS)=1,OR('Base stats'!Y66="Carnivore",'Base stats'!Y66="Omnivore")),"true","false")</f>
        <v>false</v>
      </c>
      <c r="BJ66" s="2" t="str">
        <f>IF(BI66="true",MROUND(IF(AND(AO66&gt;0.5,OR(_xlfn.XLOOKUP(_xlfn.XLOOKUP(B66,'Base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K66" s="2">
        <f t="shared" si="3"/>
        <v>1</v>
      </c>
      <c r="BL66" s="25" t="str">
        <f>IF(_xlfn.XLOOKUP(B66,'Base stats'!B:B,'Base stats'!AK:AK)="Standard","No",MROUND((_xlfn.XLOOKUP(B66,'Base stats'!B:B,'Base stats'!AK:AK)/3.6)/I66,0.1))</f>
        <v>No</v>
      </c>
      <c r="BM66" s="25" t="str">
        <f t="shared" si="4"/>
        <v>false</v>
      </c>
      <c r="BN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O66" s="25" t="str" cm="1">
        <f t="array" ref="BO66">IF(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 = "",
  "No",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
)</f>
        <v>No</v>
      </c>
      <c r="BP66" s="25" t="str">
        <f>IF(
   AND(
      'Base stats'!AK66="Standard",_xlfn.XLOOKUP(_xlfn.XLOOKUP(B66,'Base stats'!B:B,'Base stats'!E:E),Groups!A:A,Groups!AU:AU)=0,
      OR(
      BN66="True"
      )
   ),
   10,
   IF(
       OR(BL66&lt;&gt;"No",_xlfn.XLOOKUP(_xlfn.XLOOKUP(B66,'Base stats'!B:B,'Base stats'!E:E),Groups!A:A,Groups!AU:AU)=1),
      1,
      "No"
   )
)</f>
        <v>No</v>
      </c>
      <c r="BQ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stats'!AS:AS) * 1.8) * 2) * 2.5 + 10 + I66 * 2,5)+IF(_xlfn.XLOOKUP(B66,'Base stats'!B:B,'Base stats'!AH:AH)=1,50,0)</f>
        <v>25</v>
      </c>
      <c r="BR66" s="8">
        <f t="shared" si="5"/>
        <v>0.25</v>
      </c>
      <c r="BS66" s="8" t="str">
        <f>_xlfn.XLOOKUP(B66,'Base stats'!B:B,'Base stats'!AD:AD)</f>
        <v>3~8</v>
      </c>
      <c r="BT66" s="2" t="str">
        <f>IF(AND(J66&lt;=0.95,OR(_xlfn.XLOOKUP(B66,'Base stats'!B:B,'Base stats'!AH:AH)=1,_xlfn.XLOOKUP(B66,'Base stats'!B:B,'Base stats'!Y:Y)="Carnivore",_xlfn.XLOOKUP(B66,'Base stats'!B:B,'Base stats'!Y:Y)="Omnivore",BD66&gt;0.1)),"true","false")</f>
        <v>false</v>
      </c>
      <c r="BU66" s="2" t="str">
        <f>IF(_xlfn.XLOOKUP(B66,'Base stats'!B:B,'Base stats'!AF:AF)=1,"true","false")</f>
        <v>false</v>
      </c>
      <c r="BV66" s="25" t="str">
        <f>IF(E66="BaseInsect","AnimalInsect",
IF(J66&gt;0.95,"AnimalExotic",
_xlfn.TEXTJOIN(", ",TRUE,
IF(OR(_xlfn.XLOOKUP(B66,'Base stats'!B:B,'Base stats'!AJ:AJ)=1,AND(_xlfn.XLOOKUP(B66,'Base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stats'!AH:AH)=1,AND(BH66&lt;&gt;"None",BQ66&gt;=60),ISNUMBER(SEARCH("Attack target",BO66))),"AnimalFighter","")
)))</f>
        <v>AnimalUncommon</v>
      </c>
      <c r="BW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),_xlfn.XLOOKUP(B66,B:B,BW:BW))</f>
        <v>TropicalRainforest TropicalSwamp</v>
      </c>
      <c r="BX66" s="25" t="str">
        <f>IF(_xlfn.XLOOKUP(B66,'Base stats'!B:B,'Base stats'!AG:AG)=1,"true","false")</f>
        <v>false</v>
      </c>
      <c r="BY66" s="25">
        <f>IF(_xlfn.XLOOKUP(B66,'Base stats'!B:B,'Base stats'!N:N)=1,"No",MAX(0.01,MIN(MROUND(IF(OR(_xlfn.XLOOKUP(B66,'Base stats'!B:B,'Base stats'!AJ:AJ)=1,AND(BI66="True",CB66="False")),POWER(10,3.47*LOG10(_xlfn.XLOOKUP(B66,'Base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stats'!AH:AH)=1),0.5,1)/100,0.025),1)))</f>
        <v>0.72500000000000009</v>
      </c>
      <c r="BZ66" s="25" t="str">
        <f>IF(P66="Standard","No",MAX(0.01,IF(_xlfn.XLOOKUP(B66,'Base stats'!B:B,'Base stats'!N:N)=0,MROUND(BY66*P66,0.05),MIN(1,MAX(0.025,MROUND(IF(OR(CB66="true",AND(BI66="false",BN66="false")),POWER(10,4.15*LOG10(_xlfn.XLOOKUP(B66,'Base stats'!B:B,'Base stats'!C:C)*1000)^-0.73),POWER(10,3.47*LOG10(_xlfn.XLOOKUP(B66,'Base stats'!B:B,'Base stats'!C:C)*1000)^-0.96))*IF(_xlfn.XLOOKUP(B66,'Base stats'!B:B,'Base stats'!AH:AH)=1,0.5,1)/100,0.025))))))</f>
        <v>No</v>
      </c>
      <c r="CA66" s="25" t="str">
        <f>IF(_xlfn.XLOOKUP(_xlfn.XLOOKUP(B66,'Base stats'!B:B,'Base stats'!E:E),Groups!A:A,Groups!AJ:AJ)="Mammal","True","False")</f>
        <v>False</v>
      </c>
      <c r="CB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C66" s="25" t="str">
        <f t="shared" si="6"/>
        <v>False</v>
      </c>
      <c r="CD66" s="25" t="str">
        <f>IF(_xlfn.XLOOKUP(_xlfn.XLOOKUP(B66,'Base stats'!B:B,'Base stats'!E:E),Groups!A:A,Groups!AX:AX),"True","False")</f>
        <v>False</v>
      </c>
      <c r="CE66" s="25" t="str">
        <f>IF(_xlfn.XLOOKUP(_xlfn.XLOOKUP(B66,'Base stats'!B:B,'Base stats'!E:E),Groups!A:A,Groups!AY:AY),"True","False")</f>
        <v>False</v>
      </c>
      <c r="CF66" s="25" t="str">
        <f>IF(_xlfn.XLOOKUP(_xlfn.XLOOKUP(B66,'Base stats'!B:B,'Base stats'!E:E),Groups!A:A,Groups!AW:AW),"True","False")</f>
        <v>False</v>
      </c>
      <c r="CG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H66" s="25" t="str">
        <f>IF(_xlfn.XLOOKUP(_xlfn.XLOOKUP(B66,'Base stats'!B:B,'Base stats'!E:E),Groups!A:A,Groups!BB:BB),"True","False")</f>
        <v>True</v>
      </c>
      <c r="CI66" s="25" t="str">
        <f>IF(_xlfn.XLOOKUP(_xlfn.XLOOKUP(B66,'Base stats'!B:B,'Base stats'!E:E),Groups!A:A,Groups!BA:BA),"True","False")</f>
        <v>False</v>
      </c>
    </row>
    <row r="67" spans="1:87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stats'!AI:AI)=0,BH67="None",_xlfn.XLOOKUP(_xlfn.XLOOKUP(B67,'Base stats'!B:B,'Base stats'!E:E),Groups!A:A,Groups!B:B)=0), (18 + BQ67 * 2.7) * 0.5,
    IF(AND(_xlfn.XLOOKUP(B67,'Base stats'!B:B,'Base stats'!AI:AI)=0,OR(AO67&lt;0.55,AND(BH67="Intermediate",_xlfn.XLOOKUP(_xlfn.XLOOKUP(B67,'Base stats'!B:B,'Base stats'!E:E),Groups!A:A,Groups!B:B)&lt;2))), (18 + BQ67 * 2.7),
      IF(OR(BH67="Advanced",_xlfn.XLOOKUP(B67,'Base stats'!B:B,'Base stats'!AI:AI)=1,_xlfn.XLOOKUP(_xlfn.XLOOKUP(B67,'Base stats'!B:B,'Base stats'!E:E),Groups!A:A,Groups!B:B)=2), (18 + BQ67 * 2.7) + 250, (18 + BQ67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IF(_xlfn.XLOOKUP(B67,'Base stats'!B:B,'Base stats'!AI:AI)=1,0.99,MIN(MROUND((1-0.6282*EXP(-0.459*AO67))*_xlfn.XLOOKUP(_xlfn.XLOOKUP(B67,'Base stats'!B:B,'Base stats'!E:E),Groups!A:A,Groups!C:C)*IF(_xlfn.XLOOKUP(B67,'Base stats'!B:B,'Base stats'!O:O)=1,0.5,IF(_xlfn.XLOOKUP(B67,'Base stats'!B:B,'Base stats'!O:O)=2,0,1)),0.05),0.985))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W67)),ISNUMBER(SEARCH("IceSheet",BW67))),-50,IF(OR(ISNUMBER(SEARCH("GlacialPlain",BW67)),ISNUMBER(SEARCH("Tundra",BW67))),-40,IF(OR(ISNUMBER(SEARCH("Alpine",BW67)),ISNUMBER(SEARCH("BorealForest",BW67)),ISNUMBER(SEARCH("ColdBog",BW67))),-30,IF(OR(ISNUMBER(SEARCH("TemperateForest",BW67)),ISNUMBER(SEARCH("TemperateSwamp",BW67))),-20,IF(_xlfn.XLOOKUP(_xlfn.XLOOKUP(B67,'Base stats'!B:B,'Base stats'!E:E),Groups!A:A,Groups!F:F)=1,-15,IF(OR(ISNUMBER(SEARCH("Desert",BW67)),ISNUMBER(SEARCH("ExtremeDesert",BW67))),-10,IF(OR(ISNUMBER(SEARCH("Grasslands",BW67)),ISNUMBER(SEARCH("TropicalRainforest",BW67)),ISNUMBER(SEARCH("TropicalSwamp",BW67))),10,0)))))))-IF(CB67="False",MIN(IFERROR(MAX(MROUND(LOG10(_xlfn.XLOOKUP(B67,'Base stats'!B:B,'Base stats'!C:C)^(2/3))*10,5),5),5),30))-_xlfn.XLOOKUP(B67,'Base stats'!B:B,'Base stats'!P:P)+IF(CB67="True",5,0)</f>
        <v>-25</v>
      </c>
      <c r="M67" s="2">
        <f>IF(OR(_xlfn.XLOOKUP(_xlfn.XLOOKUP(B67,'Base stats'!B:B,'Base stats'!E:E),Groups!A:A,Groups!G:G)=2,ISNUMBER(SEARCH("Desert",BW67)),ISNUMBER(SEARCH("ExtremeDesert",BW67)),ISNUMBER(SEARCH("LavaField",BW67))),50,IF(ISNUMBER(SEARCH("Grasslands",BW67)),45,IF(OR(_xlfn.XLOOKUP(_xlfn.XLOOKUP(B67,'Base stats'!B:B,'Base stats'!E:E),Groups!A:A,Groups!G:G)=1,ISNUMBER(SEARCH("TropicalRainforest",BW67)),ISNUMBER(SEARCH("TropicalSwamp",BW67))),40,IF(OR(ISNUMBER(SEARCH("TemperateForest",BW67)),ISNUMBER(SEARCH("TemperateSwamp",BW67))),35,IF(OR(ISNUMBER(SEARCH("Alpine",BW67)),ISNUMBER(SEARCH("BorealForest",BW67)),ISNUMBER(SEARCH("ColdBog",BW67))),30,IF(ISNUMBER(OR(ISNUMBER(SEARCH("GlacialPlain",BW67)),SEARCH("Tundra",BW67))),25,IF(OR(ISNUMBER(SEARCH("SeaIce",BW67)),ISNUMBER(SEARCH("IceSheet",BW67)),ISNUMBER(SEARCH("TropicalSwamp",BW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stats'!AO:AO))*(AO67^0.5)+(_xlfn.XLOOKUP(B67,'Base stats'!B:B,'Base stats'!AO:AO)/1000)^(2/3)+_xlfn.XLOOKUP(B67,'Base stats'!B:B,'Base stats'!AX:AX)/2)+0.5,0.5)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stats'!AP:AP))*(AO67^0.5)+(_xlfn.XLOOKUP(B67,'Base stats'!B:B,'Base stats'!AP:AP)/1000)^(2/3)+_xlfn.XLOOKUP(B67,'Base stats'!B:B,'Base stats'!AX:AX))+_xlfn.XLOOKUP(B67,'Base stats'!B:B,'Base stats'!AV:AV)+0.5,0.5))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stats'!AR:AR))*(AO67^0.5)+(_xlfn.XLOOKUP(B67,'Base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stats'!AQ:AQ)="No","No",MROUND((LOG10(_xlfn.XLOOKUP(B67,'Base stats'!B:B,'Base stats'!AQ:AQ))*(AO67^0.75)+(_xlfn.XLOOKUP(B67,'Base stats'!B:B,'Base stats'!AQ:AQ)/1000)^(2/3)+_xlfn.XLOOKUP(B67,'Base stats'!B:B,'Base stats'!AU:AU)+_xlfn.XLOOKUP(B67,'Base stats'!B:B,'Base stats'!AX:AX))+0.5,0.5))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stats'!AP:AP))*(AO67^0.75)+(_xlfn.XLOOKUP(B67,'Base stats'!B:B,'Base stats'!AP:AP)/1000)^(2/3)+_xlfn.XLOOKUP(B67,'Base stats'!B:B,'Base stats'!AV:AV)+_xlfn.XLOOKUP(B67,'Base stats'!B:B,'Base stats'!AX:AX))+0.5,0.5))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IF(BI67="false","No",MROUND(AO67*5+15*1,5))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MAX(0.01,MROUND(IF(CB67="True",0.196*(AO67*100*1000)^0.889,IF(_xlfn.XLOOKUP(_xlfn.XLOOKUP(B67,'Base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IF(OR(A67="Queen",A67="Larva",A67="Megachicken"),"No",IFERROR(MROUND(AT67/2,0.05),"Unknown"))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IF(BS67="No","false","true")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stats'!AE:AE)</f>
        <v>No</v>
      </c>
      <c r="BB67" s="23" t="str">
        <f>_xlfn.XLOOKUP(_xlfn.XLOOKUP(B67,'Base stats'!B:B,'Base stats'!E:E),Groups!A:A,Groups!AL:AL)</f>
        <v>Bird</v>
      </c>
      <c r="BC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D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E67" s="2" t="str">
        <f>IF(J67&gt;0.3,"No",_xlfn.XLOOKUP(_xlfn.XLOOKUP(Animals!B67,'Base stats'!B:B,'Base stats'!E:E),Groups!A:A,Groups!AP:AP))</f>
        <v>No</v>
      </c>
      <c r="BF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+ 24*(1-IF(BE67="No",0,BE67)) + 16/3, 12),"No")</f>
        <v>No</v>
      </c>
      <c r="BG67" s="2">
        <f>IF(AND(_xlfn.XLOOKUP(_xlfn.XLOOKUP(B67,'Base stats'!B:B,'Base stats'!E:E),Groups!A:A,Groups!AQ:AQ)=1,AO67&lt;=0.35),8,12)</f>
        <v>8</v>
      </c>
      <c r="BH67" s="2" t="str">
        <f>IF(_xlfn.XLOOKUP(_xlfn.XLOOKUP(B67,'Base stats'!B:B,'Base stats'!E:E),Groups!A:A,Groups!D:D)=0,_xlfn.XLOOKUP(_xlfn.XLOOKUP(B67,'Base stats'!B:B,'Base stats'!E:E),Groups!A:A,Groups!AR:AR),"None")</f>
        <v>None</v>
      </c>
      <c r="BI67" s="2" t="str">
        <f>IF(AND(_xlfn.XLOOKUP(_xlfn.XLOOKUP(B67,'Base stats'!B:B,'Base stats'!E:E),Groups!A:A,Groups!AS:AS)=1,OR('Base stats'!Y67="Carnivore",'Base stats'!Y67="Omnivore")),"true","false")</f>
        <v>false</v>
      </c>
      <c r="BJ67" s="2" t="str">
        <f>IF(BI67="true",MROUND(IF(AND(AO67&gt;0.5,OR(_xlfn.XLOOKUP(_xlfn.XLOOKUP(B67,'Base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K67" s="2">
        <f t="shared" ref="BK67:BK130" si="10">IF(BH67&lt;&gt;"None",1,0)</f>
        <v>0</v>
      </c>
      <c r="BL67" s="25" t="str">
        <f>IF(_xlfn.XLOOKUP(B67,'Base stats'!B:B,'Base stats'!AK:AK)="Standard","No",MROUND((_xlfn.XLOOKUP(B67,'Base stats'!B:B,'Base stats'!AK:AK)/3.6)/I67,0.1))</f>
        <v>No</v>
      </c>
      <c r="BM67" s="25" t="str">
        <f t="shared" ref="BM67:BM130" si="11">IF(OR(BL67&lt;&gt;"No",BP67=1),"true","false")</f>
        <v>false</v>
      </c>
      <c r="BN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O67" s="25" t="str" cm="1">
        <f t="array" ref="BO67">IF(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 = "",
  "No",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
)</f>
        <v>No</v>
      </c>
      <c r="BP67" s="25" t="str">
        <f>IF(
   AND(
      'Base stats'!AK67="Standard",_xlfn.XLOOKUP(_xlfn.XLOOKUP(B67,'Base stats'!B:B,'Base stats'!E:E),Groups!A:A,Groups!AU:AU)=0,
      OR(
      BN67="True"
      )
   ),
   10,
   IF(
       OR(BL67&lt;&gt;"No",_xlfn.XLOOKUP(_xlfn.XLOOKUP(B67,'Base stats'!B:B,'Base stats'!E:E),Groups!A:A,Groups!AU:AU)=1),
      1,
      "No"
   )
)</f>
        <v>No</v>
      </c>
      <c r="BQ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stats'!AS:AS) * 1.8) * 2) * 2.5 + 10 + I67 * 2,5)+IF(_xlfn.XLOOKUP(B67,'Base stats'!B:B,'Base stats'!AH:AH)=1,50,0)</f>
        <v>20</v>
      </c>
      <c r="BR67" s="8">
        <f t="shared" ref="BR67:BR130" si="12">MROUND(AO67 * 0.2 + AQ67 * 0.8,0.05)</f>
        <v>0.2</v>
      </c>
      <c r="BS67" s="8" t="str">
        <f>_xlfn.XLOOKUP(B67,'Base stats'!B:B,'Base stats'!AD:AD)</f>
        <v>3~8</v>
      </c>
      <c r="BT67" s="2" t="str">
        <f>IF(AND(J67&lt;=0.95,OR(_xlfn.XLOOKUP(B67,'Base stats'!B:B,'Base stats'!AH:AH)=1,_xlfn.XLOOKUP(B67,'Base stats'!B:B,'Base stats'!Y:Y)="Carnivore",_xlfn.XLOOKUP(B67,'Base stats'!B:B,'Base stats'!Y:Y)="Omnivore",BD67&gt;0.1)),"true","false")</f>
        <v>false</v>
      </c>
      <c r="BU67" s="2" t="str">
        <f>IF(_xlfn.XLOOKUP(B67,'Base stats'!B:B,'Base stats'!AF:AF)=1,"true","false")</f>
        <v>false</v>
      </c>
      <c r="BV67" s="25" t="str">
        <f>IF(E67="BaseInsect","AnimalInsect",
IF(J67&gt;0.95,"AnimalExotic",
_xlfn.TEXTJOIN(", ",TRUE,
IF(OR(_xlfn.XLOOKUP(B67,'Base stats'!B:B,'Base stats'!AJ:AJ)=1,AND(_xlfn.XLOOKUP(B67,'Base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stats'!AH:AH)=1,AND(BH67&lt;&gt;"None",BQ67&gt;=60),ISNUMBER(SEARCH("Attack target",BO67))),"AnimalFighter","")
)))</f>
        <v>AnimalCommon</v>
      </c>
      <c r="BW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),_xlfn.XLOOKUP(B67,B:B,BW:BW))</f>
        <v>TemperateForest TemperateSwamp AridShrubland Grasslands LavaField</v>
      </c>
      <c r="BX67" s="25" t="str">
        <f>IF(_xlfn.XLOOKUP(B67,'Base stats'!B:B,'Base stats'!AG:AG)=1,"true","false")</f>
        <v>false</v>
      </c>
      <c r="BY67" s="25">
        <f>IF(_xlfn.XLOOKUP(B67,'Base stats'!B:B,'Base stats'!N:N)=1,"No",MAX(0.01,MIN(MROUND(IF(OR(_xlfn.XLOOKUP(B67,'Base stats'!B:B,'Base stats'!AJ:AJ)=1,AND(BI67="True",CB67="False")),POWER(10,3.47*LOG10(_xlfn.XLOOKUP(B67,'Base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stats'!AH:AH)=1),0.5,1)/100,0.025),1)))</f>
        <v>1</v>
      </c>
      <c r="BZ67" s="25" t="str">
        <f>IF(P67="Standard","No",MAX(0.01,IF(_xlfn.XLOOKUP(B67,'Base stats'!B:B,'Base stats'!N:N)=0,MROUND(BY67*P67,0.05),MIN(1,MAX(0.025,MROUND(IF(OR(CB67="true",AND(BI67="false",BN67="false")),POWER(10,4.15*LOG10(_xlfn.XLOOKUP(B67,'Base stats'!B:B,'Base stats'!C:C)*1000)^-0.73),POWER(10,3.47*LOG10(_xlfn.XLOOKUP(B67,'Base stats'!B:B,'Base stats'!C:C)*1000)^-0.96))*IF(_xlfn.XLOOKUP(B67,'Base stats'!B:B,'Base stats'!AH:AH)=1,0.5,1)/100,0.025))))))</f>
        <v>No</v>
      </c>
      <c r="CA67" s="25" t="str">
        <f>IF(_xlfn.XLOOKUP(_xlfn.XLOOKUP(B67,'Base stats'!B:B,'Base stats'!E:E),Groups!A:A,Groups!AJ:AJ)="Mammal","True","False")</f>
        <v>False</v>
      </c>
      <c r="CB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C67" s="25" t="str">
        <f t="shared" ref="CC67:CC130" si="13">IF(J67&gt;0.95,"True","False")</f>
        <v>False</v>
      </c>
      <c r="CD67" s="25" t="str">
        <f>IF(_xlfn.XLOOKUP(_xlfn.XLOOKUP(B67,'Base stats'!B:B,'Base stats'!E:E),Groups!A:A,Groups!AX:AX),"True","False")</f>
        <v>False</v>
      </c>
      <c r="CE67" s="25" t="str">
        <f>IF(_xlfn.XLOOKUP(_xlfn.XLOOKUP(B67,'Base stats'!B:B,'Base stats'!E:E),Groups!A:A,Groups!AY:AY),"True","False")</f>
        <v>False</v>
      </c>
      <c r="CF67" s="25" t="str">
        <f>IF(_xlfn.XLOOKUP(_xlfn.XLOOKUP(B67,'Base stats'!B:B,'Base stats'!E:E),Groups!A:A,Groups!AW:AW),"True","False")</f>
        <v>False</v>
      </c>
      <c r="CG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H67" s="25" t="str">
        <f>IF(_xlfn.XLOOKUP(_xlfn.XLOOKUP(B67,'Base stats'!B:B,'Base stats'!E:E),Groups!A:A,Groups!BB:BB),"True","False")</f>
        <v>True</v>
      </c>
      <c r="CI67" s="25" t="str">
        <f>IF(_xlfn.XLOOKUP(_xlfn.XLOOKUP(B67,'Base stats'!B:B,'Base stats'!E:E),Groups!A:A,Groups!BA:BA),"True","False")</f>
        <v>False</v>
      </c>
    </row>
    <row r="68" spans="1:87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stats'!AI:AI)=0,BH68="None",_xlfn.XLOOKUP(_xlfn.XLOOKUP(B68,'Base stats'!B:B,'Base stats'!E:E),Groups!A:A,Groups!B:B)=0), (18 + BQ68 * 2.7) * 0.5,
    IF(AND(_xlfn.XLOOKUP(B68,'Base stats'!B:B,'Base stats'!AI:AI)=0,OR(AO68&lt;0.55,AND(BH68="Intermediate",_xlfn.XLOOKUP(_xlfn.XLOOKUP(B68,'Base stats'!B:B,'Base stats'!E:E),Groups!A:A,Groups!B:B)&lt;2))), (18 + BQ68 * 2.7),
      IF(OR(BH68="Advanced",_xlfn.XLOOKUP(B68,'Base stats'!B:B,'Base stats'!AI:AI)=1,_xlfn.XLOOKUP(_xlfn.XLOOKUP(B68,'Base stats'!B:B,'Base stats'!E:E),Groups!A:A,Groups!B:B)=2), (18 + BQ68 * 2.7) + 250, (18 + BQ68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IF(_xlfn.XLOOKUP(B68,'Base stats'!B:B,'Base stats'!AI:AI)=1,0.99,MIN(MROUND((1-0.6282*EXP(-0.459*AO68))*_xlfn.XLOOKUP(_xlfn.XLOOKUP(B68,'Base stats'!B:B,'Base stats'!E:E),Groups!A:A,Groups!C:C)*IF(_xlfn.XLOOKUP(B68,'Base stats'!B:B,'Base stats'!O:O)=1,0.5,IF(_xlfn.XLOOKUP(B68,'Base stats'!B:B,'Base stats'!O:O)=2,0,1)),0.05),0.985))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W68)),ISNUMBER(SEARCH("IceSheet",BW68))),-50,IF(OR(ISNUMBER(SEARCH("GlacialPlain",BW68)),ISNUMBER(SEARCH("Tundra",BW68))),-40,IF(OR(ISNUMBER(SEARCH("Alpine",BW68)),ISNUMBER(SEARCH("BorealForest",BW68)),ISNUMBER(SEARCH("ColdBog",BW68))),-30,IF(OR(ISNUMBER(SEARCH("TemperateForest",BW68)),ISNUMBER(SEARCH("TemperateSwamp",BW68))),-20,IF(_xlfn.XLOOKUP(_xlfn.XLOOKUP(B68,'Base stats'!B:B,'Base stats'!E:E),Groups!A:A,Groups!F:F)=1,-15,IF(OR(ISNUMBER(SEARCH("Desert",BW68)),ISNUMBER(SEARCH("ExtremeDesert",BW68))),-10,IF(OR(ISNUMBER(SEARCH("Grasslands",BW68)),ISNUMBER(SEARCH("TropicalRainforest",BW68)),ISNUMBER(SEARCH("TropicalSwamp",BW68))),10,0)))))))-IF(CB68="False",MIN(IFERROR(MAX(MROUND(LOG10(_xlfn.XLOOKUP(B68,'Base stats'!B:B,'Base stats'!C:C)^(2/3))*10,5),5),5),30))-_xlfn.XLOOKUP(B68,'Base stats'!B:B,'Base stats'!P:P)+IF(CB68="True",5,0)</f>
        <v>-35</v>
      </c>
      <c r="M68" s="2">
        <f>IF(OR(_xlfn.XLOOKUP(_xlfn.XLOOKUP(B68,'Base stats'!B:B,'Base stats'!E:E),Groups!A:A,Groups!G:G)=2,ISNUMBER(SEARCH("Desert",BW68)),ISNUMBER(SEARCH("ExtremeDesert",BW68)),ISNUMBER(SEARCH("LavaField",BW68))),50,IF(ISNUMBER(SEARCH("Grasslands",BW68)),45,IF(OR(_xlfn.XLOOKUP(_xlfn.XLOOKUP(B68,'Base stats'!B:B,'Base stats'!E:E),Groups!A:A,Groups!G:G)=1,ISNUMBER(SEARCH("TropicalRainforest",BW68)),ISNUMBER(SEARCH("TropicalSwamp",BW68))),40,IF(OR(ISNUMBER(SEARCH("TemperateForest",BW68)),ISNUMBER(SEARCH("TemperateSwamp",BW68))),35,IF(OR(ISNUMBER(SEARCH("Alpine",BW68)),ISNUMBER(SEARCH("BorealForest",BW68)),ISNUMBER(SEARCH("ColdBog",BW68))),30,IF(ISNUMBER(OR(ISNUMBER(SEARCH("GlacialPlain",BW68)),SEARCH("Tundra",BW68))),25,IF(OR(ISNUMBER(SEARCH("SeaIce",BW68)),ISNUMBER(SEARCH("IceSheet",BW68)),ISNUMBER(SEARCH("TropicalSwamp",BW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stats'!AO:AO))*(AO68^0.5)+(_xlfn.XLOOKUP(B68,'Base stats'!B:B,'Base stats'!AO:AO)/1000)^(2/3)+_xlfn.XLOOKUP(B68,'Base stats'!B:B,'Base stats'!AX:AX)/2)+0.5,0.5)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stats'!AP:AP))*(AO68^0.5)+(_xlfn.XLOOKUP(B68,'Base stats'!B:B,'Base stats'!AP:AP)/1000)^(2/3)+_xlfn.XLOOKUP(B68,'Base stats'!B:B,'Base stats'!AX:AX))+_xlfn.XLOOKUP(B68,'Base stats'!B:B,'Base stats'!AV:AV)+0.5,0.5))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stats'!AR:AR))*(AO68^0.5)+(_xlfn.XLOOKUP(B68,'Base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stats'!AQ:AQ)="No","No",MROUND((LOG10(_xlfn.XLOOKUP(B68,'Base stats'!B:B,'Base stats'!AQ:AQ))*(AO68^0.75)+(_xlfn.XLOOKUP(B68,'Base stats'!B:B,'Base stats'!AQ:AQ)/1000)^(2/3)+_xlfn.XLOOKUP(B68,'Base stats'!B:B,'Base stats'!AU:AU)+_xlfn.XLOOKUP(B68,'Base stats'!B:B,'Base stats'!AX:AX))+0.5,0.5))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stats'!AP:AP))*(AO68^0.75)+(_xlfn.XLOOKUP(B68,'Base stats'!B:B,'Base stats'!AP:AP)/1000)^(2/3)+_xlfn.XLOOKUP(B68,'Base stats'!B:B,'Base stats'!AV:AV)+_xlfn.XLOOKUP(B68,'Base stats'!B:B,'Base stats'!AX:AX))+0.5,0.5))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MAX(0.01,MROUND(IF(CB68="True",0.196*(AO68*100*1000)^0.889,IF(_xlfn.XLOOKUP(_xlfn.XLOOKUP(B68,'Base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stats'!AE:AE)</f>
        <v>No</v>
      </c>
      <c r="BB68" s="23" t="str">
        <f>_xlfn.XLOOKUP(_xlfn.XLOOKUP(B68,'Base stats'!B:B,'Base stats'!E:E),Groups!A:A,Groups!AL:AL)</f>
        <v>Bird</v>
      </c>
      <c r="BC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D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E68" s="2" t="str">
        <f>IF(J68&gt;0.3,"No",_xlfn.XLOOKUP(_xlfn.XLOOKUP(Animals!B68,'Base stats'!B:B,'Base stats'!E:E),Groups!A:A,Groups!AP:AP))</f>
        <v>No</v>
      </c>
      <c r="BF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+ 24*(1-IF(BE68="No",0,BE68)) + 16/3, 12),"No")</f>
        <v>No</v>
      </c>
      <c r="BG68" s="2">
        <f>IF(AND(_xlfn.XLOOKUP(_xlfn.XLOOKUP(B68,'Base stats'!B:B,'Base stats'!E:E),Groups!A:A,Groups!AQ:AQ)=1,AO68&lt;=0.35),8,12)</f>
        <v>12</v>
      </c>
      <c r="BH68" s="2" t="str">
        <f>IF(_xlfn.XLOOKUP(_xlfn.XLOOKUP(B68,'Base stats'!B:B,'Base stats'!E:E),Groups!A:A,Groups!D:D)=0,_xlfn.XLOOKUP(_xlfn.XLOOKUP(B68,'Base stats'!B:B,'Base stats'!E:E),Groups!A:A,Groups!AR:AR),"None")</f>
        <v>None</v>
      </c>
      <c r="BI68" s="2" t="str">
        <f>IF(AND(_xlfn.XLOOKUP(_xlfn.XLOOKUP(B68,'Base stats'!B:B,'Base stats'!E:E),Groups!A:A,Groups!AS:AS)=1,OR('Base stats'!Y68="Carnivore",'Base stats'!Y68="Omnivore")),"true","false")</f>
        <v>false</v>
      </c>
      <c r="BJ68" s="2" t="str">
        <f>IF(BI68="true",MROUND(IF(AND(AO68&gt;0.5,OR(_xlfn.XLOOKUP(_xlfn.XLOOKUP(B68,'Base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K68" s="2">
        <f t="shared" si="10"/>
        <v>0</v>
      </c>
      <c r="BL68" s="25" t="str">
        <f>IF(_xlfn.XLOOKUP(B68,'Base stats'!B:B,'Base stats'!AK:AK)="Standard","No",MROUND((_xlfn.XLOOKUP(B68,'Base stats'!B:B,'Base stats'!AK:AK)/3.6)/I68,0.1))</f>
        <v>No</v>
      </c>
      <c r="BM68" s="25" t="str">
        <f t="shared" si="11"/>
        <v>true</v>
      </c>
      <c r="BN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O68" s="25" t="str" cm="1">
        <f t="array" ref="BO68">IF(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 = "",
  "No",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
)</f>
        <v>No</v>
      </c>
      <c r="BP68" s="25">
        <f>IF(
   AND(
      'Base stats'!AK68="Standard",_xlfn.XLOOKUP(_xlfn.XLOOKUP(B68,'Base stats'!B:B,'Base stats'!E:E),Groups!A:A,Groups!AU:AU)=0,
      OR(
      BN68="True"
      )
   ),
   10,
   IF(
       OR(BL68&lt;&gt;"No",_xlfn.XLOOKUP(_xlfn.XLOOKUP(B68,'Base stats'!B:B,'Base stats'!E:E),Groups!A:A,Groups!AU:AU)=1),
      1,
      "No"
   )
)</f>
        <v>1</v>
      </c>
      <c r="BQ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stats'!AS:AS) * 1.8) * 2) * 2.5 + 10 + I68 * 2,5)+IF(_xlfn.XLOOKUP(B68,'Base stats'!B:B,'Base stats'!AH:AH)=1,50,0)</f>
        <v>35</v>
      </c>
      <c r="BR68" s="8">
        <f t="shared" si="12"/>
        <v>0.4</v>
      </c>
      <c r="BS68" s="8" t="str">
        <f>_xlfn.XLOOKUP(B68,'Base stats'!B:B,'Base stats'!AD:AD)</f>
        <v>No</v>
      </c>
      <c r="BT68" s="2" t="str">
        <f>IF(AND(J68&lt;=0.95,OR(_xlfn.XLOOKUP(B68,'Base stats'!B:B,'Base stats'!AH:AH)=1,_xlfn.XLOOKUP(B68,'Base stats'!B:B,'Base stats'!Y:Y)="Carnivore",_xlfn.XLOOKUP(B68,'Base stats'!B:B,'Base stats'!Y:Y)="Omnivore",BD68&gt;0.1)),"true","false")</f>
        <v>false</v>
      </c>
      <c r="BU68" s="2" t="str">
        <f>IF(_xlfn.XLOOKUP(B68,'Base stats'!B:B,'Base stats'!AF:AF)=1,"true","false")</f>
        <v>false</v>
      </c>
      <c r="BV68" s="25" t="str">
        <f>IF(E68="BaseInsect","AnimalInsect",
IF(J68&gt;0.95,"AnimalExotic",
_xlfn.TEXTJOIN(", ",TRUE,
IF(OR(_xlfn.XLOOKUP(B68,'Base stats'!B:B,'Base stats'!AJ:AJ)=1,AND(_xlfn.XLOOKUP(B68,'Base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stats'!AH:AH)=1,AND(BH68&lt;&gt;"None",BQ68&gt;=60),ISNUMBER(SEARCH("Attack target",BO68))),"AnimalFighter","")
)))</f>
        <v>AnimalUncommon</v>
      </c>
      <c r="BW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),_xlfn.XLOOKUP(B68,B:B,BW:BW))</f>
        <v>ColdBog TemperateSwamp</v>
      </c>
      <c r="BX68" s="25" t="str">
        <f>IF(_xlfn.XLOOKUP(B68,'Base stats'!B:B,'Base stats'!AG:AG)=1,"true","false")</f>
        <v>false</v>
      </c>
      <c r="BY68" s="25">
        <f>IF(_xlfn.XLOOKUP(B68,'Base stats'!B:B,'Base stats'!N:N)=1,"No",MAX(0.01,MIN(MROUND(IF(OR(_xlfn.XLOOKUP(B68,'Base stats'!B:B,'Base stats'!AJ:AJ)=1,AND(BI68="True",CB68="False")),POWER(10,3.47*LOG10(_xlfn.XLOOKUP(B68,'Base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stats'!AH:AH)=1),0.5,1)/100,0.025),1)))</f>
        <v>0.32500000000000001</v>
      </c>
      <c r="BZ68" s="25" t="str">
        <f>IF(P68="Standard","No",MAX(0.01,IF(_xlfn.XLOOKUP(B68,'Base stats'!B:B,'Base stats'!N:N)=0,MROUND(BY68*P68,0.05),MIN(1,MAX(0.025,MROUND(IF(OR(CB68="true",AND(BI68="false",BN68="false")),POWER(10,4.15*LOG10(_xlfn.XLOOKUP(B68,'Base stats'!B:B,'Base stats'!C:C)*1000)^-0.73),POWER(10,3.47*LOG10(_xlfn.XLOOKUP(B68,'Base stats'!B:B,'Base stats'!C:C)*1000)^-0.96))*IF(_xlfn.XLOOKUP(B68,'Base stats'!B:B,'Base stats'!AH:AH)=1,0.5,1)/100,0.025))))))</f>
        <v>No</v>
      </c>
      <c r="CA68" s="25" t="str">
        <f>IF(_xlfn.XLOOKUP(_xlfn.XLOOKUP(B68,'Base stats'!B:B,'Base stats'!E:E),Groups!A:A,Groups!AJ:AJ)="Mammal","True","False")</f>
        <v>False</v>
      </c>
      <c r="CB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C68" s="25" t="str">
        <f t="shared" si="13"/>
        <v>False</v>
      </c>
      <c r="CD68" s="25" t="str">
        <f>IF(_xlfn.XLOOKUP(_xlfn.XLOOKUP(B68,'Base stats'!B:B,'Base stats'!E:E),Groups!A:A,Groups!AX:AX),"True","False")</f>
        <v>False</v>
      </c>
      <c r="CE68" s="25" t="str">
        <f>IF(_xlfn.XLOOKUP(_xlfn.XLOOKUP(B68,'Base stats'!B:B,'Base stats'!E:E),Groups!A:A,Groups!AY:AY),"True","False")</f>
        <v>False</v>
      </c>
      <c r="CF68" s="25" t="str">
        <f>IF(_xlfn.XLOOKUP(_xlfn.XLOOKUP(B68,'Base stats'!B:B,'Base stats'!E:E),Groups!A:A,Groups!AW:AW),"True","False")</f>
        <v>False</v>
      </c>
      <c r="CG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H68" s="25" t="str">
        <f>IF(_xlfn.XLOOKUP(_xlfn.XLOOKUP(B68,'Base stats'!B:B,'Base stats'!E:E),Groups!A:A,Groups!BB:BB),"True","False")</f>
        <v>True</v>
      </c>
      <c r="CI68" s="25" t="str">
        <f>IF(_xlfn.XLOOKUP(_xlfn.XLOOKUP(B68,'Base stats'!B:B,'Base stats'!E:E),Groups!A:A,Groups!BA:BA),"True","False")</f>
        <v>False</v>
      </c>
    </row>
    <row r="69" spans="1:87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stats'!AI:AI)=0,BH69="None",_xlfn.XLOOKUP(_xlfn.XLOOKUP(B69,'Base stats'!B:B,'Base stats'!E:E),Groups!A:A,Groups!B:B)=0), (18 + BQ69 * 2.7) * 0.5,
    IF(AND(_xlfn.XLOOKUP(B69,'Base stats'!B:B,'Base stats'!AI:AI)=0,OR(AO69&lt;0.55,AND(BH69="Intermediate",_xlfn.XLOOKUP(_xlfn.XLOOKUP(B69,'Base stats'!B:B,'Base stats'!E:E),Groups!A:A,Groups!B:B)&lt;2))), (18 + BQ69 * 2.7),
      IF(OR(BH69="Advanced",_xlfn.XLOOKUP(B69,'Base stats'!B:B,'Base stats'!AI:AI)=1,_xlfn.XLOOKUP(_xlfn.XLOOKUP(B69,'Base stats'!B:B,'Base stats'!E:E),Groups!A:A,Groups!B:B)=2), (18 + BQ69 * 2.7) + 250, (18 + BQ69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IF(_xlfn.XLOOKUP(B69,'Base stats'!B:B,'Base stats'!AI:AI)=1,0.99,MIN(MROUND((1-0.6282*EXP(-0.459*AO69))*_xlfn.XLOOKUP(_xlfn.XLOOKUP(B69,'Base stats'!B:B,'Base stats'!E:E),Groups!A:A,Groups!C:C)*IF(_xlfn.XLOOKUP(B69,'Base stats'!B:B,'Base stats'!O:O)=1,0.5,IF(_xlfn.XLOOKUP(B69,'Base stats'!B:B,'Base stats'!O:O)=2,0,1)),0.05),0.985))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W69)),ISNUMBER(SEARCH("IceSheet",BW69))),-50,IF(OR(ISNUMBER(SEARCH("GlacialPlain",BW69)),ISNUMBER(SEARCH("Tundra",BW69))),-40,IF(OR(ISNUMBER(SEARCH("Alpine",BW69)),ISNUMBER(SEARCH("BorealForest",BW69)),ISNUMBER(SEARCH("ColdBog",BW69))),-30,IF(OR(ISNUMBER(SEARCH("TemperateForest",BW69)),ISNUMBER(SEARCH("TemperateSwamp",BW69))),-20,IF(_xlfn.XLOOKUP(_xlfn.XLOOKUP(B69,'Base stats'!B:B,'Base stats'!E:E),Groups!A:A,Groups!F:F)=1,-15,IF(OR(ISNUMBER(SEARCH("Desert",BW69)),ISNUMBER(SEARCH("ExtremeDesert",BW69))),-10,IF(OR(ISNUMBER(SEARCH("Grasslands",BW69)),ISNUMBER(SEARCH("TropicalRainforest",BW69)),ISNUMBER(SEARCH("TropicalSwamp",BW69))),10,0)))))))-IF(CB69="False",MIN(IFERROR(MAX(MROUND(LOG10(_xlfn.XLOOKUP(B69,'Base stats'!B:B,'Base stats'!C:C)^(2/3))*10,5),5),5),30))-_xlfn.XLOOKUP(B69,'Base stats'!B:B,'Base stats'!P:P)+IF(CB69="True",5,0)</f>
        <v>-35</v>
      </c>
      <c r="M69" s="2">
        <f>IF(OR(_xlfn.XLOOKUP(_xlfn.XLOOKUP(B69,'Base stats'!B:B,'Base stats'!E:E),Groups!A:A,Groups!G:G)=2,ISNUMBER(SEARCH("Desert",BW69)),ISNUMBER(SEARCH("ExtremeDesert",BW69)),ISNUMBER(SEARCH("LavaField",BW69))),50,IF(ISNUMBER(SEARCH("Grasslands",BW69)),45,IF(OR(_xlfn.XLOOKUP(_xlfn.XLOOKUP(B69,'Base stats'!B:B,'Base stats'!E:E),Groups!A:A,Groups!G:G)=1,ISNUMBER(SEARCH("TropicalRainforest",BW69)),ISNUMBER(SEARCH("TropicalSwamp",BW69))),40,IF(OR(ISNUMBER(SEARCH("TemperateForest",BW69)),ISNUMBER(SEARCH("TemperateSwamp",BW69))),35,IF(OR(ISNUMBER(SEARCH("Alpine",BW69)),ISNUMBER(SEARCH("BorealForest",BW69)),ISNUMBER(SEARCH("ColdBog",BW69))),30,IF(ISNUMBER(OR(ISNUMBER(SEARCH("GlacialPlain",BW69)),SEARCH("Tundra",BW69))),25,IF(OR(ISNUMBER(SEARCH("SeaIce",BW69)),ISNUMBER(SEARCH("IceSheet",BW69)),ISNUMBER(SEARCH("TropicalSwamp",BW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stats'!AO:AO))*(AO69^0.5)+(_xlfn.XLOOKUP(B69,'Base stats'!B:B,'Base stats'!AO:AO)/1000)^(2/3)+_xlfn.XLOOKUP(B69,'Base stats'!B:B,'Base stats'!AX:AX)/2)+0.5,0.5)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stats'!AP:AP))*(AO69^0.5)+(_xlfn.XLOOKUP(B69,'Base stats'!B:B,'Base stats'!AP:AP)/1000)^(2/3)+_xlfn.XLOOKUP(B69,'Base stats'!B:B,'Base stats'!AX:AX))+_xlfn.XLOOKUP(B69,'Base stats'!B:B,'Base stats'!AV:AV)+0.5,0.5))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stats'!AR:AR))*(AO69^0.5)+(_xlfn.XLOOKUP(B69,'Base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stats'!AQ:AQ)="No","No",MROUND((LOG10(_xlfn.XLOOKUP(B69,'Base stats'!B:B,'Base stats'!AQ:AQ))*(AO69^0.75)+(_xlfn.XLOOKUP(B69,'Base stats'!B:B,'Base stats'!AQ:AQ)/1000)^(2/3)+_xlfn.XLOOKUP(B69,'Base stats'!B:B,'Base stats'!AU:AU)+_xlfn.XLOOKUP(B69,'Base stats'!B:B,'Base stats'!AX:AX))+0.5,0.5))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stats'!AP:AP))*(AO69^0.75)+(_xlfn.XLOOKUP(B69,'Base stats'!B:B,'Base stats'!AP:AP)/1000)^(2/3)+_xlfn.XLOOKUP(B69,'Base stats'!B:B,'Base stats'!AV:AV)+_xlfn.XLOOKUP(B69,'Base stats'!B:B,'Base stats'!AX:AX))+0.5,0.5))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MAX(0.01,MROUND(IF(CB69="True",0.196*(AO69*100*1000)^0.889,IF(_xlfn.XLOOKUP(_xlfn.XLOOKUP(B69,'Base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stats'!AE:AE)</f>
        <v>No</v>
      </c>
      <c r="BB69" s="23" t="str">
        <f>_xlfn.XLOOKUP(_xlfn.XLOOKUP(B69,'Base stats'!B:B,'Base stats'!E:E),Groups!A:A,Groups!AL:AL)</f>
        <v>Bird</v>
      </c>
      <c r="BC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D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E69" s="2" t="str">
        <f>IF(J69&gt;0.3,"No",_xlfn.XLOOKUP(_xlfn.XLOOKUP(Animals!B69,'Base stats'!B:B,'Base stats'!E:E),Groups!A:A,Groups!AP:AP))</f>
        <v>No</v>
      </c>
      <c r="BF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+ 24*(1-IF(BE69="No",0,BE69)) + 16/3, 12),"No")</f>
        <v>No</v>
      </c>
      <c r="BG69" s="2">
        <f>IF(AND(_xlfn.XLOOKUP(_xlfn.XLOOKUP(B69,'Base stats'!B:B,'Base stats'!E:E),Groups!A:A,Groups!AQ:AQ)=1,AO69&lt;=0.35),8,12)</f>
        <v>8</v>
      </c>
      <c r="BH69" s="2" t="str">
        <f>IF(_xlfn.XLOOKUP(_xlfn.XLOOKUP(B69,'Base stats'!B:B,'Base stats'!E:E),Groups!A:A,Groups!D:D)=0,_xlfn.XLOOKUP(_xlfn.XLOOKUP(B69,'Base stats'!B:B,'Base stats'!E:E),Groups!A:A,Groups!AR:AR),"None")</f>
        <v>None</v>
      </c>
      <c r="BI69" s="2" t="str">
        <f>IF(AND(_xlfn.XLOOKUP(_xlfn.XLOOKUP(B69,'Base stats'!B:B,'Base stats'!E:E),Groups!A:A,Groups!AS:AS)=1,OR('Base stats'!Y69="Carnivore",'Base stats'!Y69="Omnivore")),"true","false")</f>
        <v>false</v>
      </c>
      <c r="BJ69" s="2" t="str">
        <f>IF(BI69="true",MROUND(IF(AND(AO69&gt;0.5,OR(_xlfn.XLOOKUP(_xlfn.XLOOKUP(B69,'Base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K69" s="2">
        <f t="shared" si="10"/>
        <v>0</v>
      </c>
      <c r="BL69" s="25" t="str">
        <f>IF(_xlfn.XLOOKUP(B69,'Base stats'!B:B,'Base stats'!AK:AK)="Standard","No",MROUND((_xlfn.XLOOKUP(B69,'Base stats'!B:B,'Base stats'!AK:AK)/3.6)/I69,0.1))</f>
        <v>No</v>
      </c>
      <c r="BM69" s="25" t="str">
        <f t="shared" si="11"/>
        <v>true</v>
      </c>
      <c r="BN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O69" s="25" t="str" cm="1">
        <f t="array" ref="BO69">IF(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 = "",
  "No",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
)</f>
        <v>No</v>
      </c>
      <c r="BP69" s="25">
        <f>IF(
   AND(
      'Base stats'!AK69="Standard",_xlfn.XLOOKUP(_xlfn.XLOOKUP(B69,'Base stats'!B:B,'Base stats'!E:E),Groups!A:A,Groups!AU:AU)=0,
      OR(
      BN69="True"
      )
   ),
   10,
   IF(
       OR(BL69&lt;&gt;"No",_xlfn.XLOOKUP(_xlfn.XLOOKUP(B69,'Base stats'!B:B,'Base stats'!E:E),Groups!A:A,Groups!AU:AU)=1),
      1,
      "No"
   )
)</f>
        <v>1</v>
      </c>
      <c r="BQ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stats'!AS:AS) * 1.8) * 2) * 2.5 + 10 + I69 * 2,5)+IF(_xlfn.XLOOKUP(B69,'Base stats'!B:B,'Base stats'!AH:AH)=1,50,0)</f>
        <v>25</v>
      </c>
      <c r="BR69" s="8">
        <f t="shared" si="12"/>
        <v>0.30000000000000004</v>
      </c>
      <c r="BS69" s="8" t="str">
        <f>_xlfn.XLOOKUP(B69,'Base stats'!B:B,'Base stats'!AD:AD)</f>
        <v>No</v>
      </c>
      <c r="BT69" s="2" t="str">
        <f>IF(AND(J69&lt;=0.95,OR(_xlfn.XLOOKUP(B69,'Base stats'!B:B,'Base stats'!AH:AH)=1,_xlfn.XLOOKUP(B69,'Base stats'!B:B,'Base stats'!Y:Y)="Carnivore",_xlfn.XLOOKUP(B69,'Base stats'!B:B,'Base stats'!Y:Y)="Omnivore",BD69&gt;0.1)),"true","false")</f>
        <v>true</v>
      </c>
      <c r="BU69" s="2" t="str">
        <f>IF(_xlfn.XLOOKUP(B69,'Base stats'!B:B,'Base stats'!AF:AF)=1,"true","false")</f>
        <v>false</v>
      </c>
      <c r="BV69" s="25" t="str">
        <f>IF(E69="BaseInsect","AnimalInsect",
IF(J69&gt;0.95,"AnimalExotic",
_xlfn.TEXTJOIN(", ",TRUE,
IF(OR(_xlfn.XLOOKUP(B69,'Base stats'!B:B,'Base stats'!AJ:AJ)=1,AND(_xlfn.XLOOKUP(B69,'Base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stats'!AH:AH)=1,AND(BH69&lt;&gt;"None",BQ69&gt;=60),ISNUMBER(SEARCH("Attack target",BO69))),"AnimalFighter","")
)))</f>
        <v>AnimalUncommon</v>
      </c>
      <c r="BW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),_xlfn.XLOOKUP(B69,B:B,BW:BW))</f>
        <v>ColdBog TemperateSwamp TropicalSwamp Glowforest</v>
      </c>
      <c r="BX69" s="25" t="str">
        <f>IF(_xlfn.XLOOKUP(B69,'Base stats'!B:B,'Base stats'!AG:AG)=1,"true","false")</f>
        <v>false</v>
      </c>
      <c r="BY69" s="25">
        <f>IF(_xlfn.XLOOKUP(B69,'Base stats'!B:B,'Base stats'!N:N)=1,"No",MAX(0.01,MIN(MROUND(IF(OR(_xlfn.XLOOKUP(B69,'Base stats'!B:B,'Base stats'!AJ:AJ)=1,AND(BI69="True",CB69="False")),POWER(10,3.47*LOG10(_xlfn.XLOOKUP(B69,'Base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stats'!AH:AH)=1),0.5,1)/100,0.025),1)))</f>
        <v>0.60000000000000009</v>
      </c>
      <c r="BZ69" s="25" t="str">
        <f>IF(P69="Standard","No",MAX(0.01,IF(_xlfn.XLOOKUP(B69,'Base stats'!B:B,'Base stats'!N:N)=0,MROUND(BY69*P69,0.05),MIN(1,MAX(0.025,MROUND(IF(OR(CB69="true",AND(BI69="false",BN69="false")),POWER(10,4.15*LOG10(_xlfn.XLOOKUP(B69,'Base stats'!B:B,'Base stats'!C:C)*1000)^-0.73),POWER(10,3.47*LOG10(_xlfn.XLOOKUP(B69,'Base stats'!B:B,'Base stats'!C:C)*1000)^-0.96))*IF(_xlfn.XLOOKUP(B69,'Base stats'!B:B,'Base stats'!AH:AH)=1,0.5,1)/100,0.025))))))</f>
        <v>No</v>
      </c>
      <c r="CA69" s="25" t="str">
        <f>IF(_xlfn.XLOOKUP(_xlfn.XLOOKUP(B69,'Base stats'!B:B,'Base stats'!E:E),Groups!A:A,Groups!AJ:AJ)="Mammal","True","False")</f>
        <v>False</v>
      </c>
      <c r="CB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C69" s="25" t="str">
        <f t="shared" si="13"/>
        <v>False</v>
      </c>
      <c r="CD69" s="25" t="str">
        <f>IF(_xlfn.XLOOKUP(_xlfn.XLOOKUP(B69,'Base stats'!B:B,'Base stats'!E:E),Groups!A:A,Groups!AX:AX),"True","False")</f>
        <v>False</v>
      </c>
      <c r="CE69" s="25" t="str">
        <f>IF(_xlfn.XLOOKUP(_xlfn.XLOOKUP(B69,'Base stats'!B:B,'Base stats'!E:E),Groups!A:A,Groups!AY:AY),"True","False")</f>
        <v>False</v>
      </c>
      <c r="CF69" s="25" t="str">
        <f>IF(_xlfn.XLOOKUP(_xlfn.XLOOKUP(B69,'Base stats'!B:B,'Base stats'!E:E),Groups!A:A,Groups!AW:AW),"True","False")</f>
        <v>False</v>
      </c>
      <c r="CG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H69" s="25" t="str">
        <f>IF(_xlfn.XLOOKUP(_xlfn.XLOOKUP(B69,'Base stats'!B:B,'Base stats'!E:E),Groups!A:A,Groups!BB:BB),"True","False")</f>
        <v>True</v>
      </c>
      <c r="CI69" s="25" t="str">
        <f>IF(_xlfn.XLOOKUP(_xlfn.XLOOKUP(B69,'Base stats'!B:B,'Base stats'!E:E),Groups!A:A,Groups!BA:BA),"True","False")</f>
        <v>False</v>
      </c>
    </row>
    <row r="70" spans="1:87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stats'!AI:AI)=0,BH70="None",_xlfn.XLOOKUP(_xlfn.XLOOKUP(B70,'Base stats'!B:B,'Base stats'!E:E),Groups!A:A,Groups!B:B)=0), (18 + BQ70 * 2.7) * 0.5,
    IF(AND(_xlfn.XLOOKUP(B70,'Base stats'!B:B,'Base stats'!AI:AI)=0,OR(AO70&lt;0.55,AND(BH70="Intermediate",_xlfn.XLOOKUP(_xlfn.XLOOKUP(B70,'Base stats'!B:B,'Base stats'!E:E),Groups!A:A,Groups!B:B)&lt;2))), (18 + BQ70 * 2.7),
      IF(OR(BH70="Advanced",_xlfn.XLOOKUP(B70,'Base stats'!B:B,'Base stats'!AI:AI)=1,_xlfn.XLOOKUP(_xlfn.XLOOKUP(B70,'Base stats'!B:B,'Base stats'!E:E),Groups!A:A,Groups!B:B)=2), (18 + BQ70 * 2.7) + 250, (18 + BQ70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IF(_xlfn.XLOOKUP(B70,'Base stats'!B:B,'Base stats'!AI:AI)=1,0.99,MIN(MROUND((1-0.6282*EXP(-0.459*AO70))*_xlfn.XLOOKUP(_xlfn.XLOOKUP(B70,'Base stats'!B:B,'Base stats'!E:E),Groups!A:A,Groups!C:C)*IF(_xlfn.XLOOKUP(B70,'Base stats'!B:B,'Base stats'!O:O)=1,0.5,IF(_xlfn.XLOOKUP(B70,'Base stats'!B:B,'Base stats'!O:O)=2,0,1)),0.05),0.985))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W70)),ISNUMBER(SEARCH("IceSheet",BW70))),-50,IF(OR(ISNUMBER(SEARCH("GlacialPlain",BW70)),ISNUMBER(SEARCH("Tundra",BW70))),-40,IF(OR(ISNUMBER(SEARCH("Alpine",BW70)),ISNUMBER(SEARCH("BorealForest",BW70)),ISNUMBER(SEARCH("ColdBog",BW70))),-30,IF(OR(ISNUMBER(SEARCH("TemperateForest",BW70)),ISNUMBER(SEARCH("TemperateSwamp",BW70))),-20,IF(_xlfn.XLOOKUP(_xlfn.XLOOKUP(B70,'Base stats'!B:B,'Base stats'!E:E),Groups!A:A,Groups!F:F)=1,-15,IF(OR(ISNUMBER(SEARCH("Desert",BW70)),ISNUMBER(SEARCH("ExtremeDesert",BW70))),-10,IF(OR(ISNUMBER(SEARCH("Grasslands",BW70)),ISNUMBER(SEARCH("TropicalRainforest",BW70)),ISNUMBER(SEARCH("TropicalSwamp",BW70))),10,0)))))))-IF(CB70="False",MIN(IFERROR(MAX(MROUND(LOG10(_xlfn.XLOOKUP(B70,'Base stats'!B:B,'Base stats'!C:C)^(2/3))*10,5),5),5),30))-_xlfn.XLOOKUP(B70,'Base stats'!B:B,'Base stats'!P:P)+IF(CB70="True",5,0)</f>
        <v>5</v>
      </c>
      <c r="M70" s="2">
        <f>IF(OR(_xlfn.XLOOKUP(_xlfn.XLOOKUP(B70,'Base stats'!B:B,'Base stats'!E:E),Groups!A:A,Groups!G:G)=2,ISNUMBER(SEARCH("Desert",BW70)),ISNUMBER(SEARCH("ExtremeDesert",BW70)),ISNUMBER(SEARCH("LavaField",BW70))),50,IF(ISNUMBER(SEARCH("Grasslands",BW70)),45,IF(OR(_xlfn.XLOOKUP(_xlfn.XLOOKUP(B70,'Base stats'!B:B,'Base stats'!E:E),Groups!A:A,Groups!G:G)=1,ISNUMBER(SEARCH("TropicalRainforest",BW70)),ISNUMBER(SEARCH("TropicalSwamp",BW70))),40,IF(OR(ISNUMBER(SEARCH("TemperateForest",BW70)),ISNUMBER(SEARCH("TemperateSwamp",BW70))),35,IF(OR(ISNUMBER(SEARCH("Alpine",BW70)),ISNUMBER(SEARCH("BorealForest",BW70)),ISNUMBER(SEARCH("ColdBog",BW70))),30,IF(ISNUMBER(OR(ISNUMBER(SEARCH("GlacialPlain",BW70)),SEARCH("Tundra",BW70))),25,IF(OR(ISNUMBER(SEARCH("SeaIce",BW70)),ISNUMBER(SEARCH("IceSheet",BW70)),ISNUMBER(SEARCH("TropicalSwamp",BW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stats'!AO:AO))*(AO70^0.5)+(_xlfn.XLOOKUP(B70,'Base stats'!B:B,'Base stats'!AO:AO)/1000)^(2/3)+_xlfn.XLOOKUP(B70,'Base stats'!B:B,'Base stats'!AX:AX)/2)+0.5,0.5)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stats'!AP:AP))*(AO70^0.5)+(_xlfn.XLOOKUP(B70,'Base stats'!B:B,'Base stats'!AP:AP)/1000)^(2/3)+_xlfn.XLOOKUP(B70,'Base stats'!B:B,'Base stats'!AX:AX))+_xlfn.XLOOKUP(B70,'Base stats'!B:B,'Base stats'!AV:AV)+0.5,0.5))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stats'!AR:AR))*(AO70^0.5)+(_xlfn.XLOOKUP(B70,'Base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stats'!AQ:AQ)="No","No",MROUND((LOG10(_xlfn.XLOOKUP(B70,'Base stats'!B:B,'Base stats'!AQ:AQ))*(AO70^0.75)+(_xlfn.XLOOKUP(B70,'Base stats'!B:B,'Base stats'!AQ:AQ)/1000)^(2/3)+_xlfn.XLOOKUP(B70,'Base stats'!B:B,'Base stats'!AU:AU)+_xlfn.XLOOKUP(B70,'Base stats'!B:B,'Base stats'!AX:AX))+0.5,0.5))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stats'!AP:AP))*(AO70^0.75)+(_xlfn.XLOOKUP(B70,'Base stats'!B:B,'Base stats'!AP:AP)/1000)^(2/3)+_xlfn.XLOOKUP(B70,'Base stats'!B:B,'Base stats'!AV:AV)+_xlfn.XLOOKUP(B70,'Base stats'!B:B,'Base stats'!AX:AX))+0.5,0.5))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MAX(0.01,MROUND(IF(CB70="True",0.196*(AO70*100*1000)^0.889,IF(_xlfn.XLOOKUP(_xlfn.XLOOKUP(B70,'Base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stats'!AE:AE)</f>
        <v>No</v>
      </c>
      <c r="BB70" s="23" t="str">
        <f>_xlfn.XLOOKUP(_xlfn.XLOOKUP(B70,'Base stats'!B:B,'Base stats'!E:E),Groups!A:A,Groups!AL:AL)</f>
        <v>Bird</v>
      </c>
      <c r="BC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D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E70" s="2" t="str">
        <f>IF(J70&gt;0.3,"No",_xlfn.XLOOKUP(_xlfn.XLOOKUP(Animals!B70,'Base stats'!B:B,'Base stats'!E:E),Groups!A:A,Groups!AP:AP))</f>
        <v>No</v>
      </c>
      <c r="BF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+ 24*(1-IF(BE70="No",0,BE70)) + 16/3, 12),"No")</f>
        <v>No</v>
      </c>
      <c r="BG70" s="2">
        <f>IF(AND(_xlfn.XLOOKUP(_xlfn.XLOOKUP(B70,'Base stats'!B:B,'Base stats'!E:E),Groups!A:A,Groups!AQ:AQ)=1,AO70&lt;=0.35),8,12)</f>
        <v>8</v>
      </c>
      <c r="BH70" s="2" t="str">
        <f>IF(_xlfn.XLOOKUP(_xlfn.XLOOKUP(B70,'Base stats'!B:B,'Base stats'!E:E),Groups!A:A,Groups!D:D)=0,_xlfn.XLOOKUP(_xlfn.XLOOKUP(B70,'Base stats'!B:B,'Base stats'!E:E),Groups!A:A,Groups!AR:AR),"None")</f>
        <v>None</v>
      </c>
      <c r="BI70" s="2" t="str">
        <f>IF(AND(_xlfn.XLOOKUP(_xlfn.XLOOKUP(B70,'Base stats'!B:B,'Base stats'!E:E),Groups!A:A,Groups!AS:AS)=1,OR('Base stats'!Y70="Carnivore",'Base stats'!Y70="Omnivore")),"true","false")</f>
        <v>false</v>
      </c>
      <c r="BJ70" s="2" t="str">
        <f>IF(BI70="true",MROUND(IF(AND(AO70&gt;0.5,OR(_xlfn.XLOOKUP(_xlfn.XLOOKUP(B70,'Base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K70" s="2">
        <f t="shared" si="10"/>
        <v>0</v>
      </c>
      <c r="BL70" s="25" t="str">
        <f>IF(_xlfn.XLOOKUP(B70,'Base stats'!B:B,'Base stats'!AK:AK)="Standard","No",MROUND((_xlfn.XLOOKUP(B70,'Base stats'!B:B,'Base stats'!AK:AK)/3.6)/I70,0.1))</f>
        <v>No</v>
      </c>
      <c r="BM70" s="25" t="str">
        <f t="shared" si="11"/>
        <v>true</v>
      </c>
      <c r="BN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O70" s="25" t="str" cm="1">
        <f t="array" ref="BO70">IF(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 = "",
  "No",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
)</f>
        <v>No</v>
      </c>
      <c r="BP70" s="25">
        <f>IF(
   AND(
      'Base stats'!AK70="Standard",_xlfn.XLOOKUP(_xlfn.XLOOKUP(B70,'Base stats'!B:B,'Base stats'!E:E),Groups!A:A,Groups!AU:AU)=0,
      OR(
      BN70="True"
      )
   ),
   10,
   IF(
       OR(BL70&lt;&gt;"No",_xlfn.XLOOKUP(_xlfn.XLOOKUP(B70,'Base stats'!B:B,'Base stats'!E:E),Groups!A:A,Groups!AU:AU)=1),
      1,
      "No"
   )
)</f>
        <v>1</v>
      </c>
      <c r="BQ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stats'!AS:AS) * 1.8) * 2) * 2.5 + 10 + I70 * 2,5)+IF(_xlfn.XLOOKUP(B70,'Base stats'!B:B,'Base stats'!AH:AH)=1,50,0)</f>
        <v>30</v>
      </c>
      <c r="BR70" s="8">
        <f t="shared" si="12"/>
        <v>0.35000000000000003</v>
      </c>
      <c r="BS70" s="8" t="str">
        <f>_xlfn.XLOOKUP(B70,'Base stats'!B:B,'Base stats'!AD:AD)</f>
        <v>5~15</v>
      </c>
      <c r="BT70" s="2" t="str">
        <f>IF(AND(J70&lt;=0.95,OR(_xlfn.XLOOKUP(B70,'Base stats'!B:B,'Base stats'!AH:AH)=1,_xlfn.XLOOKUP(B70,'Base stats'!B:B,'Base stats'!Y:Y)="Carnivore",_xlfn.XLOOKUP(B70,'Base stats'!B:B,'Base stats'!Y:Y)="Omnivore",BD70&gt;0.1)),"true","false")</f>
        <v>true</v>
      </c>
      <c r="BU70" s="2" t="str">
        <f>IF(_xlfn.XLOOKUP(B70,'Base stats'!B:B,'Base stats'!AF:AF)=1,"true","false")</f>
        <v>false</v>
      </c>
      <c r="BV70" s="25" t="str">
        <f>IF(E70="BaseInsect","AnimalInsect",
IF(J70&gt;0.95,"AnimalExotic",
_xlfn.TEXTJOIN(", ",TRUE,
IF(OR(_xlfn.XLOOKUP(B70,'Base stats'!B:B,'Base stats'!AJ:AJ)=1,AND(_xlfn.XLOOKUP(B70,'Base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stats'!AH:AH)=1,AND(BH70&lt;&gt;"None",BQ70&gt;=60),ISNUMBER(SEARCH("Attack target",BO70))),"AnimalFighter","")
)))</f>
        <v>AnimalUncommon</v>
      </c>
      <c r="BW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),_xlfn.XLOOKUP(B70,B:B,BW:BW))</f>
        <v>TropicalSwamp</v>
      </c>
      <c r="BX70" s="25" t="str">
        <f>IF(_xlfn.XLOOKUP(B70,'Base stats'!B:B,'Base stats'!AG:AG)=1,"true","false")</f>
        <v>false</v>
      </c>
      <c r="BY70" s="25">
        <f>IF(_xlfn.XLOOKUP(B70,'Base stats'!B:B,'Base stats'!N:N)=1,"No",MAX(0.01,MIN(MROUND(IF(OR(_xlfn.XLOOKUP(B70,'Base stats'!B:B,'Base stats'!AJ:AJ)=1,AND(BI70="True",CB70="False")),POWER(10,3.47*LOG10(_xlfn.XLOOKUP(B70,'Base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stats'!AH:AH)=1),0.5,1)/100,0.025),1)))</f>
        <v>0.45</v>
      </c>
      <c r="BZ70" s="25" t="str">
        <f>IF(P70="Standard","No",MAX(0.01,IF(_xlfn.XLOOKUP(B70,'Base stats'!B:B,'Base stats'!N:N)=0,MROUND(BY70*P70,0.05),MIN(1,MAX(0.025,MROUND(IF(OR(CB70="true",AND(BI70="false",BN70="false")),POWER(10,4.15*LOG10(_xlfn.XLOOKUP(B70,'Base stats'!B:B,'Base stats'!C:C)*1000)^-0.73),POWER(10,3.47*LOG10(_xlfn.XLOOKUP(B70,'Base stats'!B:B,'Base stats'!C:C)*1000)^-0.96))*IF(_xlfn.XLOOKUP(B70,'Base stats'!B:B,'Base stats'!AH:AH)=1,0.5,1)/100,0.025))))))</f>
        <v>No</v>
      </c>
      <c r="CA70" s="25" t="str">
        <f>IF(_xlfn.XLOOKUP(_xlfn.XLOOKUP(B70,'Base stats'!B:B,'Base stats'!E:E),Groups!A:A,Groups!AJ:AJ)="Mammal","True","False")</f>
        <v>False</v>
      </c>
      <c r="CB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C70" s="25" t="str">
        <f t="shared" si="13"/>
        <v>False</v>
      </c>
      <c r="CD70" s="25" t="str">
        <f>IF(_xlfn.XLOOKUP(_xlfn.XLOOKUP(B70,'Base stats'!B:B,'Base stats'!E:E),Groups!A:A,Groups!AX:AX),"True","False")</f>
        <v>False</v>
      </c>
      <c r="CE70" s="25" t="str">
        <f>IF(_xlfn.XLOOKUP(_xlfn.XLOOKUP(B70,'Base stats'!B:B,'Base stats'!E:E),Groups!A:A,Groups!AY:AY),"True","False")</f>
        <v>False</v>
      </c>
      <c r="CF70" s="25" t="str">
        <f>IF(_xlfn.XLOOKUP(_xlfn.XLOOKUP(B70,'Base stats'!B:B,'Base stats'!E:E),Groups!A:A,Groups!AW:AW),"True","False")</f>
        <v>False</v>
      </c>
      <c r="CG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H70" s="25" t="str">
        <f>IF(_xlfn.XLOOKUP(_xlfn.XLOOKUP(B70,'Base stats'!B:B,'Base stats'!E:E),Groups!A:A,Groups!BB:BB),"True","False")</f>
        <v>True</v>
      </c>
      <c r="CI70" s="25" t="str">
        <f>IF(_xlfn.XLOOKUP(_xlfn.XLOOKUP(B70,'Base stats'!B:B,'Base stats'!E:E),Groups!A:A,Groups!BA:BA),"True","False")</f>
        <v>False</v>
      </c>
    </row>
    <row r="71" spans="1:87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stats'!AI:AI)=0,BH71="None",_xlfn.XLOOKUP(_xlfn.XLOOKUP(B71,'Base stats'!B:B,'Base stats'!E:E),Groups!A:A,Groups!B:B)=0), (18 + BQ71 * 2.7) * 0.5,
    IF(AND(_xlfn.XLOOKUP(B71,'Base stats'!B:B,'Base stats'!AI:AI)=0,OR(AO71&lt;0.55,AND(BH71="Intermediate",_xlfn.XLOOKUP(_xlfn.XLOOKUP(B71,'Base stats'!B:B,'Base stats'!E:E),Groups!A:A,Groups!B:B)&lt;2))), (18 + BQ71 * 2.7),
      IF(OR(BH71="Advanced",_xlfn.XLOOKUP(B71,'Base stats'!B:B,'Base stats'!AI:AI)=1,_xlfn.XLOOKUP(_xlfn.XLOOKUP(B71,'Base stats'!B:B,'Base stats'!E:E),Groups!A:A,Groups!B:B)=2), (18 + BQ71 * 2.7) + 250, (18 + BQ71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IF(_xlfn.XLOOKUP(B71,'Base stats'!B:B,'Base stats'!AI:AI)=1,0.99,MIN(MROUND((1-0.6282*EXP(-0.459*AO71))*_xlfn.XLOOKUP(_xlfn.XLOOKUP(B71,'Base stats'!B:B,'Base stats'!E:E),Groups!A:A,Groups!C:C)*IF(_xlfn.XLOOKUP(B71,'Base stats'!B:B,'Base stats'!O:O)=1,0.5,IF(_xlfn.XLOOKUP(B71,'Base stats'!B:B,'Base stats'!O:O)=2,0,1)),0.05),0.985))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W71)),ISNUMBER(SEARCH("IceSheet",BW71))),-50,IF(OR(ISNUMBER(SEARCH("GlacialPlain",BW71)),ISNUMBER(SEARCH("Tundra",BW71))),-40,IF(OR(ISNUMBER(SEARCH("Alpine",BW71)),ISNUMBER(SEARCH("BorealForest",BW71)),ISNUMBER(SEARCH("ColdBog",BW71))),-30,IF(OR(ISNUMBER(SEARCH("TemperateForest",BW71)),ISNUMBER(SEARCH("TemperateSwamp",BW71))),-20,IF(_xlfn.XLOOKUP(_xlfn.XLOOKUP(B71,'Base stats'!B:B,'Base stats'!E:E),Groups!A:A,Groups!F:F)=1,-15,IF(OR(ISNUMBER(SEARCH("Desert",BW71)),ISNUMBER(SEARCH("ExtremeDesert",BW71))),-10,IF(OR(ISNUMBER(SEARCH("Grasslands",BW71)),ISNUMBER(SEARCH("TropicalRainforest",BW71)),ISNUMBER(SEARCH("TropicalSwamp",BW71))),10,0)))))))-IF(CB71="False",MIN(IFERROR(MAX(MROUND(LOG10(_xlfn.XLOOKUP(B71,'Base stats'!B:B,'Base stats'!C:C)^(2/3))*10,5),5),5),30))-_xlfn.XLOOKUP(B71,'Base stats'!B:B,'Base stats'!P:P)+IF(CB71="True",5,0)</f>
        <v>-60</v>
      </c>
      <c r="M71" s="2">
        <f>IF(OR(_xlfn.XLOOKUP(_xlfn.XLOOKUP(B71,'Base stats'!B:B,'Base stats'!E:E),Groups!A:A,Groups!G:G)=2,ISNUMBER(SEARCH("Desert",BW71)),ISNUMBER(SEARCH("ExtremeDesert",BW71)),ISNUMBER(SEARCH("LavaField",BW71))),50,IF(ISNUMBER(SEARCH("Grasslands",BW71)),45,IF(OR(_xlfn.XLOOKUP(_xlfn.XLOOKUP(B71,'Base stats'!B:B,'Base stats'!E:E),Groups!A:A,Groups!G:G)=1,ISNUMBER(SEARCH("TropicalRainforest",BW71)),ISNUMBER(SEARCH("TropicalSwamp",BW71))),40,IF(OR(ISNUMBER(SEARCH("TemperateForest",BW71)),ISNUMBER(SEARCH("TemperateSwamp",BW71))),35,IF(OR(ISNUMBER(SEARCH("Alpine",BW71)),ISNUMBER(SEARCH("BorealForest",BW71)),ISNUMBER(SEARCH("ColdBog",BW71))),30,IF(ISNUMBER(OR(ISNUMBER(SEARCH("GlacialPlain",BW71)),SEARCH("Tundra",BW71))),25,IF(OR(ISNUMBER(SEARCH("SeaIce",BW71)),ISNUMBER(SEARCH("IceSheet",BW71)),ISNUMBER(SEARCH("TropicalSwamp",BW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stats'!AO:AO))*(AO71^0.5)+(_xlfn.XLOOKUP(B71,'Base stats'!B:B,'Base stats'!AO:AO)/1000)^(2/3)+_xlfn.XLOOKUP(B71,'Base stats'!B:B,'Base stats'!AX:AX)/2)+0.5,0.5)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stats'!AP:AP))*(AO71^0.5)+(_xlfn.XLOOKUP(B71,'Base stats'!B:B,'Base stats'!AP:AP)/1000)^(2/3)+_xlfn.XLOOKUP(B71,'Base stats'!B:B,'Base stats'!AX:AX))+_xlfn.XLOOKUP(B71,'Base stats'!B:B,'Base stats'!AV:AV)+0.5,0.5))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stats'!AR:AR))*(AO71^0.5)+(_xlfn.XLOOKUP(B71,'Base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stats'!AQ:AQ)="No","No",MROUND((LOG10(_xlfn.XLOOKUP(B71,'Base stats'!B:B,'Base stats'!AQ:AQ))*(AO71^0.75)+(_xlfn.XLOOKUP(B71,'Base stats'!B:B,'Base stats'!AQ:AQ)/1000)^(2/3)+_xlfn.XLOOKUP(B71,'Base stats'!B:B,'Base stats'!AU:AU)+_xlfn.XLOOKUP(B71,'Base stats'!B:B,'Base stats'!AX:AX))+0.5,0.5))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stats'!AP:AP))*(AO71^0.75)+(_xlfn.XLOOKUP(B71,'Base stats'!B:B,'Base stats'!AP:AP)/1000)^(2/3)+_xlfn.XLOOKUP(B71,'Base stats'!B:B,'Base stats'!AV:AV)+_xlfn.XLOOKUP(B71,'Base stats'!B:B,'Base stats'!AX:AX))+0.5,0.5))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MAX(0.01,MROUND(IF(CB71="True",0.196*(AO71*100*1000)^0.889,IF(_xlfn.XLOOKUP(_xlfn.XLOOKUP(B71,'Base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stats'!AE:AE)</f>
        <v>No</v>
      </c>
      <c r="BB71" s="23" t="str">
        <f>_xlfn.XLOOKUP(_xlfn.XLOOKUP(B71,'Base stats'!B:B,'Base stats'!E:E),Groups!A:A,Groups!AL:AL)</f>
        <v>Bird</v>
      </c>
      <c r="BC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D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E71" s="2" t="str">
        <f>IF(J71&gt;0.3,"No",_xlfn.XLOOKUP(_xlfn.XLOOKUP(Animals!B71,'Base stats'!B:B,'Base stats'!E:E),Groups!A:A,Groups!AP:AP))</f>
        <v>No</v>
      </c>
      <c r="BF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+ 24*(1-IF(BE71="No",0,BE71)) + 16/3, 12),"No")</f>
        <v>No</v>
      </c>
      <c r="BG71" s="2">
        <f>IF(AND(_xlfn.XLOOKUP(_xlfn.XLOOKUP(B71,'Base stats'!B:B,'Base stats'!E:E),Groups!A:A,Groups!AQ:AQ)=1,AO71&lt;=0.35),8,12)</f>
        <v>12</v>
      </c>
      <c r="BH71" s="2" t="str">
        <f>IF(_xlfn.XLOOKUP(_xlfn.XLOOKUP(B71,'Base stats'!B:B,'Base stats'!E:E),Groups!A:A,Groups!D:D)=0,_xlfn.XLOOKUP(_xlfn.XLOOKUP(B71,'Base stats'!B:B,'Base stats'!E:E),Groups!A:A,Groups!AR:AR),"None")</f>
        <v>None</v>
      </c>
      <c r="BI71" s="2" t="str">
        <f>IF(AND(_xlfn.XLOOKUP(_xlfn.XLOOKUP(B71,'Base stats'!B:B,'Base stats'!E:E),Groups!A:A,Groups!AS:AS)=1,OR('Base stats'!Y71="Carnivore",'Base stats'!Y71="Omnivore")),"true","false")</f>
        <v>false</v>
      </c>
      <c r="BJ71" s="2" t="str">
        <f>IF(BI71="true",MROUND(IF(AND(AO71&gt;0.5,OR(_xlfn.XLOOKUP(_xlfn.XLOOKUP(B71,'Base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K71" s="2">
        <f t="shared" si="10"/>
        <v>0</v>
      </c>
      <c r="BL71" s="25">
        <f>IF(_xlfn.XLOOKUP(B71,'Base stats'!B:B,'Base stats'!AK:AK)="Standard","No",MROUND((_xlfn.XLOOKUP(B71,'Base stats'!B:B,'Base stats'!AK:AK)/3.6)/I71,0.1))</f>
        <v>2</v>
      </c>
      <c r="BM71" s="25" t="str">
        <f t="shared" si="11"/>
        <v>true</v>
      </c>
      <c r="BN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O71" s="25" t="str" cm="1">
        <f t="array" ref="BO71">IF(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 = "",
  "No",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
)</f>
        <v>No</v>
      </c>
      <c r="BP71" s="25">
        <f>IF(
   AND(
      'Base stats'!AK71="Standard",_xlfn.XLOOKUP(_xlfn.XLOOKUP(B71,'Base stats'!B:B,'Base stats'!E:E),Groups!A:A,Groups!AU:AU)=0,
      OR(
      BN71="True"
      )
   ),
   10,
   IF(
       OR(BL71&lt;&gt;"No",_xlfn.XLOOKUP(_xlfn.XLOOKUP(B71,'Base stats'!B:B,'Base stats'!E:E),Groups!A:A,Groups!AU:AU)=1),
      1,
      "No"
   )
)</f>
        <v>1</v>
      </c>
      <c r="BQ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stats'!AS:AS) * 1.8) * 2) * 2.5 + 10 + I71 * 2,5)+IF(_xlfn.XLOOKUP(B71,'Base stats'!B:B,'Base stats'!AH:AH)=1,50,0)</f>
        <v>45</v>
      </c>
      <c r="BR71" s="8">
        <f t="shared" si="12"/>
        <v>0.60000000000000009</v>
      </c>
      <c r="BS71" s="8" t="str">
        <f>_xlfn.XLOOKUP(B71,'Base stats'!B:B,'Base stats'!AD:AD)</f>
        <v>5~15</v>
      </c>
      <c r="BT71" s="2" t="str">
        <f>IF(AND(J71&lt;=0.95,OR(_xlfn.XLOOKUP(B71,'Base stats'!B:B,'Base stats'!AH:AH)=1,_xlfn.XLOOKUP(B71,'Base stats'!B:B,'Base stats'!Y:Y)="Carnivore",_xlfn.XLOOKUP(B71,'Base stats'!B:B,'Base stats'!Y:Y)="Omnivore",BD71&gt;0.1)),"true","false")</f>
        <v>true</v>
      </c>
      <c r="BU71" s="2" t="str">
        <f>IF(_xlfn.XLOOKUP(B71,'Base stats'!B:B,'Base stats'!AF:AF)=1,"true","false")</f>
        <v>false</v>
      </c>
      <c r="BV71" s="25" t="str">
        <f>IF(E71="BaseInsect","AnimalInsect",
IF(J71&gt;0.95,"AnimalExotic",
_xlfn.TEXTJOIN(", ",TRUE,
IF(OR(_xlfn.XLOOKUP(B71,'Base stats'!B:B,'Base stats'!AJ:AJ)=1,AND(_xlfn.XLOOKUP(B71,'Base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stats'!AH:AH)=1,AND(BH71&lt;&gt;"None",BQ71&gt;=60),ISNUMBER(SEARCH("Attack target",BO71))),"AnimalFighter","")
)))</f>
        <v>AnimalUncommon</v>
      </c>
      <c r="BW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),_xlfn.XLOOKUP(B71,B:B,BW:BW))</f>
        <v>SeaIce IceSheet Tundra</v>
      </c>
      <c r="BX71" s="25" t="str">
        <f>IF(_xlfn.XLOOKUP(B71,'Base stats'!B:B,'Base stats'!AG:AG)=1,"true","false")</f>
        <v>true</v>
      </c>
      <c r="BY71" s="25">
        <f>IF(_xlfn.XLOOKUP(B71,'Base stats'!B:B,'Base stats'!N:N)=1,"No",MAX(0.01,MIN(MROUND(IF(OR(_xlfn.XLOOKUP(B71,'Base stats'!B:B,'Base stats'!AJ:AJ)=1,AND(BI71="True",CB71="False")),POWER(10,3.47*LOG10(_xlfn.XLOOKUP(B71,'Base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stats'!AH:AH)=1),0.5,1)/100,0.025),1)))</f>
        <v>0.25</v>
      </c>
      <c r="BZ71" s="25" t="str">
        <f>IF(P71="Standard","No",MAX(0.01,IF(_xlfn.XLOOKUP(B71,'Base stats'!B:B,'Base stats'!N:N)=0,MROUND(BY71*P71,0.05),MIN(1,MAX(0.025,MROUND(IF(OR(CB71="true",AND(BI71="false",BN71="false")),POWER(10,4.15*LOG10(_xlfn.XLOOKUP(B71,'Base stats'!B:B,'Base stats'!C:C)*1000)^-0.73),POWER(10,3.47*LOG10(_xlfn.XLOOKUP(B71,'Base stats'!B:B,'Base stats'!C:C)*1000)^-0.96))*IF(_xlfn.XLOOKUP(B71,'Base stats'!B:B,'Base stats'!AH:AH)=1,0.5,1)/100,0.025))))))</f>
        <v>No</v>
      </c>
      <c r="CA71" s="25" t="str">
        <f>IF(_xlfn.XLOOKUP(_xlfn.XLOOKUP(B71,'Base stats'!B:B,'Base stats'!E:E),Groups!A:A,Groups!AJ:AJ)="Mammal","True","False")</f>
        <v>False</v>
      </c>
      <c r="CB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C71" s="25" t="str">
        <f t="shared" si="13"/>
        <v>False</v>
      </c>
      <c r="CD71" s="25" t="str">
        <f>IF(_xlfn.XLOOKUP(_xlfn.XLOOKUP(B71,'Base stats'!B:B,'Base stats'!E:E),Groups!A:A,Groups!AX:AX),"True","False")</f>
        <v>False</v>
      </c>
      <c r="CE71" s="25" t="str">
        <f>IF(_xlfn.XLOOKUP(_xlfn.XLOOKUP(B71,'Base stats'!B:B,'Base stats'!E:E),Groups!A:A,Groups!AY:AY),"True","False")</f>
        <v>False</v>
      </c>
      <c r="CF71" s="25" t="str">
        <f>IF(_xlfn.XLOOKUP(_xlfn.XLOOKUP(B71,'Base stats'!B:B,'Base stats'!E:E),Groups!A:A,Groups!AW:AW),"True","False")</f>
        <v>False</v>
      </c>
      <c r="CG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H71" s="25" t="str">
        <f>IF(_xlfn.XLOOKUP(_xlfn.XLOOKUP(B71,'Base stats'!B:B,'Base stats'!E:E),Groups!A:A,Groups!BB:BB),"True","False")</f>
        <v>True</v>
      </c>
      <c r="CI71" s="25" t="str">
        <f>IF(_xlfn.XLOOKUP(_xlfn.XLOOKUP(B71,'Base stats'!B:B,'Base stats'!E:E),Groups!A:A,Groups!BA:BA),"True","False")</f>
        <v>False</v>
      </c>
    </row>
    <row r="72" spans="1:87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stats'!AI:AI)=0,BH72="None",_xlfn.XLOOKUP(_xlfn.XLOOKUP(B72,'Base stats'!B:B,'Base stats'!E:E),Groups!A:A,Groups!B:B)=0), (18 + BQ72 * 2.7) * 0.5,
    IF(AND(_xlfn.XLOOKUP(B72,'Base stats'!B:B,'Base stats'!AI:AI)=0,OR(AO72&lt;0.55,AND(BH72="Intermediate",_xlfn.XLOOKUP(_xlfn.XLOOKUP(B72,'Base stats'!B:B,'Base stats'!E:E),Groups!A:A,Groups!B:B)&lt;2))), (18 + BQ72 * 2.7),
      IF(OR(BH72="Advanced",_xlfn.XLOOKUP(B72,'Base stats'!B:B,'Base stats'!AI:AI)=1,_xlfn.XLOOKUP(_xlfn.XLOOKUP(B72,'Base stats'!B:B,'Base stats'!E:E),Groups!A:A,Groups!B:B)=2), (18 + BQ72 * 2.7) + 250, (18 + BQ72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IF(_xlfn.XLOOKUP(B72,'Base stats'!B:B,'Base stats'!AI:AI)=1,0.99,MIN(MROUND((1-0.6282*EXP(-0.459*AO72))*_xlfn.XLOOKUP(_xlfn.XLOOKUP(B72,'Base stats'!B:B,'Base stats'!E:E),Groups!A:A,Groups!C:C)*IF(_xlfn.XLOOKUP(B72,'Base stats'!B:B,'Base stats'!O:O)=1,0.5,IF(_xlfn.XLOOKUP(B72,'Base stats'!B:B,'Base stats'!O:O)=2,0,1)),0.05),0.985))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W72)),ISNUMBER(SEARCH("IceSheet",BW72))),-50,IF(OR(ISNUMBER(SEARCH("GlacialPlain",BW72)),ISNUMBER(SEARCH("Tundra",BW72))),-40,IF(OR(ISNUMBER(SEARCH("Alpine",BW72)),ISNUMBER(SEARCH("BorealForest",BW72)),ISNUMBER(SEARCH("ColdBog",BW72))),-30,IF(OR(ISNUMBER(SEARCH("TemperateForest",BW72)),ISNUMBER(SEARCH("TemperateSwamp",BW72))),-20,IF(_xlfn.XLOOKUP(_xlfn.XLOOKUP(B72,'Base stats'!B:B,'Base stats'!E:E),Groups!A:A,Groups!F:F)=1,-15,IF(OR(ISNUMBER(SEARCH("Desert",BW72)),ISNUMBER(SEARCH("ExtremeDesert",BW72))),-10,IF(OR(ISNUMBER(SEARCH("Grasslands",BW72)),ISNUMBER(SEARCH("TropicalRainforest",BW72)),ISNUMBER(SEARCH("TropicalSwamp",BW72))),10,0)))))))-IF(CB72="False",MIN(IFERROR(MAX(MROUND(LOG10(_xlfn.XLOOKUP(B72,'Base stats'!B:B,'Base stats'!C:C)^(2/3))*10,5),5),5),30))-_xlfn.XLOOKUP(B72,'Base stats'!B:B,'Base stats'!P:P)+IF(CB72="True",5,0)</f>
        <v>5</v>
      </c>
      <c r="M72" s="2">
        <f>IF(OR(_xlfn.XLOOKUP(_xlfn.XLOOKUP(B72,'Base stats'!B:B,'Base stats'!E:E),Groups!A:A,Groups!G:G)=2,ISNUMBER(SEARCH("Desert",BW72)),ISNUMBER(SEARCH("ExtremeDesert",BW72)),ISNUMBER(SEARCH("LavaField",BW72))),50,IF(ISNUMBER(SEARCH("Grasslands",BW72)),45,IF(OR(_xlfn.XLOOKUP(_xlfn.XLOOKUP(B72,'Base stats'!B:B,'Base stats'!E:E),Groups!A:A,Groups!G:G)=1,ISNUMBER(SEARCH("TropicalRainforest",BW72)),ISNUMBER(SEARCH("TropicalSwamp",BW72))),40,IF(OR(ISNUMBER(SEARCH("TemperateForest",BW72)),ISNUMBER(SEARCH("TemperateSwamp",BW72))),35,IF(OR(ISNUMBER(SEARCH("Alpine",BW72)),ISNUMBER(SEARCH("BorealForest",BW72)),ISNUMBER(SEARCH("ColdBog",BW72))),30,IF(ISNUMBER(OR(ISNUMBER(SEARCH("GlacialPlain",BW72)),SEARCH("Tundra",BW72))),25,IF(OR(ISNUMBER(SEARCH("SeaIce",BW72)),ISNUMBER(SEARCH("IceSheet",BW72)),ISNUMBER(SEARCH("TropicalSwamp",BW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stats'!AO:AO))*(AO72^0.5)+(_xlfn.XLOOKUP(B72,'Base stats'!B:B,'Base stats'!AO:AO)/1000)^(2/3)+_xlfn.XLOOKUP(B72,'Base stats'!B:B,'Base stats'!AX:AX)/2)+0.5,0.5)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stats'!AP:AP))*(AO72^0.5)+(_xlfn.XLOOKUP(B72,'Base stats'!B:B,'Base stats'!AP:AP)/1000)^(2/3)+_xlfn.XLOOKUP(B72,'Base stats'!B:B,'Base stats'!AX:AX))+_xlfn.XLOOKUP(B72,'Base stats'!B:B,'Base stats'!AV:AV)+0.5,0.5))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stats'!AR:AR))*(AO72^0.5)+(_xlfn.XLOOKUP(B72,'Base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stats'!AQ:AQ)="No","No",MROUND((LOG10(_xlfn.XLOOKUP(B72,'Base stats'!B:B,'Base stats'!AQ:AQ))*(AO72^0.75)+(_xlfn.XLOOKUP(B72,'Base stats'!B:B,'Base stats'!AQ:AQ)/1000)^(2/3)+_xlfn.XLOOKUP(B72,'Base stats'!B:B,'Base stats'!AU:AU)+_xlfn.XLOOKUP(B72,'Base stats'!B:B,'Base stats'!AX:AX))+0.5,0.5))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stats'!AP:AP))*(AO72^0.75)+(_xlfn.XLOOKUP(B72,'Base stats'!B:B,'Base stats'!AP:AP)/1000)^(2/3)+_xlfn.XLOOKUP(B72,'Base stats'!B:B,'Base stats'!AV:AV)+_xlfn.XLOOKUP(B72,'Base stats'!B:B,'Base stats'!AX:AX))+0.5,0.5))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MAX(0.01,MROUND(IF(CB72="True",0.196*(AO72*100*1000)^0.889,IF(_xlfn.XLOOKUP(_xlfn.XLOOKUP(B72,'Base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stats'!AE:AE)</f>
        <v>No</v>
      </c>
      <c r="BB72" s="23" t="str">
        <f>_xlfn.XLOOKUP(_xlfn.XLOOKUP(B72,'Base stats'!B:B,'Base stats'!E:E),Groups!A:A,Groups!AL:AL)</f>
        <v>Bird</v>
      </c>
      <c r="BC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D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E72" s="2" t="str">
        <f>IF(J72&gt;0.3,"No",_xlfn.XLOOKUP(_xlfn.XLOOKUP(Animals!B72,'Base stats'!B:B,'Base stats'!E:E),Groups!A:A,Groups!AP:AP))</f>
        <v>No</v>
      </c>
      <c r="BF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+ 24*(1-IF(BE72="No",0,BE72)) + 16/3, 12),"No")</f>
        <v>No</v>
      </c>
      <c r="BG72" s="2">
        <f>IF(AND(_xlfn.XLOOKUP(_xlfn.XLOOKUP(B72,'Base stats'!B:B,'Base stats'!E:E),Groups!A:A,Groups!AQ:AQ)=1,AO72&lt;=0.35),8,12)</f>
        <v>8</v>
      </c>
      <c r="BH72" s="2" t="str">
        <f>IF(_xlfn.XLOOKUP(_xlfn.XLOOKUP(B72,'Base stats'!B:B,'Base stats'!E:E),Groups!A:A,Groups!D:D)=0,_xlfn.XLOOKUP(_xlfn.XLOOKUP(B72,'Base stats'!B:B,'Base stats'!E:E),Groups!A:A,Groups!AR:AR),"None")</f>
        <v>None</v>
      </c>
      <c r="BI72" s="2" t="str">
        <f>IF(AND(_xlfn.XLOOKUP(_xlfn.XLOOKUP(B72,'Base stats'!B:B,'Base stats'!E:E),Groups!A:A,Groups!AS:AS)=1,OR('Base stats'!Y72="Carnivore",'Base stats'!Y72="Omnivore")),"true","false")</f>
        <v>false</v>
      </c>
      <c r="BJ72" s="2" t="str">
        <f>IF(BI72="true",MROUND(IF(AND(AO72&gt;0.5,OR(_xlfn.XLOOKUP(_xlfn.XLOOKUP(B72,'Base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K72" s="2">
        <f t="shared" si="10"/>
        <v>0</v>
      </c>
      <c r="BL72" s="25" t="str">
        <f>IF(_xlfn.XLOOKUP(B72,'Base stats'!B:B,'Base stats'!AK:AK)="Standard","No",MROUND((_xlfn.XLOOKUP(B72,'Base stats'!B:B,'Base stats'!AK:AK)/3.6)/I72,0.1))</f>
        <v>No</v>
      </c>
      <c r="BM72" s="25" t="str">
        <f t="shared" si="11"/>
        <v>false</v>
      </c>
      <c r="BN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O72" s="25" t="str" cm="1">
        <f t="array" ref="BO72">IF(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 = "",
  "No",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
)</f>
        <v>No</v>
      </c>
      <c r="BP72" s="25" t="str">
        <f>IF(
   AND(
      'Base stats'!AK72="Standard",_xlfn.XLOOKUP(_xlfn.XLOOKUP(B72,'Base stats'!B:B,'Base stats'!E:E),Groups!A:A,Groups!AU:AU)=0,
      OR(
      BN72="True"
      )
   ),
   10,
   IF(
       OR(BL72&lt;&gt;"No",_xlfn.XLOOKUP(_xlfn.XLOOKUP(B72,'Base stats'!B:B,'Base stats'!E:E),Groups!A:A,Groups!AU:AU)=1),
      1,
      "No"
   )
)</f>
        <v>No</v>
      </c>
      <c r="BQ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stats'!AS:AS) * 1.8) * 2) * 2.5 + 10 + I72 * 2,5)+IF(_xlfn.XLOOKUP(B72,'Base stats'!B:B,'Base stats'!AH:AH)=1,50,0)</f>
        <v>30</v>
      </c>
      <c r="BR72" s="8">
        <f t="shared" si="12"/>
        <v>0.35000000000000003</v>
      </c>
      <c r="BS72" s="8" t="str">
        <f>_xlfn.XLOOKUP(B72,'Base stats'!B:B,'Base stats'!AD:AD)</f>
        <v>2~6</v>
      </c>
      <c r="BT72" s="2" t="str">
        <f>IF(AND(J72&lt;=0.95,OR(_xlfn.XLOOKUP(B72,'Base stats'!B:B,'Base stats'!AH:AH)=1,_xlfn.XLOOKUP(B72,'Base stats'!B:B,'Base stats'!Y:Y)="Carnivore",_xlfn.XLOOKUP(B72,'Base stats'!B:B,'Base stats'!Y:Y)="Omnivore",BD72&gt;0.1)),"true","false")</f>
        <v>false</v>
      </c>
      <c r="BU72" s="2" t="str">
        <f>IF(_xlfn.XLOOKUP(B72,'Base stats'!B:B,'Base stats'!AF:AF)=1,"true","false")</f>
        <v>false</v>
      </c>
      <c r="BV72" s="25" t="str">
        <f>IF(E72="BaseInsect","AnimalInsect",
IF(J72&gt;0.95,"AnimalExotic",
_xlfn.TEXTJOIN(", ",TRUE,
IF(OR(_xlfn.XLOOKUP(B72,'Base stats'!B:B,'Base stats'!AJ:AJ)=1,AND(_xlfn.XLOOKUP(B72,'Base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stats'!AH:AH)=1,AND(BH72&lt;&gt;"None",BQ72&gt;=60),ISNUMBER(SEARCH("Attack target",BO72))),"AnimalFighter","")
)))</f>
        <v>AnimalCommon</v>
      </c>
      <c r="BW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),_xlfn.XLOOKUP(B72,B:B,BW:BW))</f>
        <v>TropicalRainforest TropicalSwamp Glowforest</v>
      </c>
      <c r="BX72" s="25" t="str">
        <f>IF(_xlfn.XLOOKUP(B72,'Base stats'!B:B,'Base stats'!AG:AG)=1,"true","false")</f>
        <v>false</v>
      </c>
      <c r="BY72" s="25">
        <f>IF(_xlfn.XLOOKUP(B72,'Base stats'!B:B,'Base stats'!N:N)=1,"No",MAX(0.01,MIN(MROUND(IF(OR(_xlfn.XLOOKUP(B72,'Base stats'!B:B,'Base stats'!AJ:AJ)=1,AND(BI72="True",CB72="False")),POWER(10,3.47*LOG10(_xlfn.XLOOKUP(B72,'Base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stats'!AH:AH)=1),0.5,1)/100,0.025),1)))</f>
        <v>0.42500000000000004</v>
      </c>
      <c r="BZ72" s="25" t="str">
        <f>IF(P72="Standard","No",MAX(0.01,IF(_xlfn.XLOOKUP(B72,'Base stats'!B:B,'Base stats'!N:N)=0,MROUND(BY72*P72,0.05),MIN(1,MAX(0.025,MROUND(IF(OR(CB72="true",AND(BI72="false",BN72="false")),POWER(10,4.15*LOG10(_xlfn.XLOOKUP(B72,'Base stats'!B:B,'Base stats'!C:C)*1000)^-0.73),POWER(10,3.47*LOG10(_xlfn.XLOOKUP(B72,'Base stats'!B:B,'Base stats'!C:C)*1000)^-0.96))*IF(_xlfn.XLOOKUP(B72,'Base stats'!B:B,'Base stats'!AH:AH)=1,0.5,1)/100,0.025))))))</f>
        <v>No</v>
      </c>
      <c r="CA72" s="25" t="str">
        <f>IF(_xlfn.XLOOKUP(_xlfn.XLOOKUP(B72,'Base stats'!B:B,'Base stats'!E:E),Groups!A:A,Groups!AJ:AJ)="Mammal","True","False")</f>
        <v>False</v>
      </c>
      <c r="CB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C72" s="25" t="str">
        <f t="shared" si="13"/>
        <v>False</v>
      </c>
      <c r="CD72" s="25" t="str">
        <f>IF(_xlfn.XLOOKUP(_xlfn.XLOOKUP(B72,'Base stats'!B:B,'Base stats'!E:E),Groups!A:A,Groups!AX:AX),"True","False")</f>
        <v>False</v>
      </c>
      <c r="CE72" s="25" t="str">
        <f>IF(_xlfn.XLOOKUP(_xlfn.XLOOKUP(B72,'Base stats'!B:B,'Base stats'!E:E),Groups!A:A,Groups!AY:AY),"True","False")</f>
        <v>False</v>
      </c>
      <c r="CF72" s="25" t="str">
        <f>IF(_xlfn.XLOOKUP(_xlfn.XLOOKUP(B72,'Base stats'!B:B,'Base stats'!E:E),Groups!A:A,Groups!AW:AW),"True","False")</f>
        <v>False</v>
      </c>
      <c r="CG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H72" s="25" t="str">
        <f>IF(_xlfn.XLOOKUP(_xlfn.XLOOKUP(B72,'Base stats'!B:B,'Base stats'!E:E),Groups!A:A,Groups!BB:BB),"True","False")</f>
        <v>True</v>
      </c>
      <c r="CI72" s="25" t="str">
        <f>IF(_xlfn.XLOOKUP(_xlfn.XLOOKUP(B72,'Base stats'!B:B,'Base stats'!E:E),Groups!A:A,Groups!BA:BA),"True","False")</f>
        <v>False</v>
      </c>
    </row>
    <row r="73" spans="1:87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stats'!AI:AI)=0,BH73="None",_xlfn.XLOOKUP(_xlfn.XLOOKUP(B73,'Base stats'!B:B,'Base stats'!E:E),Groups!A:A,Groups!B:B)=0), (18 + BQ73 * 2.7) * 0.5,
    IF(AND(_xlfn.XLOOKUP(B73,'Base stats'!B:B,'Base stats'!AI:AI)=0,OR(AO73&lt;0.55,AND(BH73="Intermediate",_xlfn.XLOOKUP(_xlfn.XLOOKUP(B73,'Base stats'!B:B,'Base stats'!E:E),Groups!A:A,Groups!B:B)&lt;2))), (18 + BQ73 * 2.7),
      IF(OR(BH73="Advanced",_xlfn.XLOOKUP(B73,'Base stats'!B:B,'Base stats'!AI:AI)=1,_xlfn.XLOOKUP(_xlfn.XLOOKUP(B73,'Base stats'!B:B,'Base stats'!E:E),Groups!A:A,Groups!B:B)=2), (18 + BQ73 * 2.7) + 250, (18 + BQ73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IF(_xlfn.XLOOKUP(B73,'Base stats'!B:B,'Base stats'!AI:AI)=1,0.99,MIN(MROUND((1-0.6282*EXP(-0.459*AO73))*_xlfn.XLOOKUP(_xlfn.XLOOKUP(B73,'Base stats'!B:B,'Base stats'!E:E),Groups!A:A,Groups!C:C)*IF(_xlfn.XLOOKUP(B73,'Base stats'!B:B,'Base stats'!O:O)=1,0.5,IF(_xlfn.XLOOKUP(B73,'Base stats'!B:B,'Base stats'!O:O)=2,0,1)),0.05),0.985))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W73)),ISNUMBER(SEARCH("IceSheet",BW73))),-50,IF(OR(ISNUMBER(SEARCH("GlacialPlain",BW73)),ISNUMBER(SEARCH("Tundra",BW73))),-40,IF(OR(ISNUMBER(SEARCH("Alpine",BW73)),ISNUMBER(SEARCH("BorealForest",BW73)),ISNUMBER(SEARCH("ColdBog",BW73))),-30,IF(OR(ISNUMBER(SEARCH("TemperateForest",BW73)),ISNUMBER(SEARCH("TemperateSwamp",BW73))),-20,IF(_xlfn.XLOOKUP(_xlfn.XLOOKUP(B73,'Base stats'!B:B,'Base stats'!E:E),Groups!A:A,Groups!F:F)=1,-15,IF(OR(ISNUMBER(SEARCH("Desert",BW73)),ISNUMBER(SEARCH("ExtremeDesert",BW73))),-10,IF(OR(ISNUMBER(SEARCH("Grasslands",BW73)),ISNUMBER(SEARCH("TropicalRainforest",BW73)),ISNUMBER(SEARCH("TropicalSwamp",BW73))),10,0)))))))-IF(CB73="False",MIN(IFERROR(MAX(MROUND(LOG10(_xlfn.XLOOKUP(B73,'Base stats'!B:B,'Base stats'!C:C)^(2/3))*10,5),5),5),30))-_xlfn.XLOOKUP(B73,'Base stats'!B:B,'Base stats'!P:P)+IF(CB73="True",5,0)</f>
        <v>-15</v>
      </c>
      <c r="M73" s="2">
        <f>IF(OR(_xlfn.XLOOKUP(_xlfn.XLOOKUP(B73,'Base stats'!B:B,'Base stats'!E:E),Groups!A:A,Groups!G:G)=2,ISNUMBER(SEARCH("Desert",BW73)),ISNUMBER(SEARCH("ExtremeDesert",BW73)),ISNUMBER(SEARCH("LavaField",BW73))),50,IF(ISNUMBER(SEARCH("Grasslands",BW73)),45,IF(OR(_xlfn.XLOOKUP(_xlfn.XLOOKUP(B73,'Base stats'!B:B,'Base stats'!E:E),Groups!A:A,Groups!G:G)=1,ISNUMBER(SEARCH("TropicalRainforest",BW73)),ISNUMBER(SEARCH("TropicalSwamp",BW73))),40,IF(OR(ISNUMBER(SEARCH("TemperateForest",BW73)),ISNUMBER(SEARCH("TemperateSwamp",BW73))),35,IF(OR(ISNUMBER(SEARCH("Alpine",BW73)),ISNUMBER(SEARCH("BorealForest",BW73)),ISNUMBER(SEARCH("ColdBog",BW73))),30,IF(ISNUMBER(OR(ISNUMBER(SEARCH("GlacialPlain",BW73)),SEARCH("Tundra",BW73))),25,IF(OR(ISNUMBER(SEARCH("SeaIce",BW73)),ISNUMBER(SEARCH("IceSheet",BW73)),ISNUMBER(SEARCH("TropicalSwamp",BW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stats'!AO:AO))*(AO73^0.5)+(_xlfn.XLOOKUP(B73,'Base stats'!B:B,'Base stats'!AO:AO)/1000)^(2/3)+_xlfn.XLOOKUP(B73,'Base stats'!B:B,'Base stats'!AX:AX)/2)+0.5,0.5)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stats'!AP:AP))*(AO73^0.5)+(_xlfn.XLOOKUP(B73,'Base stats'!B:B,'Base stats'!AP:AP)/1000)^(2/3)+_xlfn.XLOOKUP(B73,'Base stats'!B:B,'Base stats'!AX:AX))+_xlfn.XLOOKUP(B73,'Base stats'!B:B,'Base stats'!AV:AV)+0.5,0.5))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stats'!AR:AR))*(AO73^0.5)+(_xlfn.XLOOKUP(B73,'Base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stats'!AQ:AQ)="No","No",MROUND((LOG10(_xlfn.XLOOKUP(B73,'Base stats'!B:B,'Base stats'!AQ:AQ))*(AO73^0.75)+(_xlfn.XLOOKUP(B73,'Base stats'!B:B,'Base stats'!AQ:AQ)/1000)^(2/3)+_xlfn.XLOOKUP(B73,'Base stats'!B:B,'Base stats'!AU:AU)+_xlfn.XLOOKUP(B73,'Base stats'!B:B,'Base stats'!AX:AX))+0.5,0.5))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stats'!AP:AP))*(AO73^0.75)+(_xlfn.XLOOKUP(B73,'Base stats'!B:B,'Base stats'!AP:AP)/1000)^(2/3)+_xlfn.XLOOKUP(B73,'Base stats'!B:B,'Base stats'!AV:AV)+_xlfn.XLOOKUP(B73,'Base stats'!B:B,'Base stats'!AX:AX))+0.5,0.5))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MAX(0.01,MROUND(IF(CB73="True",0.196*(AO73*100*1000)^0.889,IF(_xlfn.XLOOKUP(_xlfn.XLOOKUP(B73,'Base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stats'!AE:AE)</f>
        <v>No</v>
      </c>
      <c r="BB73" s="23" t="str">
        <f>_xlfn.XLOOKUP(_xlfn.XLOOKUP(B73,'Base stats'!B:B,'Base stats'!E:E),Groups!A:A,Groups!AL:AL)</f>
        <v>Bird</v>
      </c>
      <c r="BC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D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E73" s="2" t="str">
        <f>IF(J73&gt;0.3,"No",_xlfn.XLOOKUP(_xlfn.XLOOKUP(Animals!B73,'Base stats'!B:B,'Base stats'!E:E),Groups!A:A,Groups!AP:AP))</f>
        <v>No</v>
      </c>
      <c r="BF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+ 24*(1-IF(BE73="No",0,BE73)) + 16/3, 12),"No")</f>
        <v>No</v>
      </c>
      <c r="BG73" s="2">
        <f>IF(AND(_xlfn.XLOOKUP(_xlfn.XLOOKUP(B73,'Base stats'!B:B,'Base stats'!E:E),Groups!A:A,Groups!AQ:AQ)=1,AO73&lt;=0.35),8,12)</f>
        <v>8</v>
      </c>
      <c r="BH73" s="2" t="str">
        <f>IF(_xlfn.XLOOKUP(_xlfn.XLOOKUP(B73,'Base stats'!B:B,'Base stats'!E:E),Groups!A:A,Groups!D:D)=0,_xlfn.XLOOKUP(_xlfn.XLOOKUP(B73,'Base stats'!B:B,'Base stats'!E:E),Groups!A:A,Groups!AR:AR),"None")</f>
        <v>None</v>
      </c>
      <c r="BI73" s="2" t="str">
        <f>IF(AND(_xlfn.XLOOKUP(_xlfn.XLOOKUP(B73,'Base stats'!B:B,'Base stats'!E:E),Groups!A:A,Groups!AS:AS)=1,OR('Base stats'!Y73="Carnivore",'Base stats'!Y73="Omnivore")),"true","false")</f>
        <v>false</v>
      </c>
      <c r="BJ73" s="2" t="str">
        <f>IF(BI73="true",MROUND(IF(AND(AO73&gt;0.5,OR(_xlfn.XLOOKUP(_xlfn.XLOOKUP(B73,'Base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K73" s="2">
        <f t="shared" si="10"/>
        <v>0</v>
      </c>
      <c r="BL73" s="25" t="str">
        <f>IF(_xlfn.XLOOKUP(B73,'Base stats'!B:B,'Base stats'!AK:AK)="Standard","No",MROUND((_xlfn.XLOOKUP(B73,'Base stats'!B:B,'Base stats'!AK:AK)/3.6)/I73,0.1))</f>
        <v>No</v>
      </c>
      <c r="BM73" s="25" t="str">
        <f t="shared" si="11"/>
        <v>false</v>
      </c>
      <c r="BN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O73" s="25" t="str" cm="1">
        <f t="array" ref="BO73">IF(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 = "",
  "No",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
)</f>
        <v>No</v>
      </c>
      <c r="BP73" s="25" t="str">
        <f>IF(
   AND(
      'Base stats'!AK73="Standard",_xlfn.XLOOKUP(_xlfn.XLOOKUP(B73,'Base stats'!B:B,'Base stats'!E:E),Groups!A:A,Groups!AU:AU)=0,
      OR(
      BN73="True"
      )
   ),
   10,
   IF(
       OR(BL73&lt;&gt;"No",_xlfn.XLOOKUP(_xlfn.XLOOKUP(B73,'Base stats'!B:B,'Base stats'!E:E),Groups!A:A,Groups!AU:AU)=1),
      1,
      "No"
   )
)</f>
        <v>No</v>
      </c>
      <c r="BQ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stats'!AS:AS) * 1.8) * 2) * 2.5 + 10 + I73 * 2,5)+IF(_xlfn.XLOOKUP(B73,'Base stats'!B:B,'Base stats'!AH:AH)=1,50,0)</f>
        <v>30</v>
      </c>
      <c r="BR73" s="8">
        <f t="shared" si="12"/>
        <v>0.35000000000000003</v>
      </c>
      <c r="BS73" s="8" t="str">
        <f>_xlfn.XLOOKUP(B73,'Base stats'!B:B,'Base stats'!AD:AD)</f>
        <v>No</v>
      </c>
      <c r="BT73" s="2" t="str">
        <f>IF(AND(J73&lt;=0.95,OR(_xlfn.XLOOKUP(B73,'Base stats'!B:B,'Base stats'!AH:AH)=1,_xlfn.XLOOKUP(B73,'Base stats'!B:B,'Base stats'!Y:Y)="Carnivore",_xlfn.XLOOKUP(B73,'Base stats'!B:B,'Base stats'!Y:Y)="Omnivore",BD73&gt;0.1)),"true","false")</f>
        <v>true</v>
      </c>
      <c r="BU73" s="2" t="str">
        <f>IF(_xlfn.XLOOKUP(B73,'Base stats'!B:B,'Base stats'!AF:AF)=1,"true","false")</f>
        <v>false</v>
      </c>
      <c r="BV73" s="25" t="str">
        <f>IF(E73="BaseInsect","AnimalInsect",
IF(J73&gt;0.95,"AnimalExotic",
_xlfn.TEXTJOIN(", ",TRUE,
IF(OR(_xlfn.XLOOKUP(B73,'Base stats'!B:B,'Base stats'!AJ:AJ)=1,AND(_xlfn.XLOOKUP(B73,'Base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stats'!AH:AH)=1,AND(BH73&lt;&gt;"None",BQ73&gt;=60),ISNUMBER(SEARCH("Attack target",BO73))),"AnimalFighter","")
)))</f>
        <v>AnimalUncommon</v>
      </c>
      <c r="BW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),_xlfn.XLOOKUP(B73,B:B,BW:BW))</f>
        <v>AridShrubland Desert ExtremeDesert Grasslands LavaField</v>
      </c>
      <c r="BX73" s="25" t="str">
        <f>IF(_xlfn.XLOOKUP(B73,'Base stats'!B:B,'Base stats'!AG:AG)=1,"true","false")</f>
        <v>false</v>
      </c>
      <c r="BY73" s="25">
        <f>IF(_xlfn.XLOOKUP(B73,'Base stats'!B:B,'Base stats'!N:N)=1,"No",MAX(0.01,MIN(MROUND(IF(OR(_xlfn.XLOOKUP(B73,'Base stats'!B:B,'Base stats'!AJ:AJ)=1,AND(BI73="True",CB73="False")),POWER(10,3.47*LOG10(_xlfn.XLOOKUP(B73,'Base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stats'!AH:AH)=1),0.5,1)/100,0.025),1)))</f>
        <v>0.375</v>
      </c>
      <c r="BZ73" s="25" t="str">
        <f>IF(P73="Standard","No",MAX(0.01,IF(_xlfn.XLOOKUP(B73,'Base stats'!B:B,'Base stats'!N:N)=0,MROUND(BY73*P73,0.05),MIN(1,MAX(0.025,MROUND(IF(OR(CB73="true",AND(BI73="false",BN73="false")),POWER(10,4.15*LOG10(_xlfn.XLOOKUP(B73,'Base stats'!B:B,'Base stats'!C:C)*1000)^-0.73),POWER(10,3.47*LOG10(_xlfn.XLOOKUP(B73,'Base stats'!B:B,'Base stats'!C:C)*1000)^-0.96))*IF(_xlfn.XLOOKUP(B73,'Base stats'!B:B,'Base stats'!AH:AH)=1,0.5,1)/100,0.025))))))</f>
        <v>No</v>
      </c>
      <c r="CA73" s="25" t="str">
        <f>IF(_xlfn.XLOOKUP(_xlfn.XLOOKUP(B73,'Base stats'!B:B,'Base stats'!E:E),Groups!A:A,Groups!AJ:AJ)="Mammal","True","False")</f>
        <v>False</v>
      </c>
      <c r="CB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C73" s="25" t="str">
        <f t="shared" si="13"/>
        <v>False</v>
      </c>
      <c r="CD73" s="25" t="str">
        <f>IF(_xlfn.XLOOKUP(_xlfn.XLOOKUP(B73,'Base stats'!B:B,'Base stats'!E:E),Groups!A:A,Groups!AX:AX),"True","False")</f>
        <v>False</v>
      </c>
      <c r="CE73" s="25" t="str">
        <f>IF(_xlfn.XLOOKUP(_xlfn.XLOOKUP(B73,'Base stats'!B:B,'Base stats'!E:E),Groups!A:A,Groups!AY:AY),"True","False")</f>
        <v>False</v>
      </c>
      <c r="CF73" s="25" t="str">
        <f>IF(_xlfn.XLOOKUP(_xlfn.XLOOKUP(B73,'Base stats'!B:B,'Base stats'!E:E),Groups!A:A,Groups!AW:AW),"True","False")</f>
        <v>False</v>
      </c>
      <c r="CG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H73" s="25" t="str">
        <f>IF(_xlfn.XLOOKUP(_xlfn.XLOOKUP(B73,'Base stats'!B:B,'Base stats'!E:E),Groups!A:A,Groups!BB:BB),"True","False")</f>
        <v>True</v>
      </c>
      <c r="CI73" s="25" t="str">
        <f>IF(_xlfn.XLOOKUP(_xlfn.XLOOKUP(B73,'Base stats'!B:B,'Base stats'!E:E),Groups!A:A,Groups!BA:BA),"True","False")</f>
        <v>False</v>
      </c>
    </row>
    <row r="74" spans="1:87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stats'!AI:AI)=0,BH74="None",_xlfn.XLOOKUP(_xlfn.XLOOKUP(B74,'Base stats'!B:B,'Base stats'!E:E),Groups!A:A,Groups!B:B)=0), (18 + BQ74 * 2.7) * 0.5,
    IF(AND(_xlfn.XLOOKUP(B74,'Base stats'!B:B,'Base stats'!AI:AI)=0,OR(AO74&lt;0.55,AND(BH74="Intermediate",_xlfn.XLOOKUP(_xlfn.XLOOKUP(B74,'Base stats'!B:B,'Base stats'!E:E),Groups!A:A,Groups!B:B)&lt;2))), (18 + BQ74 * 2.7),
      IF(OR(BH74="Advanced",_xlfn.XLOOKUP(B74,'Base stats'!B:B,'Base stats'!AI:AI)=1,_xlfn.XLOOKUP(_xlfn.XLOOKUP(B74,'Base stats'!B:B,'Base stats'!E:E),Groups!A:A,Groups!B:B)=2), (18 + BQ74 * 2.7) + 250, (18 + BQ74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IF(_xlfn.XLOOKUP(B74,'Base stats'!B:B,'Base stats'!AI:AI)=1,0.99,MIN(MROUND((1-0.6282*EXP(-0.459*AO74))*_xlfn.XLOOKUP(_xlfn.XLOOKUP(B74,'Base stats'!B:B,'Base stats'!E:E),Groups!A:A,Groups!C:C)*IF(_xlfn.XLOOKUP(B74,'Base stats'!B:B,'Base stats'!O:O)=1,0.5,IF(_xlfn.XLOOKUP(B74,'Base stats'!B:B,'Base stats'!O:O)=2,0,1)),0.05),0.985))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W74)),ISNUMBER(SEARCH("IceSheet",BW74))),-50,IF(OR(ISNUMBER(SEARCH("GlacialPlain",BW74)),ISNUMBER(SEARCH("Tundra",BW74))),-40,IF(OR(ISNUMBER(SEARCH("Alpine",BW74)),ISNUMBER(SEARCH("BorealForest",BW74)),ISNUMBER(SEARCH("ColdBog",BW74))),-30,IF(OR(ISNUMBER(SEARCH("TemperateForest",BW74)),ISNUMBER(SEARCH("TemperateSwamp",BW74))),-20,IF(_xlfn.XLOOKUP(_xlfn.XLOOKUP(B74,'Base stats'!B:B,'Base stats'!E:E),Groups!A:A,Groups!F:F)=1,-15,IF(OR(ISNUMBER(SEARCH("Desert",BW74)),ISNUMBER(SEARCH("ExtremeDesert",BW74))),-10,IF(OR(ISNUMBER(SEARCH("Grasslands",BW74)),ISNUMBER(SEARCH("TropicalRainforest",BW74)),ISNUMBER(SEARCH("TropicalSwamp",BW74))),10,0)))))))-IF(CB74="False",MIN(IFERROR(MAX(MROUND(LOG10(_xlfn.XLOOKUP(B74,'Base stats'!B:B,'Base stats'!C:C)^(2/3))*10,5),5),5),30))-_xlfn.XLOOKUP(B74,'Base stats'!B:B,'Base stats'!P:P)+IF(CB74="True",5,0)</f>
        <v>-30</v>
      </c>
      <c r="M74" s="2">
        <f>IF(OR(_xlfn.XLOOKUP(_xlfn.XLOOKUP(B74,'Base stats'!B:B,'Base stats'!E:E),Groups!A:A,Groups!G:G)=2,ISNUMBER(SEARCH("Desert",BW74)),ISNUMBER(SEARCH("ExtremeDesert",BW74)),ISNUMBER(SEARCH("LavaField",BW74))),50,IF(ISNUMBER(SEARCH("Grasslands",BW74)),45,IF(OR(_xlfn.XLOOKUP(_xlfn.XLOOKUP(B74,'Base stats'!B:B,'Base stats'!E:E),Groups!A:A,Groups!G:G)=1,ISNUMBER(SEARCH("TropicalRainforest",BW74)),ISNUMBER(SEARCH("TropicalSwamp",BW74))),40,IF(OR(ISNUMBER(SEARCH("TemperateForest",BW74)),ISNUMBER(SEARCH("TemperateSwamp",BW74))),35,IF(OR(ISNUMBER(SEARCH("Alpine",BW74)),ISNUMBER(SEARCH("BorealForest",BW74)),ISNUMBER(SEARCH("ColdBog",BW74))),30,IF(ISNUMBER(OR(ISNUMBER(SEARCH("GlacialPlain",BW74)),SEARCH("Tundra",BW74))),25,IF(OR(ISNUMBER(SEARCH("SeaIce",BW74)),ISNUMBER(SEARCH("IceSheet",BW74)),ISNUMBER(SEARCH("TropicalSwamp",BW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stats'!AO:AO))*(AO74^0.5)+(_xlfn.XLOOKUP(B74,'Base stats'!B:B,'Base stats'!AO:AO)/1000)^(2/3)+_xlfn.XLOOKUP(B74,'Base stats'!B:B,'Base stats'!AX:AX)/2)+0.5,0.5)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stats'!AP:AP))*(AO74^0.5)+(_xlfn.XLOOKUP(B74,'Base stats'!B:B,'Base stats'!AP:AP)/1000)^(2/3)+_xlfn.XLOOKUP(B74,'Base stats'!B:B,'Base stats'!AX:AX))+_xlfn.XLOOKUP(B74,'Base stats'!B:B,'Base stats'!AV:AV)+0.5,0.5))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stats'!AR:AR))*(AO74^0.5)+(_xlfn.XLOOKUP(B74,'Base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stats'!AQ:AQ)="No","No",MROUND((LOG10(_xlfn.XLOOKUP(B74,'Base stats'!B:B,'Base stats'!AQ:AQ))*(AO74^0.75)+(_xlfn.XLOOKUP(B74,'Base stats'!B:B,'Base stats'!AQ:AQ)/1000)^(2/3)+_xlfn.XLOOKUP(B74,'Base stats'!B:B,'Base stats'!AU:AU)+_xlfn.XLOOKUP(B74,'Base stats'!B:B,'Base stats'!AX:AX))+0.5,0.5))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stats'!AP:AP))*(AO74^0.75)+(_xlfn.XLOOKUP(B74,'Base stats'!B:B,'Base stats'!AP:AP)/1000)^(2/3)+_xlfn.XLOOKUP(B74,'Base stats'!B:B,'Base stats'!AV:AV)+_xlfn.XLOOKUP(B74,'Base stats'!B:B,'Base stats'!AX:AX))+0.5,0.5))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MAX(0.01,MROUND(IF(CB74="True",0.196*(AO74*100*1000)^0.889,IF(_xlfn.XLOOKUP(_xlfn.XLOOKUP(B74,'Base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stats'!AE:AE)</f>
        <v>Leather_Panthera</v>
      </c>
      <c r="BB74" s="23" t="str">
        <f>_xlfn.XLOOKUP(_xlfn.XLOOKUP(B74,'Base stats'!B:B,'Base stats'!E:E),Groups!A:A,Groups!AL:AL)</f>
        <v>QuadrupedAnimalWithPawsAndTail</v>
      </c>
      <c r="BC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D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E74" s="2" t="str">
        <f>IF(J74&gt;0.3,"No",_xlfn.XLOOKUP(_xlfn.XLOOKUP(Animals!B74,'Base stats'!B:B,'Base stats'!E:E),Groups!A:A,Groups!AP:AP))</f>
        <v>No</v>
      </c>
      <c r="BF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+ 24*(1-IF(BE74="No",0,BE74)) + 16/3, 12),"No")</f>
        <v>No</v>
      </c>
      <c r="BG74" s="2">
        <f>IF(AND(_xlfn.XLOOKUP(_xlfn.XLOOKUP(B74,'Base stats'!B:B,'Base stats'!E:E),Groups!A:A,Groups!AQ:AQ)=1,AO74&lt;=0.35),8,12)</f>
        <v>12</v>
      </c>
      <c r="BH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I74" s="2" t="str">
        <f>IF(AND(_xlfn.XLOOKUP(_xlfn.XLOOKUP(B74,'Base stats'!B:B,'Base stats'!E:E),Groups!A:A,Groups!AS:AS)=1,OR('Base stats'!Y74="Carnivore",'Base stats'!Y74="Omnivore")),"true","false")</f>
        <v>true</v>
      </c>
      <c r="BJ74" s="2">
        <f>IF(BI74="true",MROUND(IF(AND(AO74&gt;0.5,OR(_xlfn.XLOOKUP(_xlfn.XLOOKUP(B74,'Base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K74" s="2">
        <f t="shared" si="10"/>
        <v>1</v>
      </c>
      <c r="BL74" s="25" t="str">
        <f>IF(_xlfn.XLOOKUP(B74,'Base stats'!B:B,'Base stats'!AK:AK)="Standard","No",MROUND((_xlfn.XLOOKUP(B74,'Base stats'!B:B,'Base stats'!AK:AK)/3.6)/I74,0.1))</f>
        <v>No</v>
      </c>
      <c r="BM74" s="25" t="str">
        <f t="shared" si="11"/>
        <v>false</v>
      </c>
      <c r="BN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O74" s="25" t="str" cm="1">
        <f t="array" ref="BO74">IF(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 = "",
  "No",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
)</f>
        <v>AttackTarget</v>
      </c>
      <c r="BP74" s="25">
        <f>IF(
   AND(
      'Base stats'!AK74="Standard",_xlfn.XLOOKUP(_xlfn.XLOOKUP(B74,'Base stats'!B:B,'Base stats'!E:E),Groups!A:A,Groups!AU:AU)=0,
      OR(
      BN74="True"
      )
   ),
   10,
   IF(
       OR(BL74&lt;&gt;"No",_xlfn.XLOOKUP(_xlfn.XLOOKUP(B74,'Base stats'!B:B,'Base stats'!E:E),Groups!A:A,Groups!AU:AU)=1),
      1,
      "No"
   )
)</f>
        <v>10</v>
      </c>
      <c r="BQ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stats'!AS:AS) * 1.8) * 2) * 2.5 + 10 + I74 * 2,5)+IF(_xlfn.XLOOKUP(B74,'Base stats'!B:B,'Base stats'!AH:AH)=1,50,0)</f>
        <v>210</v>
      </c>
      <c r="BR74" s="8">
        <f t="shared" si="12"/>
        <v>1</v>
      </c>
      <c r="BS74" s="8" t="str">
        <f>_xlfn.XLOOKUP(B74,'Base stats'!B:B,'Base stats'!AD:AD)</f>
        <v>No</v>
      </c>
      <c r="BT74" s="2" t="str">
        <f>IF(AND(J74&lt;=0.95,OR(_xlfn.XLOOKUP(B74,'Base stats'!B:B,'Base stats'!AH:AH)=1,_xlfn.XLOOKUP(B74,'Base stats'!B:B,'Base stats'!Y:Y)="Carnivore",_xlfn.XLOOKUP(B74,'Base stats'!B:B,'Base stats'!Y:Y)="Omnivore",BD74&gt;0.1)),"true","false")</f>
        <v>true</v>
      </c>
      <c r="BU74" s="2" t="str">
        <f>IF(_xlfn.XLOOKUP(B74,'Base stats'!B:B,'Base stats'!AF:AF)=1,"true","false")</f>
        <v>false</v>
      </c>
      <c r="BV74" s="25" t="str">
        <f>IF(E74="BaseInsect","AnimalInsect",
IF(J74&gt;0.95,"AnimalExotic",
_xlfn.TEXTJOIN(", ",TRUE,
IF(OR(_xlfn.XLOOKUP(B74,'Base stats'!B:B,'Base stats'!AJ:AJ)=1,AND(_xlfn.XLOOKUP(B74,'Base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stats'!AH:AH)=1,AND(BH74&lt;&gt;"None",BQ74&gt;=60),ISNUMBER(SEARCH("Attack target",BO74))),"AnimalFighter","")
)))</f>
        <v>AnimalUncommon, AnimalFighter</v>
      </c>
      <c r="BW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),_xlfn.XLOOKUP(B74,B:B,BW:BW))</f>
        <v>TropicalRainforest TropicalSwamp Glowforest</v>
      </c>
      <c r="BX74" s="25" t="str">
        <f>IF(_xlfn.XLOOKUP(B74,'Base stats'!B:B,'Base stats'!AG:AG)=1,"true","false")</f>
        <v>false</v>
      </c>
      <c r="BY74" s="25">
        <f>IF(_xlfn.XLOOKUP(B74,'Base stats'!B:B,'Base stats'!N:N)=1,"No",MAX(0.01,MIN(MROUND(IF(OR(_xlfn.XLOOKUP(B74,'Base stats'!B:B,'Base stats'!AJ:AJ)=1,AND(BI74="True",CB74="False")),POWER(10,3.47*LOG10(_xlfn.XLOOKUP(B74,'Base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stats'!AH:AH)=1),0.5,1)/100,0.025),1)))</f>
        <v>0.05</v>
      </c>
      <c r="BZ74" s="25" t="str">
        <f>IF(P74="Standard","No",MAX(0.01,IF(_xlfn.XLOOKUP(B74,'Base stats'!B:B,'Base stats'!N:N)=0,MROUND(BY74*P74,0.05),MIN(1,MAX(0.025,MROUND(IF(OR(CB74="true",AND(BI74="false",BN74="false")),POWER(10,4.15*LOG10(_xlfn.XLOOKUP(B74,'Base stats'!B:B,'Base stats'!C:C)*1000)^-0.73),POWER(10,3.47*LOG10(_xlfn.XLOOKUP(B74,'Base stats'!B:B,'Base stats'!C:C)*1000)^-0.96))*IF(_xlfn.XLOOKUP(B74,'Base stats'!B:B,'Base stats'!AH:AH)=1,0.5,1)/100,0.025))))))</f>
        <v>No</v>
      </c>
      <c r="CA74" s="25" t="str">
        <f>IF(_xlfn.XLOOKUP(_xlfn.XLOOKUP(B74,'Base stats'!B:B,'Base stats'!E:E),Groups!A:A,Groups!AJ:AJ)="Mammal","True","False")</f>
        <v>True</v>
      </c>
      <c r="CB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C74" s="25" t="str">
        <f t="shared" si="13"/>
        <v>False</v>
      </c>
      <c r="CD74" s="25" t="str">
        <f>IF(_xlfn.XLOOKUP(_xlfn.XLOOKUP(B74,'Base stats'!B:B,'Base stats'!E:E),Groups!A:A,Groups!AX:AX),"True","False")</f>
        <v>False</v>
      </c>
      <c r="CE74" s="25" t="str">
        <f>IF(_xlfn.XLOOKUP(_xlfn.XLOOKUP(B74,'Base stats'!B:B,'Base stats'!E:E),Groups!A:A,Groups!AY:AY),"True","False")</f>
        <v>False</v>
      </c>
      <c r="CF74" s="25" t="str">
        <f>IF(_xlfn.XLOOKUP(_xlfn.XLOOKUP(B74,'Base stats'!B:B,'Base stats'!E:E),Groups!A:A,Groups!AW:AW),"True","False")</f>
        <v>False</v>
      </c>
      <c r="CG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H74" s="25" t="str">
        <f>IF(_xlfn.XLOOKUP(_xlfn.XLOOKUP(B74,'Base stats'!B:B,'Base stats'!E:E),Groups!A:A,Groups!BB:BB),"True","False")</f>
        <v>True</v>
      </c>
      <c r="CI74" s="25" t="str">
        <f>IF(_xlfn.XLOOKUP(_xlfn.XLOOKUP(B74,'Base stats'!B:B,'Base stats'!E:E),Groups!A:A,Groups!BA:BA),"True","False")</f>
        <v>False</v>
      </c>
    </row>
    <row r="75" spans="1:87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stats'!AI:AI)=0,BH75="None",_xlfn.XLOOKUP(_xlfn.XLOOKUP(B75,'Base stats'!B:B,'Base stats'!E:E),Groups!A:A,Groups!B:B)=0), (18 + BQ75 * 2.7) * 0.5,
    IF(AND(_xlfn.XLOOKUP(B75,'Base stats'!B:B,'Base stats'!AI:AI)=0,OR(AO75&lt;0.55,AND(BH75="Intermediate",_xlfn.XLOOKUP(_xlfn.XLOOKUP(B75,'Base stats'!B:B,'Base stats'!E:E),Groups!A:A,Groups!B:B)&lt;2))), (18 + BQ75 * 2.7),
      IF(OR(BH75="Advanced",_xlfn.XLOOKUP(B75,'Base stats'!B:B,'Base stats'!AI:AI)=1,_xlfn.XLOOKUP(_xlfn.XLOOKUP(B75,'Base stats'!B:B,'Base stats'!E:E),Groups!A:A,Groups!B:B)=2), (18 + BQ75 * 2.7) + 250, (18 + BQ75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IF(_xlfn.XLOOKUP(B75,'Base stats'!B:B,'Base stats'!AI:AI)=1,0.99,MIN(MROUND((1-0.6282*EXP(-0.459*AO75))*_xlfn.XLOOKUP(_xlfn.XLOOKUP(B75,'Base stats'!B:B,'Base stats'!E:E),Groups!A:A,Groups!C:C)*IF(_xlfn.XLOOKUP(B75,'Base stats'!B:B,'Base stats'!O:O)=1,0.5,IF(_xlfn.XLOOKUP(B75,'Base stats'!B:B,'Base stats'!O:O)=2,0,1)),0.05),0.985))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W75)),ISNUMBER(SEARCH("IceSheet",BW75))),-50,IF(OR(ISNUMBER(SEARCH("GlacialPlain",BW75)),ISNUMBER(SEARCH("Tundra",BW75))),-40,IF(OR(ISNUMBER(SEARCH("Alpine",BW75)),ISNUMBER(SEARCH("BorealForest",BW75)),ISNUMBER(SEARCH("ColdBog",BW75))),-30,IF(OR(ISNUMBER(SEARCH("TemperateForest",BW75)),ISNUMBER(SEARCH("TemperateSwamp",BW75))),-20,IF(_xlfn.XLOOKUP(_xlfn.XLOOKUP(B75,'Base stats'!B:B,'Base stats'!E:E),Groups!A:A,Groups!F:F)=1,-15,IF(OR(ISNUMBER(SEARCH("Desert",BW75)),ISNUMBER(SEARCH("ExtremeDesert",BW75))),-10,IF(OR(ISNUMBER(SEARCH("Grasslands",BW75)),ISNUMBER(SEARCH("TropicalRainforest",BW75)),ISNUMBER(SEARCH("TropicalSwamp",BW75))),10,0)))))))-IF(CB75="False",MIN(IFERROR(MAX(MROUND(LOG10(_xlfn.XLOOKUP(B75,'Base stats'!B:B,'Base stats'!C:C)^(2/3))*10,5),5),5),30))-_xlfn.XLOOKUP(B75,'Base stats'!B:B,'Base stats'!P:P)+IF(CB75="True",5,0)</f>
        <v>-55</v>
      </c>
      <c r="M75" s="2">
        <f>IF(OR(_xlfn.XLOOKUP(_xlfn.XLOOKUP(B75,'Base stats'!B:B,'Base stats'!E:E),Groups!A:A,Groups!G:G)=2,ISNUMBER(SEARCH("Desert",BW75)),ISNUMBER(SEARCH("ExtremeDesert",BW75)),ISNUMBER(SEARCH("LavaField",BW75))),50,IF(ISNUMBER(SEARCH("Grasslands",BW75)),45,IF(OR(_xlfn.XLOOKUP(_xlfn.XLOOKUP(B75,'Base stats'!B:B,'Base stats'!E:E),Groups!A:A,Groups!G:G)=1,ISNUMBER(SEARCH("TropicalRainforest",BW75)),ISNUMBER(SEARCH("TropicalSwamp",BW75))),40,IF(OR(ISNUMBER(SEARCH("TemperateForest",BW75)),ISNUMBER(SEARCH("TemperateSwamp",BW75))),35,IF(OR(ISNUMBER(SEARCH("Alpine",BW75)),ISNUMBER(SEARCH("BorealForest",BW75)),ISNUMBER(SEARCH("ColdBog",BW75))),30,IF(ISNUMBER(OR(ISNUMBER(SEARCH("GlacialPlain",BW75)),SEARCH("Tundra",BW75))),25,IF(OR(ISNUMBER(SEARCH("SeaIce",BW75)),ISNUMBER(SEARCH("IceSheet",BW75)),ISNUMBER(SEARCH("TropicalSwamp",BW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stats'!AO:AO))*(AO75^0.5)+(_xlfn.XLOOKUP(B75,'Base stats'!B:B,'Base stats'!AO:AO)/1000)^(2/3)+_xlfn.XLOOKUP(B75,'Base stats'!B:B,'Base stats'!AX:AX)/2)+0.5,0.5)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stats'!AP:AP))*(AO75^0.5)+(_xlfn.XLOOKUP(B75,'Base stats'!B:B,'Base stats'!AP:AP)/1000)^(2/3)+_xlfn.XLOOKUP(B75,'Base stats'!B:B,'Base stats'!AX:AX))+_xlfn.XLOOKUP(B75,'Base stats'!B:B,'Base stats'!AV:AV)+0.5,0.5))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stats'!AR:AR))*(AO75^0.5)+(_xlfn.XLOOKUP(B75,'Base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stats'!AQ:AQ)="No","No",MROUND((LOG10(_xlfn.XLOOKUP(B75,'Base stats'!B:B,'Base stats'!AQ:AQ))*(AO75^0.75)+(_xlfn.XLOOKUP(B75,'Base stats'!B:B,'Base stats'!AQ:AQ)/1000)^(2/3)+_xlfn.XLOOKUP(B75,'Base stats'!B:B,'Base stats'!AU:AU)+_xlfn.XLOOKUP(B75,'Base stats'!B:B,'Base stats'!AX:AX))+0.5,0.5))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stats'!AP:AP))*(AO75^0.75)+(_xlfn.XLOOKUP(B75,'Base stats'!B:B,'Base stats'!AP:AP)/1000)^(2/3)+_xlfn.XLOOKUP(B75,'Base stats'!B:B,'Base stats'!AV:AV)+_xlfn.XLOOKUP(B75,'Base stats'!B:B,'Base stats'!AX:AX))+0.5,0.5))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MAX(0.01,MROUND(IF(CB75="True",0.196*(AO75*100*1000)^0.889,IF(_xlfn.XLOOKUP(_xlfn.XLOOKUP(B75,'Base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stats'!AE:AE)</f>
        <v>Leather_Panthera</v>
      </c>
      <c r="BB75" s="23" t="str">
        <f>_xlfn.XLOOKUP(_xlfn.XLOOKUP(B75,'Base stats'!B:B,'Base stats'!E:E),Groups!A:A,Groups!AL:AL)</f>
        <v>QuadrupedAnimalWithPawsAndTail</v>
      </c>
      <c r="BC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D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E75" s="2" t="str">
        <f>IF(J75&gt;0.3,"No",_xlfn.XLOOKUP(_xlfn.XLOOKUP(Animals!B75,'Base stats'!B:B,'Base stats'!E:E),Groups!A:A,Groups!AP:AP))</f>
        <v>No</v>
      </c>
      <c r="BF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+ 24*(1-IF(BE75="No",0,BE75)) + 16/3, 12),"No")</f>
        <v>No</v>
      </c>
      <c r="BG75" s="2">
        <f>IF(AND(_xlfn.XLOOKUP(_xlfn.XLOOKUP(B75,'Base stats'!B:B,'Base stats'!E:E),Groups!A:A,Groups!AQ:AQ)=1,AO75&lt;=0.35),8,12)</f>
        <v>12</v>
      </c>
      <c r="BH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I75" s="2" t="str">
        <f>IF(AND(_xlfn.XLOOKUP(_xlfn.XLOOKUP(B75,'Base stats'!B:B,'Base stats'!E:E),Groups!A:A,Groups!AS:AS)=1,OR('Base stats'!Y75="Carnivore",'Base stats'!Y75="Omnivore")),"true","false")</f>
        <v>true</v>
      </c>
      <c r="BJ75" s="2">
        <f>IF(BI75="true",MROUND(IF(AND(AO75&gt;0.5,OR(_xlfn.XLOOKUP(_xlfn.XLOOKUP(B75,'Base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K75" s="2">
        <f t="shared" si="10"/>
        <v>1</v>
      </c>
      <c r="BL75" s="25" t="str">
        <f>IF(_xlfn.XLOOKUP(B75,'Base stats'!B:B,'Base stats'!AK:AK)="Standard","No",MROUND((_xlfn.XLOOKUP(B75,'Base stats'!B:B,'Base stats'!AK:AK)/3.6)/I75,0.1))</f>
        <v>No</v>
      </c>
      <c r="BM75" s="25" t="str">
        <f t="shared" si="11"/>
        <v>false</v>
      </c>
      <c r="BN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O75" s="25" t="str" cm="1">
        <f t="array" ref="BO75">IF(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 = "",
  "No",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
)</f>
        <v>AttackTarget</v>
      </c>
      <c r="BP75" s="25" t="str">
        <f>IF(
   AND(
      'Base stats'!AK75="Standard",_xlfn.XLOOKUP(_xlfn.XLOOKUP(B75,'Base stats'!B:B,'Base stats'!E:E),Groups!A:A,Groups!AU:AU)=0,
      OR(
      BN75="True"
      )
   ),
   10,
   IF(
       OR(BL75&lt;&gt;"No",_xlfn.XLOOKUP(_xlfn.XLOOKUP(B75,'Base stats'!B:B,'Base stats'!E:E),Groups!A:A,Groups!AU:AU)=1),
      1,
      "No"
   )
)</f>
        <v>No</v>
      </c>
      <c r="BQ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stats'!AS:AS) * 1.8) * 2) * 2.5 + 10 + I75 * 2,5)+IF(_xlfn.XLOOKUP(B75,'Base stats'!B:B,'Base stats'!AH:AH)=1,50,0)</f>
        <v>230</v>
      </c>
      <c r="BR75" s="8">
        <f t="shared" si="12"/>
        <v>1.05</v>
      </c>
      <c r="BS75" s="8" t="str">
        <f>_xlfn.XLOOKUP(B75,'Base stats'!B:B,'Base stats'!AD:AD)</f>
        <v>1~3</v>
      </c>
      <c r="BT75" s="2" t="str">
        <f>IF(AND(J75&lt;=0.95,OR(_xlfn.XLOOKUP(B75,'Base stats'!B:B,'Base stats'!AH:AH)=1,_xlfn.XLOOKUP(B75,'Base stats'!B:B,'Base stats'!Y:Y)="Carnivore",_xlfn.XLOOKUP(B75,'Base stats'!B:B,'Base stats'!Y:Y)="Omnivore",BD75&gt;0.1)),"true","false")</f>
        <v>true</v>
      </c>
      <c r="BU75" s="2" t="str">
        <f>IF(_xlfn.XLOOKUP(B75,'Base stats'!B:B,'Base stats'!AF:AF)=1,"true","false")</f>
        <v>false</v>
      </c>
      <c r="BV75" s="25" t="str">
        <f>IF(E75="BaseInsect","AnimalInsect",
IF(J75&gt;0.95,"AnimalExotic",
_xlfn.TEXTJOIN(", ",TRUE,
IF(OR(_xlfn.XLOOKUP(B75,'Base stats'!B:B,'Base stats'!AJ:AJ)=1,AND(_xlfn.XLOOKUP(B75,'Base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stats'!AH:AH)=1,AND(BH75&lt;&gt;"None",BQ75&gt;=60),ISNUMBER(SEARCH("Attack target",BO75))),"AnimalFighter","")
)))</f>
        <v>AnimalUncommon, AnimalFighter</v>
      </c>
      <c r="BW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),_xlfn.XLOOKUP(B75,B:B,BW:BW))</f>
        <v>GlacialPlain</v>
      </c>
      <c r="BX75" s="25" t="str">
        <f>IF(_xlfn.XLOOKUP(B75,'Base stats'!B:B,'Base stats'!AG:AG)=1,"true","false")</f>
        <v>false</v>
      </c>
      <c r="BY75" s="25">
        <f>IF(_xlfn.XLOOKUP(B75,'Base stats'!B:B,'Base stats'!N:N)=1,"No",MAX(0.01,MIN(MROUND(IF(OR(_xlfn.XLOOKUP(B75,'Base stats'!B:B,'Base stats'!AJ:AJ)=1,AND(BI75="True",CB75="False")),POWER(10,3.47*LOG10(_xlfn.XLOOKUP(B75,'Base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stats'!AH:AH)=1),0.5,1)/100,0.025),1)))</f>
        <v>0.05</v>
      </c>
      <c r="BZ75" s="25" t="str">
        <f>IF(P75="Standard","No",MAX(0.01,IF(_xlfn.XLOOKUP(B75,'Base stats'!B:B,'Base stats'!N:N)=0,MROUND(BY75*P75,0.05),MIN(1,MAX(0.025,MROUND(IF(OR(CB75="true",AND(BI75="false",BN75="false")),POWER(10,4.15*LOG10(_xlfn.XLOOKUP(B75,'Base stats'!B:B,'Base stats'!C:C)*1000)^-0.73),POWER(10,3.47*LOG10(_xlfn.XLOOKUP(B75,'Base stats'!B:B,'Base stats'!C:C)*1000)^-0.96))*IF(_xlfn.XLOOKUP(B75,'Base stats'!B:B,'Base stats'!AH:AH)=1,0.5,1)/100,0.025))))))</f>
        <v>No</v>
      </c>
      <c r="CA75" s="25" t="str">
        <f>IF(_xlfn.XLOOKUP(_xlfn.XLOOKUP(B75,'Base stats'!B:B,'Base stats'!E:E),Groups!A:A,Groups!AJ:AJ)="Mammal","True","False")</f>
        <v>True</v>
      </c>
      <c r="CB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C75" s="25" t="str">
        <f t="shared" si="13"/>
        <v>False</v>
      </c>
      <c r="CD75" s="25" t="str">
        <f>IF(_xlfn.XLOOKUP(_xlfn.XLOOKUP(B75,'Base stats'!B:B,'Base stats'!E:E),Groups!A:A,Groups!AX:AX),"True","False")</f>
        <v>False</v>
      </c>
      <c r="CE75" s="25" t="str">
        <f>IF(_xlfn.XLOOKUP(_xlfn.XLOOKUP(B75,'Base stats'!B:B,'Base stats'!E:E),Groups!A:A,Groups!AY:AY),"True","False")</f>
        <v>False</v>
      </c>
      <c r="CF75" s="25" t="str">
        <f>IF(_xlfn.XLOOKUP(_xlfn.XLOOKUP(B75,'Base stats'!B:B,'Base stats'!E:E),Groups!A:A,Groups!AW:AW),"True","False")</f>
        <v>False</v>
      </c>
      <c r="CG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H75" s="25" t="str">
        <f>IF(_xlfn.XLOOKUP(_xlfn.XLOOKUP(B75,'Base stats'!B:B,'Base stats'!E:E),Groups!A:A,Groups!BB:BB),"True","False")</f>
        <v>True</v>
      </c>
      <c r="CI75" s="25" t="str">
        <f>IF(_xlfn.XLOOKUP(_xlfn.XLOOKUP(B75,'Base stats'!B:B,'Base stats'!E:E),Groups!A:A,Groups!BA:BA),"True","False")</f>
        <v>False</v>
      </c>
    </row>
    <row r="76" spans="1:87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stats'!AI:AI)=0,BH76="None",_xlfn.XLOOKUP(_xlfn.XLOOKUP(B76,'Base stats'!B:B,'Base stats'!E:E),Groups!A:A,Groups!B:B)=0), (18 + BQ76 * 2.7) * 0.5,
    IF(AND(_xlfn.XLOOKUP(B76,'Base stats'!B:B,'Base stats'!AI:AI)=0,OR(AO76&lt;0.55,AND(BH76="Intermediate",_xlfn.XLOOKUP(_xlfn.XLOOKUP(B76,'Base stats'!B:B,'Base stats'!E:E),Groups!A:A,Groups!B:B)&lt;2))), (18 + BQ76 * 2.7),
      IF(OR(BH76="Advanced",_xlfn.XLOOKUP(B76,'Base stats'!B:B,'Base stats'!AI:AI)=1,_xlfn.XLOOKUP(_xlfn.XLOOKUP(B76,'Base stats'!B:B,'Base stats'!E:E),Groups!A:A,Groups!B:B)=2), (18 + BQ76 * 2.7) + 250, (18 + BQ76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IF(_xlfn.XLOOKUP(B76,'Base stats'!B:B,'Base stats'!AI:AI)=1,0.99,MIN(MROUND((1-0.6282*EXP(-0.459*AO76))*_xlfn.XLOOKUP(_xlfn.XLOOKUP(B76,'Base stats'!B:B,'Base stats'!E:E),Groups!A:A,Groups!C:C)*IF(_xlfn.XLOOKUP(B76,'Base stats'!B:B,'Base stats'!O:O)=1,0.5,IF(_xlfn.XLOOKUP(B76,'Base stats'!B:B,'Base stats'!O:O)=2,0,1)),0.05),0.985))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W76)),ISNUMBER(SEARCH("IceSheet",BW76))),-50,IF(OR(ISNUMBER(SEARCH("GlacialPlain",BW76)),ISNUMBER(SEARCH("Tundra",BW76))),-40,IF(OR(ISNUMBER(SEARCH("Alpine",BW76)),ISNUMBER(SEARCH("BorealForest",BW76)),ISNUMBER(SEARCH("ColdBog",BW76))),-30,IF(OR(ISNUMBER(SEARCH("TemperateForest",BW76)),ISNUMBER(SEARCH("TemperateSwamp",BW76))),-20,IF(_xlfn.XLOOKUP(_xlfn.XLOOKUP(B76,'Base stats'!B:B,'Base stats'!E:E),Groups!A:A,Groups!F:F)=1,-15,IF(OR(ISNUMBER(SEARCH("Desert",BW76)),ISNUMBER(SEARCH("ExtremeDesert",BW76))),-10,IF(OR(ISNUMBER(SEARCH("Grasslands",BW76)),ISNUMBER(SEARCH("TropicalRainforest",BW76)),ISNUMBER(SEARCH("TropicalSwamp",BW76))),10,0)))))))-IF(CB76="False",MIN(IFERROR(MAX(MROUND(LOG10(_xlfn.XLOOKUP(B76,'Base stats'!B:B,'Base stats'!C:C)^(2/3))*10,5),5),5),30))-_xlfn.XLOOKUP(B76,'Base stats'!B:B,'Base stats'!P:P)+IF(CB76="True",5,0)</f>
        <v>-5</v>
      </c>
      <c r="M76" s="2">
        <f>IF(OR(_xlfn.XLOOKUP(_xlfn.XLOOKUP(B76,'Base stats'!B:B,'Base stats'!E:E),Groups!A:A,Groups!G:G)=2,ISNUMBER(SEARCH("Desert",BW76)),ISNUMBER(SEARCH("ExtremeDesert",BW76)),ISNUMBER(SEARCH("LavaField",BW76))),50,IF(ISNUMBER(SEARCH("Grasslands",BW76)),45,IF(OR(_xlfn.XLOOKUP(_xlfn.XLOOKUP(B76,'Base stats'!B:B,'Base stats'!E:E),Groups!A:A,Groups!G:G)=1,ISNUMBER(SEARCH("TropicalRainforest",BW76)),ISNUMBER(SEARCH("TropicalSwamp",BW76))),40,IF(OR(ISNUMBER(SEARCH("TemperateForest",BW76)),ISNUMBER(SEARCH("TemperateSwamp",BW76))),35,IF(OR(ISNUMBER(SEARCH("Alpine",BW76)),ISNUMBER(SEARCH("BorealForest",BW76)),ISNUMBER(SEARCH("ColdBog",BW76))),30,IF(ISNUMBER(OR(ISNUMBER(SEARCH("GlacialPlain",BW76)),SEARCH("Tundra",BW76))),25,IF(OR(ISNUMBER(SEARCH("SeaIce",BW76)),ISNUMBER(SEARCH("IceSheet",BW76)),ISNUMBER(SEARCH("TropicalSwamp",BW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stats'!AO:AO))*(AO76^0.5)+(_xlfn.XLOOKUP(B76,'Base stats'!B:B,'Base stats'!AO:AO)/1000)^(2/3)+_xlfn.XLOOKUP(B76,'Base stats'!B:B,'Base stats'!AX:AX)/2)+0.5,0.5)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stats'!AP:AP))*(AO76^0.5)+(_xlfn.XLOOKUP(B76,'Base stats'!B:B,'Base stats'!AP:AP)/1000)^(2/3)+_xlfn.XLOOKUP(B76,'Base stats'!B:B,'Base stats'!AX:AX))+_xlfn.XLOOKUP(B76,'Base stats'!B:B,'Base stats'!AV:AV)+0.5,0.5))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stats'!AR:AR))*(AO76^0.5)+(_xlfn.XLOOKUP(B76,'Base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stats'!AQ:AQ)="No","No",MROUND((LOG10(_xlfn.XLOOKUP(B76,'Base stats'!B:B,'Base stats'!AQ:AQ))*(AO76^0.75)+(_xlfn.XLOOKUP(B76,'Base stats'!B:B,'Base stats'!AQ:AQ)/1000)^(2/3)+_xlfn.XLOOKUP(B76,'Base stats'!B:B,'Base stats'!AU:AU)+_xlfn.XLOOKUP(B76,'Base stats'!B:B,'Base stats'!AX:AX))+0.5,0.5))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stats'!AP:AP))*(AO76^0.75)+(_xlfn.XLOOKUP(B76,'Base stats'!B:B,'Base stats'!AP:AP)/1000)^(2/3)+_xlfn.XLOOKUP(B76,'Base stats'!B:B,'Base stats'!AV:AV)+_xlfn.XLOOKUP(B76,'Base stats'!B:B,'Base stats'!AX:AX))+0.5,0.5))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MAX(0.01,MROUND(IF(CB76="True",0.196*(AO76*100*1000)^0.889,IF(_xlfn.XLOOKUP(_xlfn.XLOOKUP(B76,'Base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stats'!AE:AE)</f>
        <v>No</v>
      </c>
      <c r="BB76" s="23" t="str">
        <f>_xlfn.XLOOKUP(_xlfn.XLOOKUP(B76,'Base stats'!B:B,'Base stats'!E:E),Groups!A:A,Groups!AL:AL)</f>
        <v>QuadrupedAnimalWithPaws</v>
      </c>
      <c r="BC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D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E76" s="2" t="str">
        <f>IF(J76&gt;0.3,"No",_xlfn.XLOOKUP(_xlfn.XLOOKUP(Animals!B76,'Base stats'!B:B,'Base stats'!E:E),Groups!A:A,Groups!AP:AP))</f>
        <v>No</v>
      </c>
      <c r="BF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+ 24*(1-IF(BE76="No",0,BE76)) + 16/3, 12),"No")</f>
        <v>No</v>
      </c>
      <c r="BG76" s="2">
        <f>IF(AND(_xlfn.XLOOKUP(_xlfn.XLOOKUP(B76,'Base stats'!B:B,'Base stats'!E:E),Groups!A:A,Groups!AQ:AQ)=1,AO76&lt;=0.35),8,12)</f>
        <v>12</v>
      </c>
      <c r="BH76" s="2" t="str">
        <f>IF(_xlfn.XLOOKUP(_xlfn.XLOOKUP(B76,'Base stats'!B:B,'Base stats'!E:E),Groups!A:A,Groups!D:D)=0,_xlfn.XLOOKUP(_xlfn.XLOOKUP(B76,'Base stats'!B:B,'Base stats'!E:E),Groups!A:A,Groups!AR:AR),"None")</f>
        <v>None</v>
      </c>
      <c r="BI76" s="2" t="str">
        <f>IF(AND(_xlfn.XLOOKUP(_xlfn.XLOOKUP(B76,'Base stats'!B:B,'Base stats'!E:E),Groups!A:A,Groups!AS:AS)=1,OR('Base stats'!Y76="Carnivore",'Base stats'!Y76="Omnivore")),"true","false")</f>
        <v>true</v>
      </c>
      <c r="BJ76" s="2">
        <f>IF(BI76="true",MROUND(IF(AND(AO76&gt;0.5,OR(_xlfn.XLOOKUP(_xlfn.XLOOKUP(B76,'Base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K76" s="2">
        <f t="shared" si="10"/>
        <v>0</v>
      </c>
      <c r="BL76" s="25" t="str">
        <f>IF(_xlfn.XLOOKUP(B76,'Base stats'!B:B,'Base stats'!AK:AK)="Standard","No",MROUND((_xlfn.XLOOKUP(B76,'Base stats'!B:B,'Base stats'!AK:AK)/3.6)/I76,0.1))</f>
        <v>No</v>
      </c>
      <c r="BM76" s="25" t="str">
        <f t="shared" si="11"/>
        <v>true</v>
      </c>
      <c r="BN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O76" s="25" t="str" cm="1">
        <f t="array" ref="BO76">IF(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 = "",
  "No",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
)</f>
        <v>No</v>
      </c>
      <c r="BP76" s="25">
        <f>IF(
   AND(
      'Base stats'!AK76="Standard",_xlfn.XLOOKUP(_xlfn.XLOOKUP(B76,'Base stats'!B:B,'Base stats'!E:E),Groups!A:A,Groups!AU:AU)=0,
      OR(
      BN76="True"
      )
   ),
   10,
   IF(
       OR(BL76&lt;&gt;"No",_xlfn.XLOOKUP(_xlfn.XLOOKUP(B76,'Base stats'!B:B,'Base stats'!E:E),Groups!A:A,Groups!AU:AU)=1),
      1,
      "No"
   )
)</f>
        <v>1</v>
      </c>
      <c r="BQ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stats'!AS:AS) * 1.8) * 2) * 2.5 + 10 + I76 * 2,5)+IF(_xlfn.XLOOKUP(B76,'Base stats'!B:B,'Base stats'!AH:AH)=1,50,0)</f>
        <v>20</v>
      </c>
      <c r="BR76" s="8">
        <f t="shared" si="12"/>
        <v>0.05</v>
      </c>
      <c r="BS76" s="8" t="str">
        <f>_xlfn.XLOOKUP(B76,'Base stats'!B:B,'Base stats'!AD:AD)</f>
        <v>No</v>
      </c>
      <c r="BT76" s="2" t="str">
        <f>IF(AND(J76&lt;=0.95,OR(_xlfn.XLOOKUP(B76,'Base stats'!B:B,'Base stats'!AH:AH)=1,_xlfn.XLOOKUP(B76,'Base stats'!B:B,'Base stats'!Y:Y)="Carnivore",_xlfn.XLOOKUP(B76,'Base stats'!B:B,'Base stats'!Y:Y)="Omnivore",BD76&gt;0.1)),"true","false")</f>
        <v>true</v>
      </c>
      <c r="BU76" s="2" t="str">
        <f>IF(_xlfn.XLOOKUP(B76,'Base stats'!B:B,'Base stats'!AF:AF)=1,"true","false")</f>
        <v>false</v>
      </c>
      <c r="BV76" s="25" t="str">
        <f>IF(E76="BaseInsect","AnimalInsect",
IF(J76&gt;0.95,"AnimalExotic",
_xlfn.TEXTJOIN(", ",TRUE,
IF(OR(_xlfn.XLOOKUP(B76,'Base stats'!B:B,'Base stats'!AJ:AJ)=1,AND(_xlfn.XLOOKUP(B76,'Base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stats'!AH:AH)=1,AND(BH76&lt;&gt;"None",BQ76&gt;=60),ISNUMBER(SEARCH("Attack target",BO76))),"AnimalFighter","")
)))</f>
        <v>AnimalCommon</v>
      </c>
      <c r="BW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),_xlfn.XLOOKUP(B76,B:B,BW:BW))</f>
        <v>TemperateSwamp TropicalSwamp Glowforest</v>
      </c>
      <c r="BX76" s="25" t="str">
        <f>IF(_xlfn.XLOOKUP(B76,'Base stats'!B:B,'Base stats'!AG:AG)=1,"true","false")</f>
        <v>false</v>
      </c>
      <c r="BY76" s="25">
        <f>IF(_xlfn.XLOOKUP(B76,'Base stats'!B:B,'Base stats'!N:N)=1,"No",MAX(0.01,MIN(MROUND(IF(OR(_xlfn.XLOOKUP(B76,'Base stats'!B:B,'Base stats'!AJ:AJ)=1,AND(BI76="True",CB76="False")),POWER(10,3.47*LOG10(_xlfn.XLOOKUP(B76,'Base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stats'!AH:AH)=1),0.5,1)/100,0.025),1)))</f>
        <v>1</v>
      </c>
      <c r="BZ76" s="25" t="str">
        <f>IF(P76="Standard","No",MAX(0.01,IF(_xlfn.XLOOKUP(B76,'Base stats'!B:B,'Base stats'!N:N)=0,MROUND(BY76*P76,0.05),MIN(1,MAX(0.025,MROUND(IF(OR(CB76="true",AND(BI76="false",BN76="false")),POWER(10,4.15*LOG10(_xlfn.XLOOKUP(B76,'Base stats'!B:B,'Base stats'!C:C)*1000)^-0.73),POWER(10,3.47*LOG10(_xlfn.XLOOKUP(B76,'Base stats'!B:B,'Base stats'!C:C)*1000)^-0.96))*IF(_xlfn.XLOOKUP(B76,'Base stats'!B:B,'Base stats'!AH:AH)=1,0.5,1)/100,0.025))))))</f>
        <v>No</v>
      </c>
      <c r="CA76" s="25" t="str">
        <f>IF(_xlfn.XLOOKUP(_xlfn.XLOOKUP(B76,'Base stats'!B:B,'Base stats'!E:E),Groups!A:A,Groups!AJ:AJ)="Mammal","True","False")</f>
        <v>False</v>
      </c>
      <c r="CB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C76" s="25" t="str">
        <f t="shared" si="13"/>
        <v>False</v>
      </c>
      <c r="CD76" s="25" t="str">
        <f>IF(_xlfn.XLOOKUP(_xlfn.XLOOKUP(B76,'Base stats'!B:B,'Base stats'!E:E),Groups!A:A,Groups!AX:AX),"True","False")</f>
        <v>False</v>
      </c>
      <c r="CE76" s="25" t="str">
        <f>IF(_xlfn.XLOOKUP(_xlfn.XLOOKUP(B76,'Base stats'!B:B,'Base stats'!E:E),Groups!A:A,Groups!AY:AY),"True","False")</f>
        <v>False</v>
      </c>
      <c r="CF76" s="25" t="str">
        <f>IF(_xlfn.XLOOKUP(_xlfn.XLOOKUP(B76,'Base stats'!B:B,'Base stats'!E:E),Groups!A:A,Groups!AW:AW),"True","False")</f>
        <v>False</v>
      </c>
      <c r="CG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H76" s="25" t="str">
        <f>IF(_xlfn.XLOOKUP(_xlfn.XLOOKUP(B76,'Base stats'!B:B,'Base stats'!E:E),Groups!A:A,Groups!BB:BB),"True","False")</f>
        <v>False</v>
      </c>
      <c r="CI76" s="25" t="str">
        <f>IF(_xlfn.XLOOKUP(_xlfn.XLOOKUP(B76,'Base stats'!B:B,'Base stats'!E:E),Groups!A:A,Groups!BA:BA),"True","False")</f>
        <v>True</v>
      </c>
    </row>
    <row r="77" spans="1:87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stats'!AI:AI)=0,BH77="None",_xlfn.XLOOKUP(_xlfn.XLOOKUP(B77,'Base stats'!B:B,'Base stats'!E:E),Groups!A:A,Groups!B:B)=0), (18 + BQ77 * 2.7) * 0.5,
    IF(AND(_xlfn.XLOOKUP(B77,'Base stats'!B:B,'Base stats'!AI:AI)=0,OR(AO77&lt;0.55,AND(BH77="Intermediate",_xlfn.XLOOKUP(_xlfn.XLOOKUP(B77,'Base stats'!B:B,'Base stats'!E:E),Groups!A:A,Groups!B:B)&lt;2))), (18 + BQ77 * 2.7),
      IF(OR(BH77="Advanced",_xlfn.XLOOKUP(B77,'Base stats'!B:B,'Base stats'!AI:AI)=1,_xlfn.XLOOKUP(_xlfn.XLOOKUP(B77,'Base stats'!B:B,'Base stats'!E:E),Groups!A:A,Groups!B:B)=2), (18 + BQ77 * 2.7) + 250, (18 + BQ77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IF(_xlfn.XLOOKUP(B77,'Base stats'!B:B,'Base stats'!AI:AI)=1,0.99,MIN(MROUND((1-0.6282*EXP(-0.459*AO77))*_xlfn.XLOOKUP(_xlfn.XLOOKUP(B77,'Base stats'!B:B,'Base stats'!E:E),Groups!A:A,Groups!C:C)*IF(_xlfn.XLOOKUP(B77,'Base stats'!B:B,'Base stats'!O:O)=1,0.5,IF(_xlfn.XLOOKUP(B77,'Base stats'!B:B,'Base stats'!O:O)=2,0,1)),0.05),0.985))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W77)),ISNUMBER(SEARCH("IceSheet",BW77))),-50,IF(OR(ISNUMBER(SEARCH("GlacialPlain",BW77)),ISNUMBER(SEARCH("Tundra",BW77))),-40,IF(OR(ISNUMBER(SEARCH("Alpine",BW77)),ISNUMBER(SEARCH("BorealForest",BW77)),ISNUMBER(SEARCH("ColdBog",BW77))),-30,IF(OR(ISNUMBER(SEARCH("TemperateForest",BW77)),ISNUMBER(SEARCH("TemperateSwamp",BW77))),-20,IF(_xlfn.XLOOKUP(_xlfn.XLOOKUP(B77,'Base stats'!B:B,'Base stats'!E:E),Groups!A:A,Groups!F:F)=1,-15,IF(OR(ISNUMBER(SEARCH("Desert",BW77)),ISNUMBER(SEARCH("ExtremeDesert",BW77))),-10,IF(OR(ISNUMBER(SEARCH("Grasslands",BW77)),ISNUMBER(SEARCH("TropicalRainforest",BW77)),ISNUMBER(SEARCH("TropicalSwamp",BW77))),10,0)))))))-IF(CB77="False",MIN(IFERROR(MAX(MROUND(LOG10(_xlfn.XLOOKUP(B77,'Base stats'!B:B,'Base stats'!C:C)^(2/3))*10,5),5),5),30))-_xlfn.XLOOKUP(B77,'Base stats'!B:B,'Base stats'!P:P)+IF(CB77="True",5,0)</f>
        <v>15</v>
      </c>
      <c r="M77" s="2">
        <f>IF(OR(_xlfn.XLOOKUP(_xlfn.XLOOKUP(B77,'Base stats'!B:B,'Base stats'!E:E),Groups!A:A,Groups!G:G)=2,ISNUMBER(SEARCH("Desert",BW77)),ISNUMBER(SEARCH("ExtremeDesert",BW77)),ISNUMBER(SEARCH("LavaField",BW77))),50,IF(ISNUMBER(SEARCH("Grasslands",BW77)),45,IF(OR(_xlfn.XLOOKUP(_xlfn.XLOOKUP(B77,'Base stats'!B:B,'Base stats'!E:E),Groups!A:A,Groups!G:G)=1,ISNUMBER(SEARCH("TropicalRainforest",BW77)),ISNUMBER(SEARCH("TropicalSwamp",BW77))),40,IF(OR(ISNUMBER(SEARCH("TemperateForest",BW77)),ISNUMBER(SEARCH("TemperateSwamp",BW77))),35,IF(OR(ISNUMBER(SEARCH("Alpine",BW77)),ISNUMBER(SEARCH("BorealForest",BW77)),ISNUMBER(SEARCH("ColdBog",BW77))),30,IF(ISNUMBER(OR(ISNUMBER(SEARCH("GlacialPlain",BW77)),SEARCH("Tundra",BW77))),25,IF(OR(ISNUMBER(SEARCH("SeaIce",BW77)),ISNUMBER(SEARCH("IceSheet",BW77)),ISNUMBER(SEARCH("TropicalSwamp",BW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stats'!AO:AO))*(AO77^0.5)+(_xlfn.XLOOKUP(B77,'Base stats'!B:B,'Base stats'!AO:AO)/1000)^(2/3)+_xlfn.XLOOKUP(B77,'Base stats'!B:B,'Base stats'!AX:AX)/2)+0.5,0.5)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stats'!AP:AP))*(AO77^0.5)+(_xlfn.XLOOKUP(B77,'Base stats'!B:B,'Base stats'!AP:AP)/1000)^(2/3)+_xlfn.XLOOKUP(B77,'Base stats'!B:B,'Base stats'!AX:AX))+_xlfn.XLOOKUP(B77,'Base stats'!B:B,'Base stats'!AV:AV)+0.5,0.5))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stats'!AR:AR))*(AO77^0.5)+(_xlfn.XLOOKUP(B77,'Base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stats'!AQ:AQ)="No","No",MROUND((LOG10(_xlfn.XLOOKUP(B77,'Base stats'!B:B,'Base stats'!AQ:AQ))*(AO77^0.75)+(_xlfn.XLOOKUP(B77,'Base stats'!B:B,'Base stats'!AQ:AQ)/1000)^(2/3)+_xlfn.XLOOKUP(B77,'Base stats'!B:B,'Base stats'!AU:AU)+_xlfn.XLOOKUP(B77,'Base stats'!B:B,'Base stats'!AX:AX))+0.5,0.5))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stats'!AP:AP))*(AO77^0.75)+(_xlfn.XLOOKUP(B77,'Base stats'!B:B,'Base stats'!AP:AP)/1000)^(2/3)+_xlfn.XLOOKUP(B77,'Base stats'!B:B,'Base stats'!AV:AV)+_xlfn.XLOOKUP(B77,'Base stats'!B:B,'Base stats'!AX:AX))+0.5,0.5))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MAX(0.01,MROUND(IF(CB77="True",0.196*(AO77*100*1000)^0.889,IF(_xlfn.XLOOKUP(_xlfn.XLOOKUP(B77,'Base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stats'!AE:AE)</f>
        <v>No</v>
      </c>
      <c r="BB77" s="23" t="str">
        <f>_xlfn.XLOOKUP(_xlfn.XLOOKUP(B77,'Base stats'!B:B,'Base stats'!E:E),Groups!A:A,Groups!AL:AL)</f>
        <v>QuadrupedAnimalWithPaws</v>
      </c>
      <c r="BC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D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E77" s="2" t="str">
        <f>IF(J77&gt;0.3,"No",_xlfn.XLOOKUP(_xlfn.XLOOKUP(Animals!B77,'Base stats'!B:B,'Base stats'!E:E),Groups!A:A,Groups!AP:AP))</f>
        <v>No</v>
      </c>
      <c r="BF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+ 24*(1-IF(BE77="No",0,BE77)) + 16/3, 12),"No")</f>
        <v>No</v>
      </c>
      <c r="BG77" s="2">
        <f>IF(AND(_xlfn.XLOOKUP(_xlfn.XLOOKUP(B77,'Base stats'!B:B,'Base stats'!E:E),Groups!A:A,Groups!AQ:AQ)=1,AO77&lt;=0.35),8,12)</f>
        <v>12</v>
      </c>
      <c r="BH77" s="2" t="str">
        <f>IF(_xlfn.XLOOKUP(_xlfn.XLOOKUP(B77,'Base stats'!B:B,'Base stats'!E:E),Groups!A:A,Groups!D:D)=0,_xlfn.XLOOKUP(_xlfn.XLOOKUP(B77,'Base stats'!B:B,'Base stats'!E:E),Groups!A:A,Groups!AR:AR),"None")</f>
        <v>None</v>
      </c>
      <c r="BI77" s="2" t="str">
        <f>IF(AND(_xlfn.XLOOKUP(_xlfn.XLOOKUP(B77,'Base stats'!B:B,'Base stats'!E:E),Groups!A:A,Groups!AS:AS)=1,OR('Base stats'!Y77="Carnivore",'Base stats'!Y77="Omnivore")),"true","false")</f>
        <v>true</v>
      </c>
      <c r="BJ77" s="2">
        <f>IF(BI77="true",MROUND(IF(AND(AO77&gt;0.5,OR(_xlfn.XLOOKUP(_xlfn.XLOOKUP(B77,'Base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K77" s="2">
        <f t="shared" si="10"/>
        <v>0</v>
      </c>
      <c r="BL77" s="25" t="str">
        <f>IF(_xlfn.XLOOKUP(B77,'Base stats'!B:B,'Base stats'!AK:AK)="Standard","No",MROUND((_xlfn.XLOOKUP(B77,'Base stats'!B:B,'Base stats'!AK:AK)/3.6)/I77,0.1))</f>
        <v>No</v>
      </c>
      <c r="BM77" s="25" t="str">
        <f t="shared" si="11"/>
        <v>true</v>
      </c>
      <c r="BN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O77" s="25" t="str" cm="1">
        <f t="array" ref="BO77">IF(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 = "",
  "No",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
)</f>
        <v>No</v>
      </c>
      <c r="BP77" s="25">
        <f>IF(
   AND(
      'Base stats'!AK77="Standard",_xlfn.XLOOKUP(_xlfn.XLOOKUP(B77,'Base stats'!B:B,'Base stats'!E:E),Groups!A:A,Groups!AU:AU)=0,
      OR(
      BN77="True"
      )
   ),
   10,
   IF(
       OR(BL77&lt;&gt;"No",_xlfn.XLOOKUP(_xlfn.XLOOKUP(B77,'Base stats'!B:B,'Base stats'!E:E),Groups!A:A,Groups!AU:AU)=1),
      1,
      "No"
   )
)</f>
        <v>1</v>
      </c>
      <c r="BQ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stats'!AS:AS) * 1.8) * 2) * 2.5 + 10 + I77 * 2,5)+IF(_xlfn.XLOOKUP(B77,'Base stats'!B:B,'Base stats'!AH:AH)=1,50,0)</f>
        <v>55</v>
      </c>
      <c r="BR77" s="8">
        <f t="shared" si="12"/>
        <v>0.30000000000000004</v>
      </c>
      <c r="BS77" s="8" t="str">
        <f>_xlfn.XLOOKUP(B77,'Base stats'!B:B,'Base stats'!AD:AD)</f>
        <v>No</v>
      </c>
      <c r="BT77" s="2" t="str">
        <f>IF(AND(J77&lt;=0.95,OR(_xlfn.XLOOKUP(B77,'Base stats'!B:B,'Base stats'!AH:AH)=1,_xlfn.XLOOKUP(B77,'Base stats'!B:B,'Base stats'!Y:Y)="Carnivore",_xlfn.XLOOKUP(B77,'Base stats'!B:B,'Base stats'!Y:Y)="Omnivore",BD77&gt;0.1)),"true","false")</f>
        <v>true</v>
      </c>
      <c r="BU77" s="2" t="str">
        <f>IF(_xlfn.XLOOKUP(B77,'Base stats'!B:B,'Base stats'!AF:AF)=1,"true","false")</f>
        <v>false</v>
      </c>
      <c r="BV77" s="25" t="str">
        <f>IF(E77="BaseInsect","AnimalInsect",
IF(J77&gt;0.95,"AnimalExotic",
_xlfn.TEXTJOIN(", ",TRUE,
IF(OR(_xlfn.XLOOKUP(B77,'Base stats'!B:B,'Base stats'!AJ:AJ)=1,AND(_xlfn.XLOOKUP(B77,'Base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stats'!AH:AH)=1,AND(BH77&lt;&gt;"None",BQ77&gt;=60),ISNUMBER(SEARCH("Attack target",BO77))),"AnimalFighter","")
)))</f>
        <v>AnimalCommon, AnimalFarm</v>
      </c>
      <c r="BW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),_xlfn.XLOOKUP(B77,B:B,BW:BW))</f>
        <v>TropicalSwamp Glowforest</v>
      </c>
      <c r="BX77" s="25" t="str">
        <f>IF(_xlfn.XLOOKUP(B77,'Base stats'!B:B,'Base stats'!AG:AG)=1,"true","false")</f>
        <v>false</v>
      </c>
      <c r="BY77" s="25">
        <f>IF(_xlfn.XLOOKUP(B77,'Base stats'!B:B,'Base stats'!N:N)=1,"No",MAX(0.01,MIN(MROUND(IF(OR(_xlfn.XLOOKUP(B77,'Base stats'!B:B,'Base stats'!AJ:AJ)=1,AND(BI77="True",CB77="False")),POWER(10,3.47*LOG10(_xlfn.XLOOKUP(B77,'Base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stats'!AH:AH)=1),0.5,1)/100,0.025),1)))</f>
        <v>0.22500000000000001</v>
      </c>
      <c r="BZ77" s="25" t="str">
        <f>IF(P77="Standard","No",MAX(0.01,IF(_xlfn.XLOOKUP(B77,'Base stats'!B:B,'Base stats'!N:N)=0,MROUND(BY77*P77,0.05),MIN(1,MAX(0.025,MROUND(IF(OR(CB77="true",AND(BI77="false",BN77="false")),POWER(10,4.15*LOG10(_xlfn.XLOOKUP(B77,'Base stats'!B:B,'Base stats'!C:C)*1000)^-0.73),POWER(10,3.47*LOG10(_xlfn.XLOOKUP(B77,'Base stats'!B:B,'Base stats'!C:C)*1000)^-0.96))*IF(_xlfn.XLOOKUP(B77,'Base stats'!B:B,'Base stats'!AH:AH)=1,0.5,1)/100,0.025))))))</f>
        <v>No</v>
      </c>
      <c r="CA77" s="25" t="str">
        <f>IF(_xlfn.XLOOKUP(_xlfn.XLOOKUP(B77,'Base stats'!B:B,'Base stats'!E:E),Groups!A:A,Groups!AJ:AJ)="Mammal","True","False")</f>
        <v>False</v>
      </c>
      <c r="CB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C77" s="25" t="str">
        <f t="shared" si="13"/>
        <v>False</v>
      </c>
      <c r="CD77" s="25" t="str">
        <f>IF(_xlfn.XLOOKUP(_xlfn.XLOOKUP(B77,'Base stats'!B:B,'Base stats'!E:E),Groups!A:A,Groups!AX:AX),"True","False")</f>
        <v>False</v>
      </c>
      <c r="CE77" s="25" t="str">
        <f>IF(_xlfn.XLOOKUP(_xlfn.XLOOKUP(B77,'Base stats'!B:B,'Base stats'!E:E),Groups!A:A,Groups!AY:AY),"True","False")</f>
        <v>False</v>
      </c>
      <c r="CF77" s="25" t="str">
        <f>IF(_xlfn.XLOOKUP(_xlfn.XLOOKUP(B77,'Base stats'!B:B,'Base stats'!E:E),Groups!A:A,Groups!AW:AW),"True","False")</f>
        <v>False</v>
      </c>
      <c r="CG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H77" s="25" t="str">
        <f>IF(_xlfn.XLOOKUP(_xlfn.XLOOKUP(B77,'Base stats'!B:B,'Base stats'!E:E),Groups!A:A,Groups!BB:BB),"True","False")</f>
        <v>False</v>
      </c>
      <c r="CI77" s="25" t="str">
        <f>IF(_xlfn.XLOOKUP(_xlfn.XLOOKUP(B77,'Base stats'!B:B,'Base stats'!E:E),Groups!A:A,Groups!BA:BA),"True","False")</f>
        <v>True</v>
      </c>
    </row>
    <row r="78" spans="1:87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stats'!AI:AI)=0,BH78="None",_xlfn.XLOOKUP(_xlfn.XLOOKUP(B78,'Base stats'!B:B,'Base stats'!E:E),Groups!A:A,Groups!B:B)=0), (18 + BQ78 * 2.7) * 0.5,
    IF(AND(_xlfn.XLOOKUP(B78,'Base stats'!B:B,'Base stats'!AI:AI)=0,OR(AO78&lt;0.55,AND(BH78="Intermediate",_xlfn.XLOOKUP(_xlfn.XLOOKUP(B78,'Base stats'!B:B,'Base stats'!E:E),Groups!A:A,Groups!B:B)&lt;2))), (18 + BQ78 * 2.7),
      IF(OR(BH78="Advanced",_xlfn.XLOOKUP(B78,'Base stats'!B:B,'Base stats'!AI:AI)=1,_xlfn.XLOOKUP(_xlfn.XLOOKUP(B78,'Base stats'!B:B,'Base stats'!E:E),Groups!A:A,Groups!B:B)=2), (18 + BQ78 * 2.7) + 250, (18 + BQ78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IF(_xlfn.XLOOKUP(B78,'Base stats'!B:B,'Base stats'!AI:AI)=1,0.99,MIN(MROUND((1-0.6282*EXP(-0.459*AO78))*_xlfn.XLOOKUP(_xlfn.XLOOKUP(B78,'Base stats'!B:B,'Base stats'!E:E),Groups!A:A,Groups!C:C)*IF(_xlfn.XLOOKUP(B78,'Base stats'!B:B,'Base stats'!O:O)=1,0.5,IF(_xlfn.XLOOKUP(B78,'Base stats'!B:B,'Base stats'!O:O)=2,0,1)),0.05),0.985))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W78)),ISNUMBER(SEARCH("IceSheet",BW78))),-50,IF(OR(ISNUMBER(SEARCH("GlacialPlain",BW78)),ISNUMBER(SEARCH("Tundra",BW78))),-40,IF(OR(ISNUMBER(SEARCH("Alpine",BW78)),ISNUMBER(SEARCH("BorealForest",BW78)),ISNUMBER(SEARCH("ColdBog",BW78))),-30,IF(OR(ISNUMBER(SEARCH("TemperateForest",BW78)),ISNUMBER(SEARCH("TemperateSwamp",BW78))),-20,IF(_xlfn.XLOOKUP(_xlfn.XLOOKUP(B78,'Base stats'!B:B,'Base stats'!E:E),Groups!A:A,Groups!F:F)=1,-15,IF(OR(ISNUMBER(SEARCH("Desert",BW78)),ISNUMBER(SEARCH("ExtremeDesert",BW78))),-10,IF(OR(ISNUMBER(SEARCH("Grasslands",BW78)),ISNUMBER(SEARCH("TropicalRainforest",BW78)),ISNUMBER(SEARCH("TropicalSwamp",BW78))),10,0)))))))-IF(CB78="False",MIN(IFERROR(MAX(MROUND(LOG10(_xlfn.XLOOKUP(B78,'Base stats'!B:B,'Base stats'!C:C)^(2/3))*10,5),5),5),30))-_xlfn.XLOOKUP(B78,'Base stats'!B:B,'Base stats'!P:P)+IF(CB78="True",5,0)</f>
        <v>-10</v>
      </c>
      <c r="M78" s="2">
        <f>IF(OR(_xlfn.XLOOKUP(_xlfn.XLOOKUP(B78,'Base stats'!B:B,'Base stats'!E:E),Groups!A:A,Groups!G:G)=2,ISNUMBER(SEARCH("Desert",BW78)),ISNUMBER(SEARCH("ExtremeDesert",BW78)),ISNUMBER(SEARCH("LavaField",BW78))),50,IF(ISNUMBER(SEARCH("Grasslands",BW78)),45,IF(OR(_xlfn.XLOOKUP(_xlfn.XLOOKUP(B78,'Base stats'!B:B,'Base stats'!E:E),Groups!A:A,Groups!G:G)=1,ISNUMBER(SEARCH("TropicalRainforest",BW78)),ISNUMBER(SEARCH("TropicalSwamp",BW78))),40,IF(OR(ISNUMBER(SEARCH("TemperateForest",BW78)),ISNUMBER(SEARCH("TemperateSwamp",BW78))),35,IF(OR(ISNUMBER(SEARCH("Alpine",BW78)),ISNUMBER(SEARCH("BorealForest",BW78)),ISNUMBER(SEARCH("ColdBog",BW78))),30,IF(ISNUMBER(OR(ISNUMBER(SEARCH("GlacialPlain",BW78)),SEARCH("Tundra",BW78))),25,IF(OR(ISNUMBER(SEARCH("SeaIce",BW78)),ISNUMBER(SEARCH("IceSheet",BW78)),ISNUMBER(SEARCH("TropicalSwamp",BW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stats'!AO:AO))*(AO78^0.5)+(_xlfn.XLOOKUP(B78,'Base stats'!B:B,'Base stats'!AO:AO)/1000)^(2/3)+_xlfn.XLOOKUP(B78,'Base stats'!B:B,'Base stats'!AX:AX)/2)+0.5,0.5)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stats'!AP:AP))*(AO78^0.5)+(_xlfn.XLOOKUP(B78,'Base stats'!B:B,'Base stats'!AP:AP)/1000)^(2/3)+_xlfn.XLOOKUP(B78,'Base stats'!B:B,'Base stats'!AX:AX))+_xlfn.XLOOKUP(B78,'Base stats'!B:B,'Base stats'!AV:AV)+0.5,0.5))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stats'!AR:AR))*(AO78^0.5)+(_xlfn.XLOOKUP(B78,'Base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stats'!AQ:AQ)="No","No",MROUND((LOG10(_xlfn.XLOOKUP(B78,'Base stats'!B:B,'Base stats'!AQ:AQ))*(AO78^0.75)+(_xlfn.XLOOKUP(B78,'Base stats'!B:B,'Base stats'!AQ:AQ)/1000)^(2/3)+_xlfn.XLOOKUP(B78,'Base stats'!B:B,'Base stats'!AU:AU)+_xlfn.XLOOKUP(B78,'Base stats'!B:B,'Base stats'!AX:AX))+0.5,0.5))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stats'!AP:AP))*(AO78^0.75)+(_xlfn.XLOOKUP(B78,'Base stats'!B:B,'Base stats'!AP:AP)/1000)^(2/3)+_xlfn.XLOOKUP(B78,'Base stats'!B:B,'Base stats'!AV:AV)+_xlfn.XLOOKUP(B78,'Base stats'!B:B,'Base stats'!AX:AX))+0.5,0.5))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MAX(0.01,MROUND(IF(CB78="True",0.196*(AO78*100*1000)^0.889,IF(_xlfn.XLOOKUP(_xlfn.XLOOKUP(B78,'Base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stats'!AE:AE)</f>
        <v>Leather_Hippo</v>
      </c>
      <c r="BB78" s="23" t="str">
        <f>_xlfn.XLOOKUP(_xlfn.XLOOKUP(B78,'Base stats'!B:B,'Base stats'!E:E),Groups!A:A,Groups!AL:AL)</f>
        <v>QuadrupedAnimalWithHooves</v>
      </c>
      <c r="BC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D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E78" s="2" t="str">
        <f>IF(J78&gt;0.3,"No",_xlfn.XLOOKUP(_xlfn.XLOOKUP(Animals!B78,'Base stats'!B:B,'Base stats'!E:E),Groups!A:A,Groups!AP:AP))</f>
        <v>No</v>
      </c>
      <c r="BF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+ 24*(1-IF(BE78="No",0,BE78)) + 16/3, 12),"No")</f>
        <v>No</v>
      </c>
      <c r="BG78" s="2">
        <f>IF(AND(_xlfn.XLOOKUP(_xlfn.XLOOKUP(B78,'Base stats'!B:B,'Base stats'!E:E),Groups!A:A,Groups!AQ:AQ)=1,AO78&lt;=0.35),8,12)</f>
        <v>12</v>
      </c>
      <c r="BH78" s="2" t="str">
        <f>IF(_xlfn.XLOOKUP(_xlfn.XLOOKUP(B78,'Base stats'!B:B,'Base stats'!E:E),Groups!A:A,Groups!D:D)=0,_xlfn.XLOOKUP(_xlfn.XLOOKUP(B78,'Base stats'!B:B,'Base stats'!E:E),Groups!A:A,Groups!AR:AR),"None")</f>
        <v>None</v>
      </c>
      <c r="BI78" s="2" t="str">
        <f>IF(AND(_xlfn.XLOOKUP(_xlfn.XLOOKUP(B78,'Base stats'!B:B,'Base stats'!E:E),Groups!A:A,Groups!AS:AS)=1,OR('Base stats'!Y78="Carnivore",'Base stats'!Y78="Omnivore")),"true","false")</f>
        <v>false</v>
      </c>
      <c r="BJ78" s="2" t="str">
        <f>IF(BI78="true",MROUND(IF(AND(AO78&gt;0.5,OR(_xlfn.XLOOKUP(_xlfn.XLOOKUP(B78,'Base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K78" s="2">
        <f t="shared" si="10"/>
        <v>0</v>
      </c>
      <c r="BL78" s="25" t="str">
        <f>IF(_xlfn.XLOOKUP(B78,'Base stats'!B:B,'Base stats'!AK:AK)="Standard","No",MROUND((_xlfn.XLOOKUP(B78,'Base stats'!B:B,'Base stats'!AK:AK)/3.6)/I78,0.1))</f>
        <v>No</v>
      </c>
      <c r="BM78" s="25" t="str">
        <f t="shared" si="11"/>
        <v>true</v>
      </c>
      <c r="BN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O78" s="25" t="str" cm="1">
        <f t="array" ref="BO78">IF(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 = "",
  "No",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
)</f>
        <v>No</v>
      </c>
      <c r="BP78" s="25">
        <f>IF(
   AND(
      'Base stats'!AK78="Standard",_xlfn.XLOOKUP(_xlfn.XLOOKUP(B78,'Base stats'!B:B,'Base stats'!E:E),Groups!A:A,Groups!AU:AU)=0,
      OR(
      BN78="True"
      )
   ),
   10,
   IF(
       OR(BL78&lt;&gt;"No",_xlfn.XLOOKUP(_xlfn.XLOOKUP(B78,'Base stats'!B:B,'Base stats'!E:E),Groups!A:A,Groups!AU:AU)=1),
      1,
      "No"
   )
)</f>
        <v>1</v>
      </c>
      <c r="BQ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stats'!AS:AS) * 1.8) * 2) * 2.5 + 10 + I78 * 2,5)+IF(_xlfn.XLOOKUP(B78,'Base stats'!B:B,'Base stats'!AH:AH)=1,50,0)</f>
        <v>390</v>
      </c>
      <c r="BR78" s="8">
        <f t="shared" si="12"/>
        <v>2.5</v>
      </c>
      <c r="BS78" s="8" t="str">
        <f>_xlfn.XLOOKUP(B78,'Base stats'!B:B,'Base stats'!AD:AD)</f>
        <v>5~15</v>
      </c>
      <c r="BT78" s="2" t="str">
        <f>IF(AND(J78&lt;=0.95,OR(_xlfn.XLOOKUP(B78,'Base stats'!B:B,'Base stats'!AH:AH)=1,_xlfn.XLOOKUP(B78,'Base stats'!B:B,'Base stats'!Y:Y)="Carnivore",_xlfn.XLOOKUP(B78,'Base stats'!B:B,'Base stats'!Y:Y)="Omnivore",BD78&gt;0.1)),"true","false")</f>
        <v>true</v>
      </c>
      <c r="BU78" s="2" t="str">
        <f>IF(_xlfn.XLOOKUP(B78,'Base stats'!B:B,'Base stats'!AF:AF)=1,"true","false")</f>
        <v>false</v>
      </c>
      <c r="BV78" s="25" t="str">
        <f>IF(E78="BaseInsect","AnimalInsect",
IF(J78&gt;0.95,"AnimalExotic",
_xlfn.TEXTJOIN(", ",TRUE,
IF(OR(_xlfn.XLOOKUP(B78,'Base stats'!B:B,'Base stats'!AJ:AJ)=1,AND(_xlfn.XLOOKUP(B78,'Base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stats'!AH:AH)=1,AND(BH78&lt;&gt;"None",BQ78&gt;=60),ISNUMBER(SEARCH("Attack target",BO78))),"AnimalFighter","")
)))</f>
        <v>AnimalCommon</v>
      </c>
      <c r="BW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),_xlfn.XLOOKUP(B78,B:B,BW:BW))</f>
        <v>TropicalSwamp Glowforest</v>
      </c>
      <c r="BX78" s="25" t="str">
        <f>IF(_xlfn.XLOOKUP(B78,'Base stats'!B:B,'Base stats'!AG:AG)=1,"true","false")</f>
        <v>false</v>
      </c>
      <c r="BY78" s="25">
        <f>IF(_xlfn.XLOOKUP(B78,'Base stats'!B:B,'Base stats'!N:N)=1,"No",MAX(0.01,MIN(MROUND(IF(OR(_xlfn.XLOOKUP(B78,'Base stats'!B:B,'Base stats'!AJ:AJ)=1,AND(BI78="True",CB78="False")),POWER(10,3.47*LOG10(_xlfn.XLOOKUP(B78,'Base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stats'!AH:AH)=1),0.5,1)/100,0.025),1)))</f>
        <v>0.125</v>
      </c>
      <c r="BZ78" s="25" t="str">
        <f>IF(P78="Standard","No",MAX(0.01,IF(_xlfn.XLOOKUP(B78,'Base stats'!B:B,'Base stats'!N:N)=0,MROUND(BY78*P78,0.05),MIN(1,MAX(0.025,MROUND(IF(OR(CB78="true",AND(BI78="false",BN78="false")),POWER(10,4.15*LOG10(_xlfn.XLOOKUP(B78,'Base stats'!B:B,'Base stats'!C:C)*1000)^-0.73),POWER(10,3.47*LOG10(_xlfn.XLOOKUP(B78,'Base stats'!B:B,'Base stats'!C:C)*1000)^-0.96))*IF(_xlfn.XLOOKUP(B78,'Base stats'!B:B,'Base stats'!AH:AH)=1,0.5,1)/100,0.025))))))</f>
        <v>No</v>
      </c>
      <c r="CA78" s="25" t="str">
        <f>IF(_xlfn.XLOOKUP(_xlfn.XLOOKUP(B78,'Base stats'!B:B,'Base stats'!E:E),Groups!A:A,Groups!AJ:AJ)="Mammal","True","False")</f>
        <v>True</v>
      </c>
      <c r="CB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C78" s="25" t="str">
        <f t="shared" si="13"/>
        <v>False</v>
      </c>
      <c r="CD78" s="25" t="str">
        <f>IF(_xlfn.XLOOKUP(_xlfn.XLOOKUP(B78,'Base stats'!B:B,'Base stats'!E:E),Groups!A:A,Groups!AX:AX),"True","False")</f>
        <v>False</v>
      </c>
      <c r="CE78" s="25" t="str">
        <f>IF(_xlfn.XLOOKUP(_xlfn.XLOOKUP(B78,'Base stats'!B:B,'Base stats'!E:E),Groups!A:A,Groups!AY:AY),"True","False")</f>
        <v>False</v>
      </c>
      <c r="CF78" s="25" t="str">
        <f>IF(_xlfn.XLOOKUP(_xlfn.XLOOKUP(B78,'Base stats'!B:B,'Base stats'!E:E),Groups!A:A,Groups!AW:AW),"True","False")</f>
        <v>False</v>
      </c>
      <c r="CG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H78" s="25" t="str">
        <f>IF(_xlfn.XLOOKUP(_xlfn.XLOOKUP(B78,'Base stats'!B:B,'Base stats'!E:E),Groups!A:A,Groups!BB:BB),"True","False")</f>
        <v>True</v>
      </c>
      <c r="CI78" s="25" t="str">
        <f>IF(_xlfn.XLOOKUP(_xlfn.XLOOKUP(B78,'Base stats'!B:B,'Base stats'!E:E),Groups!A:A,Groups!BA:BA),"True","False")</f>
        <v>False</v>
      </c>
    </row>
    <row r="79" spans="1:87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stats'!AI:AI)=0,BH79="None",_xlfn.XLOOKUP(_xlfn.XLOOKUP(B79,'Base stats'!B:B,'Base stats'!E:E),Groups!A:A,Groups!B:B)=0), (18 + BQ79 * 2.7) * 0.5,
    IF(AND(_xlfn.XLOOKUP(B79,'Base stats'!B:B,'Base stats'!AI:AI)=0,OR(AO79&lt;0.55,AND(BH79="Intermediate",_xlfn.XLOOKUP(_xlfn.XLOOKUP(B79,'Base stats'!B:B,'Base stats'!E:E),Groups!A:A,Groups!B:B)&lt;2))), (18 + BQ79 * 2.7),
      IF(OR(BH79="Advanced",_xlfn.XLOOKUP(B79,'Base stats'!B:B,'Base stats'!AI:AI)=1,_xlfn.XLOOKUP(_xlfn.XLOOKUP(B79,'Base stats'!B:B,'Base stats'!E:E),Groups!A:A,Groups!B:B)=2), (18 + BQ79 * 2.7) + 250, (18 + BQ79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IF(_xlfn.XLOOKUP(B79,'Base stats'!B:B,'Base stats'!AI:AI)=1,0.99,MIN(MROUND((1-0.6282*EXP(-0.459*AO79))*_xlfn.XLOOKUP(_xlfn.XLOOKUP(B79,'Base stats'!B:B,'Base stats'!E:E),Groups!A:A,Groups!C:C)*IF(_xlfn.XLOOKUP(B79,'Base stats'!B:B,'Base stats'!O:O)=1,0.5,IF(_xlfn.XLOOKUP(B79,'Base stats'!B:B,'Base stats'!O:O)=2,0,1)),0.05),0.985))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W79)),ISNUMBER(SEARCH("IceSheet",BW79))),-50,IF(OR(ISNUMBER(SEARCH("GlacialPlain",BW79)),ISNUMBER(SEARCH("Tundra",BW79))),-40,IF(OR(ISNUMBER(SEARCH("Alpine",BW79)),ISNUMBER(SEARCH("BorealForest",BW79)),ISNUMBER(SEARCH("ColdBog",BW79))),-30,IF(OR(ISNUMBER(SEARCH("TemperateForest",BW79)),ISNUMBER(SEARCH("TemperateSwamp",BW79))),-20,IF(_xlfn.XLOOKUP(_xlfn.XLOOKUP(B79,'Base stats'!B:B,'Base stats'!E:E),Groups!A:A,Groups!F:F)=1,-15,IF(OR(ISNUMBER(SEARCH("Desert",BW79)),ISNUMBER(SEARCH("ExtremeDesert",BW79))),-10,IF(OR(ISNUMBER(SEARCH("Grasslands",BW79)),ISNUMBER(SEARCH("TropicalRainforest",BW79)),ISNUMBER(SEARCH("TropicalSwamp",BW79))),10,0)))))))-IF(CB79="False",MIN(IFERROR(MAX(MROUND(LOG10(_xlfn.XLOOKUP(B79,'Base stats'!B:B,'Base stats'!C:C)^(2/3))*10,5),5),5),30))-_xlfn.XLOOKUP(B79,'Base stats'!B:B,'Base stats'!P:P)+IF(CB79="True",5,0)</f>
        <v>-65</v>
      </c>
      <c r="M79" s="2">
        <f>IF(OR(_xlfn.XLOOKUP(_xlfn.XLOOKUP(B79,'Base stats'!B:B,'Base stats'!E:E),Groups!A:A,Groups!G:G)=2,ISNUMBER(SEARCH("Desert",BW79)),ISNUMBER(SEARCH("ExtremeDesert",BW79)),ISNUMBER(SEARCH("LavaField",BW79))),50,IF(ISNUMBER(SEARCH("Grasslands",BW79)),45,IF(OR(_xlfn.XLOOKUP(_xlfn.XLOOKUP(B79,'Base stats'!B:B,'Base stats'!E:E),Groups!A:A,Groups!G:G)=1,ISNUMBER(SEARCH("TropicalRainforest",BW79)),ISNUMBER(SEARCH("TropicalSwamp",BW79))),40,IF(OR(ISNUMBER(SEARCH("TemperateForest",BW79)),ISNUMBER(SEARCH("TemperateSwamp",BW79))),35,IF(OR(ISNUMBER(SEARCH("Alpine",BW79)),ISNUMBER(SEARCH("BorealForest",BW79)),ISNUMBER(SEARCH("ColdBog",BW79))),30,IF(ISNUMBER(OR(ISNUMBER(SEARCH("GlacialPlain",BW79)),SEARCH("Tundra",BW79))),25,IF(OR(ISNUMBER(SEARCH("SeaIce",BW79)),ISNUMBER(SEARCH("IceSheet",BW79)),ISNUMBER(SEARCH("TropicalSwamp",BW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stats'!AO:AO))*(AO79^0.5)+(_xlfn.XLOOKUP(B79,'Base stats'!B:B,'Base stats'!AO:AO)/1000)^(2/3)+_xlfn.XLOOKUP(B79,'Base stats'!B:B,'Base stats'!AX:AX)/2)+0.5,0.5)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stats'!AP:AP))*(AO79^0.5)+(_xlfn.XLOOKUP(B79,'Base stats'!B:B,'Base stats'!AP:AP)/1000)^(2/3)+_xlfn.XLOOKUP(B79,'Base stats'!B:B,'Base stats'!AX:AX))+_xlfn.XLOOKUP(B79,'Base stats'!B:B,'Base stats'!AV:AV)+0.5,0.5))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stats'!AR:AR))*(AO79^0.5)+(_xlfn.XLOOKUP(B79,'Base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stats'!AQ:AQ)="No","No",MROUND((LOG10(_xlfn.XLOOKUP(B79,'Base stats'!B:B,'Base stats'!AQ:AQ))*(AO79^0.75)+(_xlfn.XLOOKUP(B79,'Base stats'!B:B,'Base stats'!AQ:AQ)/1000)^(2/3)+_xlfn.XLOOKUP(B79,'Base stats'!B:B,'Base stats'!AU:AU)+_xlfn.XLOOKUP(B79,'Base stats'!B:B,'Base stats'!AX:AX))+0.5,0.5))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stats'!AP:AP))*(AO79^0.75)+(_xlfn.XLOOKUP(B79,'Base stats'!B:B,'Base stats'!AP:AP)/1000)^(2/3)+_xlfn.XLOOKUP(B79,'Base stats'!B:B,'Base stats'!AV:AV)+_xlfn.XLOOKUP(B79,'Base stats'!B:B,'Base stats'!AX:AX))+0.5,0.5))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MAX(0.01,MROUND(IF(CB79="True",0.196*(AO79*100*1000)^0.889,IF(_xlfn.XLOOKUP(_xlfn.XLOOKUP(B79,'Base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stats'!AE:AE)</f>
        <v>Leather_Mastodon</v>
      </c>
      <c r="BB79" s="23" t="str">
        <f>_xlfn.XLOOKUP(_xlfn.XLOOKUP(B79,'Base stats'!B:B,'Base stats'!E:E),Groups!A:A,Groups!AL:AL)</f>
        <v>QuadrupedAnimalWithHoovesTusksAndTrunk</v>
      </c>
      <c r="BC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D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E79" s="2" t="str">
        <f>IF(J79&gt;0.3,"No",_xlfn.XLOOKUP(_xlfn.XLOOKUP(Animals!B79,'Base stats'!B:B,'Base stats'!E:E),Groups!A:A,Groups!AP:AP))</f>
        <v>No</v>
      </c>
      <c r="BF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+ 24*(1-IF(BE79="No",0,BE79)) + 16/3, 12),"No")</f>
        <v>No</v>
      </c>
      <c r="BG79" s="2">
        <f>IF(AND(_xlfn.XLOOKUP(_xlfn.XLOOKUP(B79,'Base stats'!B:B,'Base stats'!E:E),Groups!A:A,Groups!AQ:AQ)=1,AO79&lt;=0.35),8,12)</f>
        <v>12</v>
      </c>
      <c r="BH79" s="2" t="str">
        <f>IF(_xlfn.XLOOKUP(_xlfn.XLOOKUP(B79,'Base stats'!B:B,'Base stats'!E:E),Groups!A:A,Groups!D:D)=0,_xlfn.XLOOKUP(_xlfn.XLOOKUP(B79,'Base stats'!B:B,'Base stats'!E:E),Groups!A:A,Groups!AR:AR),"None")</f>
        <v>Advanced</v>
      </c>
      <c r="BI79" s="2" t="str">
        <f>IF(AND(_xlfn.XLOOKUP(_xlfn.XLOOKUP(B79,'Base stats'!B:B,'Base stats'!E:E),Groups!A:A,Groups!AS:AS)=1,OR('Base stats'!Y79="Carnivore",'Base stats'!Y79="Omnivore")),"true","false")</f>
        <v>false</v>
      </c>
      <c r="BJ79" s="2" t="str">
        <f>IF(BI79="true",MROUND(IF(AND(AO79&gt;0.5,OR(_xlfn.XLOOKUP(_xlfn.XLOOKUP(B79,'Base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K79" s="2">
        <f t="shared" si="10"/>
        <v>1</v>
      </c>
      <c r="BL79" s="25" t="str">
        <f>IF(_xlfn.XLOOKUP(B79,'Base stats'!B:B,'Base stats'!AK:AK)="Standard","No",MROUND((_xlfn.XLOOKUP(B79,'Base stats'!B:B,'Base stats'!AK:AK)/3.6)/I79,0.1))</f>
        <v>No</v>
      </c>
      <c r="BM79" s="25" t="str">
        <f t="shared" si="11"/>
        <v>false</v>
      </c>
      <c r="BN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O79" s="25" t="str" cm="1">
        <f t="array" ref="BO79">IF(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 = "",
  "No",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
)</f>
        <v>WarTrumpet</v>
      </c>
      <c r="BP79" s="25" t="str">
        <f>IF(
   AND(
      'Base stats'!AK79="Standard",_xlfn.XLOOKUP(_xlfn.XLOOKUP(B79,'Base stats'!B:B,'Base stats'!E:E),Groups!A:A,Groups!AU:AU)=0,
      OR(
      BN79="True"
      )
   ),
   10,
   IF(
       OR(BL79&lt;&gt;"No",_xlfn.XLOOKUP(_xlfn.XLOOKUP(B79,'Base stats'!B:B,'Base stats'!E:E),Groups!A:A,Groups!AU:AU)=1),
      1,
      "No"
   )
)</f>
        <v>No</v>
      </c>
      <c r="BQ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stats'!AS:AS) * 1.8) * 2) * 2.5 + 10 + I79 * 2,5)+IF(_xlfn.XLOOKUP(B79,'Base stats'!B:B,'Base stats'!AH:AH)=1,50,0)</f>
        <v>520</v>
      </c>
      <c r="BR79" s="8">
        <f t="shared" si="12"/>
        <v>3.4000000000000004</v>
      </c>
      <c r="BS79" s="8" t="str">
        <f>_xlfn.XLOOKUP(B79,'Base stats'!B:B,'Base stats'!AD:AD)</f>
        <v>3~10</v>
      </c>
      <c r="BT79" s="2" t="str">
        <f>IF(AND(J79&lt;=0.95,OR(_xlfn.XLOOKUP(B79,'Base stats'!B:B,'Base stats'!AH:AH)=1,_xlfn.XLOOKUP(B79,'Base stats'!B:B,'Base stats'!Y:Y)="Carnivore",_xlfn.XLOOKUP(B79,'Base stats'!B:B,'Base stats'!Y:Y)="Omnivore",BD79&gt;0.1)),"true","false")</f>
        <v>true</v>
      </c>
      <c r="BU79" s="2" t="str">
        <f>IF(_xlfn.XLOOKUP(B79,'Base stats'!B:B,'Base stats'!AF:AF)=1,"true","false")</f>
        <v>true</v>
      </c>
      <c r="BV79" s="25" t="str">
        <f>IF(E79="BaseInsect","AnimalInsect",
IF(J79&gt;0.95,"AnimalExotic",
_xlfn.TEXTJOIN(", ",TRUE,
IF(OR(_xlfn.XLOOKUP(B79,'Base stats'!B:B,'Base stats'!AJ:AJ)=1,AND(_xlfn.XLOOKUP(B79,'Base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stats'!AH:AH)=1,AND(BH79&lt;&gt;"None",BQ79&gt;=60),ISNUMBER(SEARCH("Attack target",BO79))),"AnimalFighter","")
)))</f>
        <v>AnimalUncommon, AnimalFighter</v>
      </c>
      <c r="BW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),_xlfn.XLOOKUP(B79,B:B,BW:BW))</f>
        <v>GlacialPlain</v>
      </c>
      <c r="BX79" s="25" t="str">
        <f>IF(_xlfn.XLOOKUP(B79,'Base stats'!B:B,'Base stats'!AG:AG)=1,"true","false")</f>
        <v>false</v>
      </c>
      <c r="BY79" s="25">
        <f>IF(_xlfn.XLOOKUP(B79,'Base stats'!B:B,'Base stats'!N:N)=1,"No",MAX(0.01,MIN(MROUND(IF(OR(_xlfn.XLOOKUP(B79,'Base stats'!B:B,'Base stats'!AJ:AJ)=1,AND(BI79="True",CB79="False")),POWER(10,3.47*LOG10(_xlfn.XLOOKUP(B79,'Base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stats'!AH:AH)=1),0.5,1)/100,0.025),1)))</f>
        <v>0.1</v>
      </c>
      <c r="BZ79" s="25" t="str">
        <f>IF(P79="Standard","No",MAX(0.01,IF(_xlfn.XLOOKUP(B79,'Base stats'!B:B,'Base stats'!N:N)=0,MROUND(BY79*P79,0.05),MIN(1,MAX(0.025,MROUND(IF(OR(CB79="true",AND(BI79="false",BN79="false")),POWER(10,4.15*LOG10(_xlfn.XLOOKUP(B79,'Base stats'!B:B,'Base stats'!C:C)*1000)^-0.73),POWER(10,3.47*LOG10(_xlfn.XLOOKUP(B79,'Base stats'!B:B,'Base stats'!C:C)*1000)^-0.96))*IF(_xlfn.XLOOKUP(B79,'Base stats'!B:B,'Base stats'!AH:AH)=1,0.5,1)/100,0.025))))))</f>
        <v>No</v>
      </c>
      <c r="CA79" s="25" t="str">
        <f>IF(_xlfn.XLOOKUP(_xlfn.XLOOKUP(B79,'Base stats'!B:B,'Base stats'!E:E),Groups!A:A,Groups!AJ:AJ)="Mammal","True","False")</f>
        <v>True</v>
      </c>
      <c r="CB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C79" s="25" t="str">
        <f t="shared" si="13"/>
        <v>False</v>
      </c>
      <c r="CD79" s="25" t="str">
        <f>IF(_xlfn.XLOOKUP(_xlfn.XLOOKUP(B79,'Base stats'!B:B,'Base stats'!E:E),Groups!A:A,Groups!AX:AX),"True","False")</f>
        <v>False</v>
      </c>
      <c r="CE79" s="25" t="str">
        <f>IF(_xlfn.XLOOKUP(_xlfn.XLOOKUP(B79,'Base stats'!B:B,'Base stats'!E:E),Groups!A:A,Groups!AY:AY),"True","False")</f>
        <v>False</v>
      </c>
      <c r="CF79" s="25" t="str">
        <f>IF(_xlfn.XLOOKUP(_xlfn.XLOOKUP(B79,'Base stats'!B:B,'Base stats'!E:E),Groups!A:A,Groups!AW:AW),"True","False")</f>
        <v>False</v>
      </c>
      <c r="CG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H79" s="25" t="str">
        <f>IF(_xlfn.XLOOKUP(_xlfn.XLOOKUP(B79,'Base stats'!B:B,'Base stats'!E:E),Groups!A:A,Groups!BB:BB),"True","False")</f>
        <v>True</v>
      </c>
      <c r="CI79" s="25" t="str">
        <f>IF(_xlfn.XLOOKUP(_xlfn.XLOOKUP(B79,'Base stats'!B:B,'Base stats'!E:E),Groups!A:A,Groups!BA:BA),"True","False")</f>
        <v>False</v>
      </c>
    </row>
    <row r="80" spans="1:87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stats'!AI:AI)=0,BH80="None",_xlfn.XLOOKUP(_xlfn.XLOOKUP(B80,'Base stats'!B:B,'Base stats'!E:E),Groups!A:A,Groups!B:B)=0), (18 + BQ80 * 2.7) * 0.5,
    IF(AND(_xlfn.XLOOKUP(B80,'Base stats'!B:B,'Base stats'!AI:AI)=0,OR(AO80&lt;0.55,AND(BH80="Intermediate",_xlfn.XLOOKUP(_xlfn.XLOOKUP(B80,'Base stats'!B:B,'Base stats'!E:E),Groups!A:A,Groups!B:B)&lt;2))), (18 + BQ80 * 2.7),
      IF(OR(BH80="Advanced",_xlfn.XLOOKUP(B80,'Base stats'!B:B,'Base stats'!AI:AI)=1,_xlfn.XLOOKUP(_xlfn.XLOOKUP(B80,'Base stats'!B:B,'Base stats'!E:E),Groups!A:A,Groups!B:B)=2), (18 + BQ80 * 2.7) + 250, (18 + BQ80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IF(_xlfn.XLOOKUP(B80,'Base stats'!B:B,'Base stats'!AI:AI)=1,0.99,MIN(MROUND((1-0.6282*EXP(-0.459*AO80))*_xlfn.XLOOKUP(_xlfn.XLOOKUP(B80,'Base stats'!B:B,'Base stats'!E:E),Groups!A:A,Groups!C:C)*IF(_xlfn.XLOOKUP(B80,'Base stats'!B:B,'Base stats'!O:O)=1,0.5,IF(_xlfn.XLOOKUP(B80,'Base stats'!B:B,'Base stats'!O:O)=2,0,1)),0.05),0.985))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W80)),ISNUMBER(SEARCH("IceSheet",BW80))),-50,IF(OR(ISNUMBER(SEARCH("GlacialPlain",BW80)),ISNUMBER(SEARCH("Tundra",BW80))),-40,IF(OR(ISNUMBER(SEARCH("Alpine",BW80)),ISNUMBER(SEARCH("BorealForest",BW80)),ISNUMBER(SEARCH("ColdBog",BW80))),-30,IF(OR(ISNUMBER(SEARCH("TemperateForest",BW80)),ISNUMBER(SEARCH("TemperateSwamp",BW80))),-20,IF(_xlfn.XLOOKUP(_xlfn.XLOOKUP(B80,'Base stats'!B:B,'Base stats'!E:E),Groups!A:A,Groups!F:F)=1,-15,IF(OR(ISNUMBER(SEARCH("Desert",BW80)),ISNUMBER(SEARCH("ExtremeDesert",BW80))),-10,IF(OR(ISNUMBER(SEARCH("Grasslands",BW80)),ISNUMBER(SEARCH("TropicalRainforest",BW80)),ISNUMBER(SEARCH("TropicalSwamp",BW80))),10,0)))))))-IF(CB80="False",MIN(IFERROR(MAX(MROUND(LOG10(_xlfn.XLOOKUP(B80,'Base stats'!B:B,'Base stats'!C:C)^(2/3))*10,5),5),5),30))-_xlfn.XLOOKUP(B80,'Base stats'!B:B,'Base stats'!P:P)+IF(CB80="True",5,0)</f>
        <v>-75</v>
      </c>
      <c r="M80" s="2">
        <f>IF(OR(_xlfn.XLOOKUP(_xlfn.XLOOKUP(B80,'Base stats'!B:B,'Base stats'!E:E),Groups!A:A,Groups!G:G)=2,ISNUMBER(SEARCH("Desert",BW80)),ISNUMBER(SEARCH("ExtremeDesert",BW80)),ISNUMBER(SEARCH("LavaField",BW80))),50,IF(ISNUMBER(SEARCH("Grasslands",BW80)),45,IF(OR(_xlfn.XLOOKUP(_xlfn.XLOOKUP(B80,'Base stats'!B:B,'Base stats'!E:E),Groups!A:A,Groups!G:G)=1,ISNUMBER(SEARCH("TropicalRainforest",BW80)),ISNUMBER(SEARCH("TropicalSwamp",BW80))),40,IF(OR(ISNUMBER(SEARCH("TemperateForest",BW80)),ISNUMBER(SEARCH("TemperateSwamp",BW80))),35,IF(OR(ISNUMBER(SEARCH("Alpine",BW80)),ISNUMBER(SEARCH("BorealForest",BW80)),ISNUMBER(SEARCH("ColdBog",BW80))),30,IF(ISNUMBER(OR(ISNUMBER(SEARCH("GlacialPlain",BW80)),SEARCH("Tundra",BW80))),25,IF(OR(ISNUMBER(SEARCH("SeaIce",BW80)),ISNUMBER(SEARCH("IceSheet",BW80)),ISNUMBER(SEARCH("TropicalSwamp",BW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stats'!AO:AO))*(AO80^0.5)+(_xlfn.XLOOKUP(B80,'Base stats'!B:B,'Base stats'!AO:AO)/1000)^(2/3)+_xlfn.XLOOKUP(B80,'Base stats'!B:B,'Base stats'!AX:AX)/2)+0.5,0.5)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stats'!AP:AP))*(AO80^0.5)+(_xlfn.XLOOKUP(B80,'Base stats'!B:B,'Base stats'!AP:AP)/1000)^(2/3)+_xlfn.XLOOKUP(B80,'Base stats'!B:B,'Base stats'!AX:AX))+_xlfn.XLOOKUP(B80,'Base stats'!B:B,'Base stats'!AV:AV)+0.5,0.5))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stats'!AR:AR))*(AO80^0.5)+(_xlfn.XLOOKUP(B80,'Base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stats'!AQ:AQ)="No","No",MROUND((LOG10(_xlfn.XLOOKUP(B80,'Base stats'!B:B,'Base stats'!AQ:AQ))*(AO80^0.75)+(_xlfn.XLOOKUP(B80,'Base stats'!B:B,'Base stats'!AQ:AQ)/1000)^(2/3)+_xlfn.XLOOKUP(B80,'Base stats'!B:B,'Base stats'!AU:AU)+_xlfn.XLOOKUP(B80,'Base stats'!B:B,'Base stats'!AX:AX))+0.5,0.5))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stats'!AP:AP))*(AO80^0.75)+(_xlfn.XLOOKUP(B80,'Base stats'!B:B,'Base stats'!AP:AP)/1000)^(2/3)+_xlfn.XLOOKUP(B80,'Base stats'!B:B,'Base stats'!AV:AV)+_xlfn.XLOOKUP(B80,'Base stats'!B:B,'Base stats'!AX:AX))+0.5,0.5))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MAX(0.01,MROUND(IF(CB80="True",0.196*(AO80*100*1000)^0.889,IF(_xlfn.XLOOKUP(_xlfn.XLOOKUP(B80,'Base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stats'!AE:AE)</f>
        <v>Leather_AlphaThrumbo</v>
      </c>
      <c r="BB80" s="23" t="str">
        <f>_xlfn.XLOOKUP(_xlfn.XLOOKUP(B80,'Base stats'!B:B,'Base stats'!E:E),Groups!A:A,Groups!AL:AL)</f>
        <v>QuadrupedAnimalWithHoovesAndHorn</v>
      </c>
      <c r="BC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D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E80" s="2" t="str">
        <f>IF(J80&gt;0.3,"No",_xlfn.XLOOKUP(_xlfn.XLOOKUP(Animals!B80,'Base stats'!B:B,'Base stats'!E:E),Groups!A:A,Groups!AP:AP))</f>
        <v>No</v>
      </c>
      <c r="BF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+ 24*(1-IF(BE80="No",0,BE80)) + 16/3, 12),"No")</f>
        <v>No</v>
      </c>
      <c r="BG80" s="2">
        <f>IF(AND(_xlfn.XLOOKUP(_xlfn.XLOOKUP(B80,'Base stats'!B:B,'Base stats'!E:E),Groups!A:A,Groups!AQ:AQ)=1,AO80&lt;=0.35),8,12)</f>
        <v>12</v>
      </c>
      <c r="BH80" s="2" t="str">
        <f>IF(_xlfn.XLOOKUP(_xlfn.XLOOKUP(B80,'Base stats'!B:B,'Base stats'!E:E),Groups!A:A,Groups!D:D)=0,_xlfn.XLOOKUP(_xlfn.XLOOKUP(B80,'Base stats'!B:B,'Base stats'!E:E),Groups!A:A,Groups!AR:AR),"None")</f>
        <v>Advanced</v>
      </c>
      <c r="BI80" s="2" t="str">
        <f>IF(AND(_xlfn.XLOOKUP(_xlfn.XLOOKUP(B80,'Base stats'!B:B,'Base stats'!E:E),Groups!A:A,Groups!AS:AS)=1,OR('Base stats'!Y80="Carnivore",'Base stats'!Y80="Omnivore")),"true","false")</f>
        <v>false</v>
      </c>
      <c r="BJ80" s="2" t="str">
        <f>IF(BI80="true",MROUND(IF(AND(AO80&gt;0.5,OR(_xlfn.XLOOKUP(_xlfn.XLOOKUP(B80,'Base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K80" s="2">
        <f t="shared" si="10"/>
        <v>1</v>
      </c>
      <c r="BL80" s="25" t="str">
        <f>IF(_xlfn.XLOOKUP(B80,'Base stats'!B:B,'Base stats'!AK:AK)="Standard","No",MROUND((_xlfn.XLOOKUP(B80,'Base stats'!B:B,'Base stats'!AK:AK)/3.6)/I80,0.1))</f>
        <v>No</v>
      </c>
      <c r="BM80" s="25" t="str">
        <f t="shared" si="11"/>
        <v>false</v>
      </c>
      <c r="BN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O80" s="25" t="str" cm="1">
        <f t="array" ref="BO80">IF(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 = "",
  "No",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
)</f>
        <v>ThrumboRoar</v>
      </c>
      <c r="BP80" s="25" t="str">
        <f>IF(
   AND(
      'Base stats'!AK80="Standard",_xlfn.XLOOKUP(_xlfn.XLOOKUP(B80,'Base stats'!B:B,'Base stats'!E:E),Groups!A:A,Groups!AU:AU)=0,
      OR(
      BN80="True"
      )
   ),
   10,
   IF(
       OR(BL80&lt;&gt;"No",_xlfn.XLOOKUP(_xlfn.XLOOKUP(B80,'Base stats'!B:B,'Base stats'!E:E),Groups!A:A,Groups!AU:AU)=1),
      1,
      "No"
   )
)</f>
        <v>No</v>
      </c>
      <c r="BQ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stats'!AS:AS) * 1.8) * 2) * 2.5 + 10 + I80 * 2,5)+IF(_xlfn.XLOOKUP(B80,'Base stats'!B:B,'Base stats'!AH:AH)=1,50,0)</f>
        <v>1240</v>
      </c>
      <c r="BR80" s="8">
        <f t="shared" si="12"/>
        <v>3.6500000000000004</v>
      </c>
      <c r="BS80" s="8" t="str">
        <f>_xlfn.XLOOKUP(B80,'Base stats'!B:B,'Base stats'!AD:AD)</f>
        <v>1~6</v>
      </c>
      <c r="BT80" s="2" t="str">
        <f>IF(AND(J80&lt;=0.95,OR(_xlfn.XLOOKUP(B80,'Base stats'!B:B,'Base stats'!AH:AH)=1,_xlfn.XLOOKUP(B80,'Base stats'!B:B,'Base stats'!Y:Y)="Carnivore",_xlfn.XLOOKUP(B80,'Base stats'!B:B,'Base stats'!Y:Y)="Omnivore",BD80&gt;0.1)),"true","false")</f>
        <v>false</v>
      </c>
      <c r="BU80" s="2" t="str">
        <f>IF(_xlfn.XLOOKUP(B80,'Base stats'!B:B,'Base stats'!AF:AF)=1,"true","false")</f>
        <v>false</v>
      </c>
      <c r="BV80" s="25" t="str">
        <f>IF(E80="BaseInsect","AnimalInsect",
IF(J80&gt;0.95,"AnimalExotic",
_xlfn.TEXTJOIN(", ",TRUE,
IF(OR(_xlfn.XLOOKUP(B80,'Base stats'!B:B,'Base stats'!AJ:AJ)=1,AND(_xlfn.XLOOKUP(B80,'Base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stats'!AH:AH)=1,AND(BH80&lt;&gt;"None",BQ80&gt;=60),ISNUMBER(SEARCH("Attack target",BO80))),"AnimalFighter","")
)))</f>
        <v>AnimalExotic</v>
      </c>
      <c r="BW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),_xlfn.XLOOKUP(B80,B:B,BW:BW))</f>
        <v/>
      </c>
      <c r="BX80" s="25" t="str">
        <f>IF(_xlfn.XLOOKUP(B80,'Base stats'!B:B,'Base stats'!AG:AG)=1,"true","false")</f>
        <v>false</v>
      </c>
      <c r="BY80" s="25">
        <f>IF(_xlfn.XLOOKUP(B80,'Base stats'!B:B,'Base stats'!N:N)=1,"No",MAX(0.01,MIN(MROUND(IF(OR(_xlfn.XLOOKUP(B80,'Base stats'!B:B,'Base stats'!AJ:AJ)=1,AND(BI80="True",CB80="False")),POWER(10,3.47*LOG10(_xlfn.XLOOKUP(B80,'Base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stats'!AH:AH)=1),0.5,1)/100,0.025),1)))</f>
        <v>2.5000000000000001E-2</v>
      </c>
      <c r="BZ80" s="25">
        <f>IF(P80="Standard","No",MAX(0.01,IF(_xlfn.XLOOKUP(B80,'Base stats'!B:B,'Base stats'!N:N)=0,MROUND(BY80*P80,0.05),MIN(1,MAX(0.025,MROUND(IF(OR(CB80="true",AND(BI80="false",BN80="false")),POWER(10,4.15*LOG10(_xlfn.XLOOKUP(B80,'Base stats'!B:B,'Base stats'!C:C)*1000)^-0.73),POWER(10,3.47*LOG10(_xlfn.XLOOKUP(B80,'Base stats'!B:B,'Base stats'!C:C)*1000)^-0.96))*IF(_xlfn.XLOOKUP(B80,'Base stats'!B:B,'Base stats'!AH:AH)=1,0.5,1)/100,0.025))))))</f>
        <v>0.05</v>
      </c>
      <c r="CA80" s="25" t="str">
        <f>IF(_xlfn.XLOOKUP(_xlfn.XLOOKUP(B80,'Base stats'!B:B,'Base stats'!E:E),Groups!A:A,Groups!AJ:AJ)="Mammal","True","False")</f>
        <v>True</v>
      </c>
      <c r="CB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C80" s="25" t="str">
        <f t="shared" si="13"/>
        <v>True</v>
      </c>
      <c r="CD80" s="25" t="str">
        <f>IF(_xlfn.XLOOKUP(_xlfn.XLOOKUP(B80,'Base stats'!B:B,'Base stats'!E:E),Groups!A:A,Groups!AX:AX),"True","False")</f>
        <v>False</v>
      </c>
      <c r="CE80" s="25" t="str">
        <f>IF(_xlfn.XLOOKUP(_xlfn.XLOOKUP(B80,'Base stats'!B:B,'Base stats'!E:E),Groups!A:A,Groups!AY:AY),"True","False")</f>
        <v>False</v>
      </c>
      <c r="CF80" s="25" t="str">
        <f>IF(_xlfn.XLOOKUP(_xlfn.XLOOKUP(B80,'Base stats'!B:B,'Base stats'!E:E),Groups!A:A,Groups!AW:AW),"True","False")</f>
        <v>False</v>
      </c>
      <c r="CG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H80" s="25" t="str">
        <f>IF(_xlfn.XLOOKUP(_xlfn.XLOOKUP(B80,'Base stats'!B:B,'Base stats'!E:E),Groups!A:A,Groups!BB:BB),"True","False")</f>
        <v>True</v>
      </c>
      <c r="CI80" s="25" t="str">
        <f>IF(_xlfn.XLOOKUP(_xlfn.XLOOKUP(B80,'Base stats'!B:B,'Base stats'!E:E),Groups!A:A,Groups!BA:BA),"True","False")</f>
        <v>False</v>
      </c>
    </row>
    <row r="81" spans="1:87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stats'!AI:AI)=0,BH81="None",_xlfn.XLOOKUP(_xlfn.XLOOKUP(B81,'Base stats'!B:B,'Base stats'!E:E),Groups!A:A,Groups!B:B)=0), (18 + BQ81 * 2.7) * 0.5,
    IF(AND(_xlfn.XLOOKUP(B81,'Base stats'!B:B,'Base stats'!AI:AI)=0,OR(AO81&lt;0.55,AND(BH81="Intermediate",_xlfn.XLOOKUP(_xlfn.XLOOKUP(B81,'Base stats'!B:B,'Base stats'!E:E),Groups!A:A,Groups!B:B)&lt;2))), (18 + BQ81 * 2.7),
      IF(OR(BH81="Advanced",_xlfn.XLOOKUP(B81,'Base stats'!B:B,'Base stats'!AI:AI)=1,_xlfn.XLOOKUP(_xlfn.XLOOKUP(B81,'Base stats'!B:B,'Base stats'!E:E),Groups!A:A,Groups!B:B)=2), (18 + BQ81 * 2.7) + 250, (18 + BQ81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IF(_xlfn.XLOOKUP(B81,'Base stats'!B:B,'Base stats'!AI:AI)=1,0.99,MIN(MROUND((1-0.6282*EXP(-0.459*AO81))*_xlfn.XLOOKUP(_xlfn.XLOOKUP(B81,'Base stats'!B:B,'Base stats'!E:E),Groups!A:A,Groups!C:C)*IF(_xlfn.XLOOKUP(B81,'Base stats'!B:B,'Base stats'!O:O)=1,0.5,IF(_xlfn.XLOOKUP(B81,'Base stats'!B:B,'Base stats'!O:O)=2,0,1)),0.05),0.985))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W81)),ISNUMBER(SEARCH("IceSheet",BW81))),-50,IF(OR(ISNUMBER(SEARCH("GlacialPlain",BW81)),ISNUMBER(SEARCH("Tundra",BW81))),-40,IF(OR(ISNUMBER(SEARCH("Alpine",BW81)),ISNUMBER(SEARCH("BorealForest",BW81)),ISNUMBER(SEARCH("ColdBog",BW81))),-30,IF(OR(ISNUMBER(SEARCH("TemperateForest",BW81)),ISNUMBER(SEARCH("TemperateSwamp",BW81))),-20,IF(_xlfn.XLOOKUP(_xlfn.XLOOKUP(B81,'Base stats'!B:B,'Base stats'!E:E),Groups!A:A,Groups!F:F)=1,-15,IF(OR(ISNUMBER(SEARCH("Desert",BW81)),ISNUMBER(SEARCH("ExtremeDesert",BW81))),-10,IF(OR(ISNUMBER(SEARCH("Grasslands",BW81)),ISNUMBER(SEARCH("TropicalRainforest",BW81)),ISNUMBER(SEARCH("TropicalSwamp",BW81))),10,0)))))))-IF(CB81="False",MIN(IFERROR(MAX(MROUND(LOG10(_xlfn.XLOOKUP(B81,'Base stats'!B:B,'Base stats'!C:C)^(2/3))*10,5),5),5),30))-_xlfn.XLOOKUP(B81,'Base stats'!B:B,'Base stats'!P:P)+IF(CB81="True",5,0)</f>
        <v>-15</v>
      </c>
      <c r="M81" s="2">
        <f>IF(OR(_xlfn.XLOOKUP(_xlfn.XLOOKUP(B81,'Base stats'!B:B,'Base stats'!E:E),Groups!A:A,Groups!G:G)=2,ISNUMBER(SEARCH("Desert",BW81)),ISNUMBER(SEARCH("ExtremeDesert",BW81)),ISNUMBER(SEARCH("LavaField",BW81))),50,IF(ISNUMBER(SEARCH("Grasslands",BW81)),45,IF(OR(_xlfn.XLOOKUP(_xlfn.XLOOKUP(B81,'Base stats'!B:B,'Base stats'!E:E),Groups!A:A,Groups!G:G)=1,ISNUMBER(SEARCH("TropicalRainforest",BW81)),ISNUMBER(SEARCH("TropicalSwamp",BW81))),40,IF(OR(ISNUMBER(SEARCH("TemperateForest",BW81)),ISNUMBER(SEARCH("TemperateSwamp",BW81))),35,IF(OR(ISNUMBER(SEARCH("Alpine",BW81)),ISNUMBER(SEARCH("BorealForest",BW81)),ISNUMBER(SEARCH("ColdBog",BW81))),30,IF(ISNUMBER(OR(ISNUMBER(SEARCH("GlacialPlain",BW81)),SEARCH("Tundra",BW81))),25,IF(OR(ISNUMBER(SEARCH("SeaIce",BW81)),ISNUMBER(SEARCH("IceSheet",BW81)),ISNUMBER(SEARCH("TropicalSwamp",BW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stats'!AO:AO))*(AO81^0.5)+(_xlfn.XLOOKUP(B81,'Base stats'!B:B,'Base stats'!AO:AO)/1000)^(2/3)+_xlfn.XLOOKUP(B81,'Base stats'!B:B,'Base stats'!AX:AX)/2)+0.5,0.5)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stats'!AP:AP))*(AO81^0.5)+(_xlfn.XLOOKUP(B81,'Base stats'!B:B,'Base stats'!AP:AP)/1000)^(2/3)+_xlfn.XLOOKUP(B81,'Base stats'!B:B,'Base stats'!AX:AX))+_xlfn.XLOOKUP(B81,'Base stats'!B:B,'Base stats'!AV:AV)+0.5,0.5))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stats'!AR:AR))*(AO81^0.5)+(_xlfn.XLOOKUP(B81,'Base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stats'!AQ:AQ)="No","No",MROUND((LOG10(_xlfn.XLOOKUP(B81,'Base stats'!B:B,'Base stats'!AQ:AQ))*(AO81^0.75)+(_xlfn.XLOOKUP(B81,'Base stats'!B:B,'Base stats'!AQ:AQ)/1000)^(2/3)+_xlfn.XLOOKUP(B81,'Base stats'!B:B,'Base stats'!AU:AU)+_xlfn.XLOOKUP(B81,'Base stats'!B:B,'Base stats'!AX:AX))+0.5,0.5))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stats'!AP:AP))*(AO81^0.75)+(_xlfn.XLOOKUP(B81,'Base stats'!B:B,'Base stats'!AP:AP)/1000)^(2/3)+_xlfn.XLOOKUP(B81,'Base stats'!B:B,'Base stats'!AV:AV)+_xlfn.XLOOKUP(B81,'Base stats'!B:B,'Base stats'!AX:AX))+0.5,0.5))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MAX(0.01,MROUND(IF(CB81="True",0.196*(AO81*100*1000)^0.889,IF(_xlfn.XLOOKUP(_xlfn.XLOOKUP(B81,'Base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stats'!AE:AE)</f>
        <v>Leather_Armadillo</v>
      </c>
      <c r="BB81" s="23" t="str">
        <f>_xlfn.XLOOKUP(_xlfn.XLOOKUP(B81,'Base stats'!B:B,'Base stats'!E:E),Groups!A:A,Groups!AL:AL)</f>
        <v>QuadrupedAnimalWithPawsAndTail</v>
      </c>
      <c r="BC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D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E81" s="2" t="str">
        <f>IF(J81&gt;0.3,"No",_xlfn.XLOOKUP(_xlfn.XLOOKUP(Animals!B81,'Base stats'!B:B,'Base stats'!E:E),Groups!A:A,Groups!AP:AP))</f>
        <v>No</v>
      </c>
      <c r="BF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+ 24*(1-IF(BE81="No",0,BE81)) + 16/3, 12),"No")</f>
        <v>No</v>
      </c>
      <c r="BG81" s="2">
        <f>IF(AND(_xlfn.XLOOKUP(_xlfn.XLOOKUP(B81,'Base stats'!B:B,'Base stats'!E:E),Groups!A:A,Groups!AQ:AQ)=1,AO81&lt;=0.35),8,12)</f>
        <v>12</v>
      </c>
      <c r="BH81" s="2" t="str">
        <f>IF(_xlfn.XLOOKUP(_xlfn.XLOOKUP(B81,'Base stats'!B:B,'Base stats'!E:E),Groups!A:A,Groups!D:D)=0,_xlfn.XLOOKUP(_xlfn.XLOOKUP(B81,'Base stats'!B:B,'Base stats'!E:E),Groups!A:A,Groups!AR:AR),"None")</f>
        <v>None</v>
      </c>
      <c r="BI81" s="2" t="str">
        <f>IF(AND(_xlfn.XLOOKUP(_xlfn.XLOOKUP(B81,'Base stats'!B:B,'Base stats'!E:E),Groups!A:A,Groups!AS:AS)=1,OR('Base stats'!Y81="Carnivore",'Base stats'!Y81="Omnivore")),"true","false")</f>
        <v>false</v>
      </c>
      <c r="BJ81" s="2" t="str">
        <f>IF(BI81="true",MROUND(IF(AND(AO81&gt;0.5,OR(_xlfn.XLOOKUP(_xlfn.XLOOKUP(B81,'Base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K81" s="2">
        <f t="shared" si="10"/>
        <v>0</v>
      </c>
      <c r="BL81" s="25" t="str">
        <f>IF(_xlfn.XLOOKUP(B81,'Base stats'!B:B,'Base stats'!AK:AK)="Standard","No",MROUND((_xlfn.XLOOKUP(B81,'Base stats'!B:B,'Base stats'!AK:AK)/3.6)/I81,0.1))</f>
        <v>No</v>
      </c>
      <c r="BM81" s="25" t="str">
        <f t="shared" si="11"/>
        <v>false</v>
      </c>
      <c r="BN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O81" s="25" t="str" cm="1">
        <f t="array" ref="BO81">IF(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 = "",
  "No",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
)</f>
        <v>Forage</v>
      </c>
      <c r="BP81" s="25" t="str">
        <f>IF(
   AND(
      'Base stats'!AK81="Standard",_xlfn.XLOOKUP(_xlfn.XLOOKUP(B81,'Base stats'!B:B,'Base stats'!E:E),Groups!A:A,Groups!AU:AU)=0,
      OR(
      BN81="True"
      )
   ),
   10,
   IF(
       OR(BL81&lt;&gt;"No",_xlfn.XLOOKUP(_xlfn.XLOOKUP(B81,'Base stats'!B:B,'Base stats'!E:E),Groups!A:A,Groups!AU:AU)=1),
      1,
      "No"
   )
)</f>
        <v>No</v>
      </c>
      <c r="BQ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stats'!AS:AS) * 1.8) * 2) * 2.5 + 10 + I81 * 2,5)+IF(_xlfn.XLOOKUP(B81,'Base stats'!B:B,'Base stats'!AH:AH)=1,50,0)</f>
        <v>50</v>
      </c>
      <c r="BR81" s="8">
        <f t="shared" si="12"/>
        <v>0.30000000000000004</v>
      </c>
      <c r="BS81" s="8" t="str">
        <f>_xlfn.XLOOKUP(B81,'Base stats'!B:B,'Base stats'!AD:AD)</f>
        <v>No</v>
      </c>
      <c r="BT81" s="2" t="str">
        <f>IF(AND(J81&lt;=0.95,OR(_xlfn.XLOOKUP(B81,'Base stats'!B:B,'Base stats'!AH:AH)=1,_xlfn.XLOOKUP(B81,'Base stats'!B:B,'Base stats'!Y:Y)="Carnivore",_xlfn.XLOOKUP(B81,'Base stats'!B:B,'Base stats'!Y:Y)="Omnivore",BD81&gt;0.1)),"true","false")</f>
        <v>true</v>
      </c>
      <c r="BU81" s="2" t="str">
        <f>IF(_xlfn.XLOOKUP(B81,'Base stats'!B:B,'Base stats'!AF:AF)=1,"true","false")</f>
        <v>false</v>
      </c>
      <c r="BV81" s="25" t="str">
        <f>IF(E81="BaseInsect","AnimalInsect",
IF(J81&gt;0.95,"AnimalExotic",
_xlfn.TEXTJOIN(", ",TRUE,
IF(OR(_xlfn.XLOOKUP(B81,'Base stats'!B:B,'Base stats'!AJ:AJ)=1,AND(_xlfn.XLOOKUP(B81,'Base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stats'!AH:AH)=1,AND(BH81&lt;&gt;"None",BQ81&gt;=60),ISNUMBER(SEARCH("Attack target",BO81))),"AnimalFighter","")
)))</f>
        <v>AnimalUncommon</v>
      </c>
      <c r="BW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),_xlfn.XLOOKUP(B81,B:B,BW:BW))</f>
        <v>AridShrubland Desert ExtremeDesert TropicalRainforest TropicalSwamp Grasslands Glowforest LavaField</v>
      </c>
      <c r="BX81" s="25" t="str">
        <f>IF(_xlfn.XLOOKUP(B81,'Base stats'!B:B,'Base stats'!AG:AG)=1,"true","false")</f>
        <v>false</v>
      </c>
      <c r="BY81" s="25">
        <f>IF(_xlfn.XLOOKUP(B81,'Base stats'!B:B,'Base stats'!N:N)=1,"No",MAX(0.01,MIN(MROUND(IF(OR(_xlfn.XLOOKUP(B81,'Base stats'!B:B,'Base stats'!AJ:AJ)=1,AND(BI81="True",CB81="False")),POWER(10,3.47*LOG10(_xlfn.XLOOKUP(B81,'Base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stats'!AH:AH)=1),0.5,1)/100,0.025),1)))</f>
        <v>0.375</v>
      </c>
      <c r="BZ81" s="25" t="str">
        <f>IF(P81="Standard","No",MAX(0.01,IF(_xlfn.XLOOKUP(B81,'Base stats'!B:B,'Base stats'!N:N)=0,MROUND(BY81*P81,0.05),MIN(1,MAX(0.025,MROUND(IF(OR(CB81="true",AND(BI81="false",BN81="false")),POWER(10,4.15*LOG10(_xlfn.XLOOKUP(B81,'Base stats'!B:B,'Base stats'!C:C)*1000)^-0.73),POWER(10,3.47*LOG10(_xlfn.XLOOKUP(B81,'Base stats'!B:B,'Base stats'!C:C)*1000)^-0.96))*IF(_xlfn.XLOOKUP(B81,'Base stats'!B:B,'Base stats'!AH:AH)=1,0.5,1)/100,0.025))))))</f>
        <v>No</v>
      </c>
      <c r="CA81" s="25" t="str">
        <f>IF(_xlfn.XLOOKUP(_xlfn.XLOOKUP(B81,'Base stats'!B:B,'Base stats'!E:E),Groups!A:A,Groups!AJ:AJ)="Mammal","True","False")</f>
        <v>True</v>
      </c>
      <c r="CB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C81" s="25" t="str">
        <f t="shared" si="13"/>
        <v>False</v>
      </c>
      <c r="CD81" s="25" t="str">
        <f>IF(_xlfn.XLOOKUP(_xlfn.XLOOKUP(B81,'Base stats'!B:B,'Base stats'!E:E),Groups!A:A,Groups!AX:AX),"True","False")</f>
        <v>False</v>
      </c>
      <c r="CE81" s="25" t="str">
        <f>IF(_xlfn.XLOOKUP(_xlfn.XLOOKUP(B81,'Base stats'!B:B,'Base stats'!E:E),Groups!A:A,Groups!AY:AY),"True","False")</f>
        <v>False</v>
      </c>
      <c r="CF81" s="25" t="str">
        <f>IF(_xlfn.XLOOKUP(_xlfn.XLOOKUP(B81,'Base stats'!B:B,'Base stats'!E:E),Groups!A:A,Groups!AW:AW),"True","False")</f>
        <v>False</v>
      </c>
      <c r="CG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H81" s="25" t="str">
        <f>IF(_xlfn.XLOOKUP(_xlfn.XLOOKUP(B81,'Base stats'!B:B,'Base stats'!E:E),Groups!A:A,Groups!BB:BB),"True","False")</f>
        <v>True</v>
      </c>
      <c r="CI81" s="25" t="str">
        <f>IF(_xlfn.XLOOKUP(_xlfn.XLOOKUP(B81,'Base stats'!B:B,'Base stats'!E:E),Groups!A:A,Groups!BA:BA),"True","False")</f>
        <v>False</v>
      </c>
    </row>
    <row r="82" spans="1:87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stats'!AI:AI)=0,BH82="None",_xlfn.XLOOKUP(_xlfn.XLOOKUP(B82,'Base stats'!B:B,'Base stats'!E:E),Groups!A:A,Groups!B:B)=0), (18 + BQ82 * 2.7) * 0.5,
    IF(AND(_xlfn.XLOOKUP(B82,'Base stats'!B:B,'Base stats'!AI:AI)=0,OR(AO82&lt;0.55,AND(BH82="Intermediate",_xlfn.XLOOKUP(_xlfn.XLOOKUP(B82,'Base stats'!B:B,'Base stats'!E:E),Groups!A:A,Groups!B:B)&lt;2))), (18 + BQ82 * 2.7),
      IF(OR(BH82="Advanced",_xlfn.XLOOKUP(B82,'Base stats'!B:B,'Base stats'!AI:AI)=1,_xlfn.XLOOKUP(_xlfn.XLOOKUP(B82,'Base stats'!B:B,'Base stats'!E:E),Groups!A:A,Groups!B:B)=2), (18 + BQ82 * 2.7) + 250, (18 + BQ82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IF(_xlfn.XLOOKUP(B82,'Base stats'!B:B,'Base stats'!AI:AI)=1,0.99,MIN(MROUND((1-0.6282*EXP(-0.459*AO82))*_xlfn.XLOOKUP(_xlfn.XLOOKUP(B82,'Base stats'!B:B,'Base stats'!E:E),Groups!A:A,Groups!C:C)*IF(_xlfn.XLOOKUP(B82,'Base stats'!B:B,'Base stats'!O:O)=1,0.5,IF(_xlfn.XLOOKUP(B82,'Base stats'!B:B,'Base stats'!O:O)=2,0,1)),0.05),0.985))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W82)),ISNUMBER(SEARCH("IceSheet",BW82))),-50,IF(OR(ISNUMBER(SEARCH("GlacialPlain",BW82)),ISNUMBER(SEARCH("Tundra",BW82))),-40,IF(OR(ISNUMBER(SEARCH("Alpine",BW82)),ISNUMBER(SEARCH("BorealForest",BW82)),ISNUMBER(SEARCH("ColdBog",BW82))),-30,IF(OR(ISNUMBER(SEARCH("TemperateForest",BW82)),ISNUMBER(SEARCH("TemperateSwamp",BW82))),-20,IF(_xlfn.XLOOKUP(_xlfn.XLOOKUP(B82,'Base stats'!B:B,'Base stats'!E:E),Groups!A:A,Groups!F:F)=1,-15,IF(OR(ISNUMBER(SEARCH("Desert",BW82)),ISNUMBER(SEARCH("ExtremeDesert",BW82))),-10,IF(OR(ISNUMBER(SEARCH("Grasslands",BW82)),ISNUMBER(SEARCH("TropicalRainforest",BW82)),ISNUMBER(SEARCH("TropicalSwamp",BW82))),10,0)))))))-IF(CB82="False",MIN(IFERROR(MAX(MROUND(LOG10(_xlfn.XLOOKUP(B82,'Base stats'!B:B,'Base stats'!C:C)^(2/3))*10,5),5),5),30))-_xlfn.XLOOKUP(B82,'Base stats'!B:B,'Base stats'!P:P)+IF(CB82="True",5,0)</f>
        <v>-50</v>
      </c>
      <c r="M82" s="2">
        <f>IF(OR(_xlfn.XLOOKUP(_xlfn.XLOOKUP(B82,'Base stats'!B:B,'Base stats'!E:E),Groups!A:A,Groups!G:G)=2,ISNUMBER(SEARCH("Desert",BW82)),ISNUMBER(SEARCH("ExtremeDesert",BW82)),ISNUMBER(SEARCH("LavaField",BW82))),50,IF(ISNUMBER(SEARCH("Grasslands",BW82)),45,IF(OR(_xlfn.XLOOKUP(_xlfn.XLOOKUP(B82,'Base stats'!B:B,'Base stats'!E:E),Groups!A:A,Groups!G:G)=1,ISNUMBER(SEARCH("TropicalRainforest",BW82)),ISNUMBER(SEARCH("TropicalSwamp",BW82))),40,IF(OR(ISNUMBER(SEARCH("TemperateForest",BW82)),ISNUMBER(SEARCH("TemperateSwamp",BW82))),35,IF(OR(ISNUMBER(SEARCH("Alpine",BW82)),ISNUMBER(SEARCH("BorealForest",BW82)),ISNUMBER(SEARCH("ColdBog",BW82))),30,IF(ISNUMBER(OR(ISNUMBER(SEARCH("GlacialPlain",BW82)),SEARCH("Tundra",BW82))),25,IF(OR(ISNUMBER(SEARCH("SeaIce",BW82)),ISNUMBER(SEARCH("IceSheet",BW82)),ISNUMBER(SEARCH("TropicalSwamp",BW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stats'!AO:AO))*(AO82^0.5)+(_xlfn.XLOOKUP(B82,'Base stats'!B:B,'Base stats'!AO:AO)/1000)^(2/3)+_xlfn.XLOOKUP(B82,'Base stats'!B:B,'Base stats'!AX:AX)/2)+0.5,0.5)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stats'!AP:AP))*(AO82^0.5)+(_xlfn.XLOOKUP(B82,'Base stats'!B:B,'Base stats'!AP:AP)/1000)^(2/3)+_xlfn.XLOOKUP(B82,'Base stats'!B:B,'Base stats'!AX:AX))+_xlfn.XLOOKUP(B82,'Base stats'!B:B,'Base stats'!AV:AV)+0.5,0.5))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stats'!AR:AR))*(AO82^0.5)+(_xlfn.XLOOKUP(B82,'Base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stats'!AQ:AQ)="No","No",MROUND((LOG10(_xlfn.XLOOKUP(B82,'Base stats'!B:B,'Base stats'!AQ:AQ))*(AO82^0.75)+(_xlfn.XLOOKUP(B82,'Base stats'!B:B,'Base stats'!AQ:AQ)/1000)^(2/3)+_xlfn.XLOOKUP(B82,'Base stats'!B:B,'Base stats'!AU:AU)+_xlfn.XLOOKUP(B82,'Base stats'!B:B,'Base stats'!AX:AX))+0.5,0.5))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stats'!AP:AP))*(AO82^0.75)+(_xlfn.XLOOKUP(B82,'Base stats'!B:B,'Base stats'!AP:AP)/1000)^(2/3)+_xlfn.XLOOKUP(B82,'Base stats'!B:B,'Base stats'!AV:AV)+_xlfn.XLOOKUP(B82,'Base stats'!B:B,'Base stats'!AX:AX))+0.5,0.5))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MAX(0.01,MROUND(IF(CB82="True",0.196*(AO82*100*1000)^0.889,IF(_xlfn.XLOOKUP(_xlfn.XLOOKUP(B82,'Base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stats'!AE:AE)</f>
        <v>Leather_Light</v>
      </c>
      <c r="BB82" s="23" t="str">
        <f>_xlfn.XLOOKUP(_xlfn.XLOOKUP(B82,'Base stats'!B:B,'Base stats'!E:E),Groups!A:A,Groups!AL:AL)</f>
        <v>QuadrupedAnimalWithPawsAndTail</v>
      </c>
      <c r="BC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D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E82" s="2" t="str">
        <f>IF(J82&gt;0.3,"No",_xlfn.XLOOKUP(_xlfn.XLOOKUP(Animals!B82,'Base stats'!B:B,'Base stats'!E:E),Groups!A:A,Groups!AP:AP))</f>
        <v>No</v>
      </c>
      <c r="BF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+ 24*(1-IF(BE82="No",0,BE82)) + 16/3, 12),"No")</f>
        <v>No</v>
      </c>
      <c r="BG82" s="2">
        <f>IF(AND(_xlfn.XLOOKUP(_xlfn.XLOOKUP(B82,'Base stats'!B:B,'Base stats'!E:E),Groups!A:A,Groups!AQ:AQ)=1,AO82&lt;=0.35),8,12)</f>
        <v>12</v>
      </c>
      <c r="BH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I82" s="2" t="str">
        <f>IF(AND(_xlfn.XLOOKUP(_xlfn.XLOOKUP(B82,'Base stats'!B:B,'Base stats'!E:E),Groups!A:A,Groups!AS:AS)=1,OR('Base stats'!Y82="Carnivore",'Base stats'!Y82="Omnivore")),"true","false")</f>
        <v>true</v>
      </c>
      <c r="BJ82" s="2">
        <f>IF(BI82="true",MROUND(IF(AND(AO82&gt;0.5,OR(_xlfn.XLOOKUP(_xlfn.XLOOKUP(B82,'Base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K82" s="2">
        <f t="shared" si="10"/>
        <v>1</v>
      </c>
      <c r="BL82" s="25" t="str">
        <f>IF(_xlfn.XLOOKUP(B82,'Base stats'!B:B,'Base stats'!AK:AK)="Standard","No",MROUND((_xlfn.XLOOKUP(B82,'Base stats'!B:B,'Base stats'!AK:AK)/3.6)/I82,0.1))</f>
        <v>No</v>
      </c>
      <c r="BM82" s="25" t="str">
        <f t="shared" si="11"/>
        <v>false</v>
      </c>
      <c r="BN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O82" s="25" t="str" cm="1">
        <f t="array" ref="BO82">IF(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 = "",
  "No",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
)</f>
        <v>AttackTarget</v>
      </c>
      <c r="BP82" s="25" t="str">
        <f>IF(
   AND(
      'Base stats'!AK82="Standard",_xlfn.XLOOKUP(_xlfn.XLOOKUP(B82,'Base stats'!B:B,'Base stats'!E:E),Groups!A:A,Groups!AU:AU)=0,
      OR(
      BN82="True"
      )
   ),
   10,
   IF(
       OR(BL82&lt;&gt;"No",_xlfn.XLOOKUP(_xlfn.XLOOKUP(B82,'Base stats'!B:B,'Base stats'!E:E),Groups!A:A,Groups!AU:AU)=1),
      1,
      "No"
   )
)</f>
        <v>No</v>
      </c>
      <c r="BQ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stats'!AS:AS) * 1.8) * 2) * 2.5 + 10 + I82 * 2,5)+IF(_xlfn.XLOOKUP(B82,'Base stats'!B:B,'Base stats'!AH:AH)=1,50,0)</f>
        <v>70</v>
      </c>
      <c r="BR82" s="8">
        <f t="shared" si="12"/>
        <v>0.45</v>
      </c>
      <c r="BS82" s="8" t="str">
        <f>_xlfn.XLOOKUP(B82,'Base stats'!B:B,'Base stats'!AD:AD)</f>
        <v>No</v>
      </c>
      <c r="BT82" s="2" t="str">
        <f>IF(AND(J82&lt;=0.95,OR(_xlfn.XLOOKUP(B82,'Base stats'!B:B,'Base stats'!AH:AH)=1,_xlfn.XLOOKUP(B82,'Base stats'!B:B,'Base stats'!Y:Y)="Carnivore",_xlfn.XLOOKUP(B82,'Base stats'!B:B,'Base stats'!Y:Y)="Omnivore",BD82&gt;0.1)),"true","false")</f>
        <v>true</v>
      </c>
      <c r="BU82" s="2" t="str">
        <f>IF(_xlfn.XLOOKUP(B82,'Base stats'!B:B,'Base stats'!AF:AF)=1,"true","false")</f>
        <v>false</v>
      </c>
      <c r="BV82" s="25" t="str">
        <f>IF(E82="BaseInsect","AnimalInsect",
IF(J82&gt;0.95,"AnimalExotic",
_xlfn.TEXTJOIN(", ",TRUE,
IF(OR(_xlfn.XLOOKUP(B82,'Base stats'!B:B,'Base stats'!AJ:AJ)=1,AND(_xlfn.XLOOKUP(B82,'Base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stats'!AH:AH)=1,AND(BH82&lt;&gt;"None",BQ82&gt;=60),ISNUMBER(SEARCH("Attack target",BO82))),"AnimalFighter","")
)))</f>
        <v>AnimalUncommon, AnimalFighter</v>
      </c>
      <c r="BW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),_xlfn.XLOOKUP(B82,B:B,BW:BW))</f>
        <v>Tundra BorealForest ColdBog GlacialPlain</v>
      </c>
      <c r="BX82" s="25" t="str">
        <f>IF(_xlfn.XLOOKUP(B82,'Base stats'!B:B,'Base stats'!AG:AG)=1,"true","false")</f>
        <v>false</v>
      </c>
      <c r="BY82" s="25">
        <f>IF(_xlfn.XLOOKUP(B82,'Base stats'!B:B,'Base stats'!N:N)=1,"No",MAX(0.01,MIN(MROUND(IF(OR(_xlfn.XLOOKUP(B82,'Base stats'!B:B,'Base stats'!AJ:AJ)=1,AND(BI82="True",CB82="False")),POWER(10,3.47*LOG10(_xlfn.XLOOKUP(B82,'Base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stats'!AH:AH)=1),0.5,1)/100,0.025),1)))</f>
        <v>7.5000000000000011E-2</v>
      </c>
      <c r="BZ82" s="25" t="str">
        <f>IF(P82="Standard","No",MAX(0.01,IF(_xlfn.XLOOKUP(B82,'Base stats'!B:B,'Base stats'!N:N)=0,MROUND(BY82*P82,0.05),MIN(1,MAX(0.025,MROUND(IF(OR(CB82="true",AND(BI82="false",BN82="false")),POWER(10,4.15*LOG10(_xlfn.XLOOKUP(B82,'Base stats'!B:B,'Base stats'!C:C)*1000)^-0.73),POWER(10,3.47*LOG10(_xlfn.XLOOKUP(B82,'Base stats'!B:B,'Base stats'!C:C)*1000)^-0.96))*IF(_xlfn.XLOOKUP(B82,'Base stats'!B:B,'Base stats'!AH:AH)=1,0.5,1)/100,0.025))))))</f>
        <v>No</v>
      </c>
      <c r="CA82" s="25" t="str">
        <f>IF(_xlfn.XLOOKUP(_xlfn.XLOOKUP(B82,'Base stats'!B:B,'Base stats'!E:E),Groups!A:A,Groups!AJ:AJ)="Mammal","True","False")</f>
        <v>True</v>
      </c>
      <c r="CB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C82" s="25" t="str">
        <f t="shared" si="13"/>
        <v>False</v>
      </c>
      <c r="CD82" s="25" t="str">
        <f>IF(_xlfn.XLOOKUP(_xlfn.XLOOKUP(B82,'Base stats'!B:B,'Base stats'!E:E),Groups!A:A,Groups!AX:AX),"True","False")</f>
        <v>False</v>
      </c>
      <c r="CE82" s="25" t="str">
        <f>IF(_xlfn.XLOOKUP(_xlfn.XLOOKUP(B82,'Base stats'!B:B,'Base stats'!E:E),Groups!A:A,Groups!AY:AY),"True","False")</f>
        <v>False</v>
      </c>
      <c r="CF82" s="25" t="str">
        <f>IF(_xlfn.XLOOKUP(_xlfn.XLOOKUP(B82,'Base stats'!B:B,'Base stats'!E:E),Groups!A:A,Groups!AW:AW),"True","False")</f>
        <v>False</v>
      </c>
      <c r="CG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H82" s="25" t="str">
        <f>IF(_xlfn.XLOOKUP(_xlfn.XLOOKUP(B82,'Base stats'!B:B,'Base stats'!E:E),Groups!A:A,Groups!BB:BB),"True","False")</f>
        <v>True</v>
      </c>
      <c r="CI82" s="25" t="str">
        <f>IF(_xlfn.XLOOKUP(_xlfn.XLOOKUP(B82,'Base stats'!B:B,'Base stats'!E:E),Groups!A:A,Groups!BA:BA),"True","False")</f>
        <v>False</v>
      </c>
    </row>
    <row r="83" spans="1:87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stats'!AI:AI)=0,BH83="None",_xlfn.XLOOKUP(_xlfn.XLOOKUP(B83,'Base stats'!B:B,'Base stats'!E:E),Groups!A:A,Groups!B:B)=0), (18 + BQ83 * 2.7) * 0.5,
    IF(AND(_xlfn.XLOOKUP(B83,'Base stats'!B:B,'Base stats'!AI:AI)=0,OR(AO83&lt;0.55,AND(BH83="Intermediate",_xlfn.XLOOKUP(_xlfn.XLOOKUP(B83,'Base stats'!B:B,'Base stats'!E:E),Groups!A:A,Groups!B:B)&lt;2))), (18 + BQ83 * 2.7),
      IF(OR(BH83="Advanced",_xlfn.XLOOKUP(B83,'Base stats'!B:B,'Base stats'!AI:AI)=1,_xlfn.XLOOKUP(_xlfn.XLOOKUP(B83,'Base stats'!B:B,'Base stats'!E:E),Groups!A:A,Groups!B:B)=2), (18 + BQ83 * 2.7) + 250, (18 + BQ83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IF(_xlfn.XLOOKUP(B83,'Base stats'!B:B,'Base stats'!AI:AI)=1,0.99,MIN(MROUND((1-0.6282*EXP(-0.459*AO83))*_xlfn.XLOOKUP(_xlfn.XLOOKUP(B83,'Base stats'!B:B,'Base stats'!E:E),Groups!A:A,Groups!C:C)*IF(_xlfn.XLOOKUP(B83,'Base stats'!B:B,'Base stats'!O:O)=1,0.5,IF(_xlfn.XLOOKUP(B83,'Base stats'!B:B,'Base stats'!O:O)=2,0,1)),0.05),0.985))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W83)),ISNUMBER(SEARCH("IceSheet",BW83))),-50,IF(OR(ISNUMBER(SEARCH("GlacialPlain",BW83)),ISNUMBER(SEARCH("Tundra",BW83))),-40,IF(OR(ISNUMBER(SEARCH("Alpine",BW83)),ISNUMBER(SEARCH("BorealForest",BW83)),ISNUMBER(SEARCH("ColdBog",BW83))),-30,IF(OR(ISNUMBER(SEARCH("TemperateForest",BW83)),ISNUMBER(SEARCH("TemperateSwamp",BW83))),-20,IF(_xlfn.XLOOKUP(_xlfn.XLOOKUP(B83,'Base stats'!B:B,'Base stats'!E:E),Groups!A:A,Groups!F:F)=1,-15,IF(OR(ISNUMBER(SEARCH("Desert",BW83)),ISNUMBER(SEARCH("ExtremeDesert",BW83))),-10,IF(OR(ISNUMBER(SEARCH("Grasslands",BW83)),ISNUMBER(SEARCH("TropicalRainforest",BW83)),ISNUMBER(SEARCH("TropicalSwamp",BW83))),10,0)))))))-IF(CB83="False",MIN(IFERROR(MAX(MROUND(LOG10(_xlfn.XLOOKUP(B83,'Base stats'!B:B,'Base stats'!C:C)^(2/3))*10,5),5),5),30))-_xlfn.XLOOKUP(B83,'Base stats'!B:B,'Base stats'!P:P)+IF(CB83="True",5,0)</f>
        <v>-45</v>
      </c>
      <c r="M83" s="2">
        <f>IF(OR(_xlfn.XLOOKUP(_xlfn.XLOOKUP(B83,'Base stats'!B:B,'Base stats'!E:E),Groups!A:A,Groups!G:G)=2,ISNUMBER(SEARCH("Desert",BW83)),ISNUMBER(SEARCH("ExtremeDesert",BW83)),ISNUMBER(SEARCH("LavaField",BW83))),50,IF(ISNUMBER(SEARCH("Grasslands",BW83)),45,IF(OR(_xlfn.XLOOKUP(_xlfn.XLOOKUP(B83,'Base stats'!B:B,'Base stats'!E:E),Groups!A:A,Groups!G:G)=1,ISNUMBER(SEARCH("TropicalRainforest",BW83)),ISNUMBER(SEARCH("TropicalSwamp",BW83))),40,IF(OR(ISNUMBER(SEARCH("TemperateForest",BW83)),ISNUMBER(SEARCH("TemperateSwamp",BW83))),35,IF(OR(ISNUMBER(SEARCH("Alpine",BW83)),ISNUMBER(SEARCH("BorealForest",BW83)),ISNUMBER(SEARCH("ColdBog",BW83))),30,IF(ISNUMBER(OR(ISNUMBER(SEARCH("GlacialPlain",BW83)),SEARCH("Tundra",BW83))),25,IF(OR(ISNUMBER(SEARCH("SeaIce",BW83)),ISNUMBER(SEARCH("IceSheet",BW83)),ISNUMBER(SEARCH("TropicalSwamp",BW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stats'!AO:AO))*(AO83^0.5)+(_xlfn.XLOOKUP(B83,'Base stats'!B:B,'Base stats'!AO:AO)/1000)^(2/3)+_xlfn.XLOOKUP(B83,'Base stats'!B:B,'Base stats'!AX:AX)/2)+0.5,0.5)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stats'!AP:AP))*(AO83^0.5)+(_xlfn.XLOOKUP(B83,'Base stats'!B:B,'Base stats'!AP:AP)/1000)^(2/3)+_xlfn.XLOOKUP(B83,'Base stats'!B:B,'Base stats'!AX:AX))+_xlfn.XLOOKUP(B83,'Base stats'!B:B,'Base stats'!AV:AV)+0.5,0.5))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stats'!AR:AR))*(AO83^0.5)+(_xlfn.XLOOKUP(B83,'Base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stats'!AQ:AQ)="No","No",MROUND((LOG10(_xlfn.XLOOKUP(B83,'Base stats'!B:B,'Base stats'!AQ:AQ))*(AO83^0.75)+(_xlfn.XLOOKUP(B83,'Base stats'!B:B,'Base stats'!AQ:AQ)/1000)^(2/3)+_xlfn.XLOOKUP(B83,'Base stats'!B:B,'Base stats'!AU:AU)+_xlfn.XLOOKUP(B83,'Base stats'!B:B,'Base stats'!AX:AX))+0.5,0.5))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stats'!AP:AP))*(AO83^0.75)+(_xlfn.XLOOKUP(B83,'Base stats'!B:B,'Base stats'!AP:AP)/1000)^(2/3)+_xlfn.XLOOKUP(B83,'Base stats'!B:B,'Base stats'!AV:AV)+_xlfn.XLOOKUP(B83,'Base stats'!B:B,'Base stats'!AX:AX))+0.5,0.5))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MAX(0.01,MROUND(IF(CB83="True",0.196*(AO83*100*1000)^0.889,IF(_xlfn.XLOOKUP(_xlfn.XLOOKUP(B83,'Base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stats'!AE:AE)</f>
        <v>Leather_Mink</v>
      </c>
      <c r="BB83" s="23" t="str">
        <f>_xlfn.XLOOKUP(_xlfn.XLOOKUP(B83,'Base stats'!B:B,'Base stats'!E:E),Groups!A:A,Groups!AL:AL)</f>
        <v>QuadrupedAnimalWithPawsAndTail</v>
      </c>
      <c r="BC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D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E83" s="2" t="str">
        <f>IF(J83&gt;0.3,"No",_xlfn.XLOOKUP(_xlfn.XLOOKUP(Animals!B83,'Base stats'!B:B,'Base stats'!E:E),Groups!A:A,Groups!AP:AP))</f>
        <v>No</v>
      </c>
      <c r="BF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+ 24*(1-IF(BE83="No",0,BE83)) + 16/3, 12),"No")</f>
        <v>36</v>
      </c>
      <c r="BG83" s="2">
        <f>IF(AND(_xlfn.XLOOKUP(_xlfn.XLOOKUP(B83,'Base stats'!B:B,'Base stats'!E:E),Groups!A:A,Groups!AQ:AQ)=1,AO83&lt;=0.35),8,12)</f>
        <v>12</v>
      </c>
      <c r="BH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I83" s="2" t="str">
        <f>IF(AND(_xlfn.XLOOKUP(_xlfn.XLOOKUP(B83,'Base stats'!B:B,'Base stats'!E:E),Groups!A:A,Groups!AS:AS)=1,OR('Base stats'!Y83="Carnivore",'Base stats'!Y83="Omnivore")),"true","false")</f>
        <v>true</v>
      </c>
      <c r="BJ83" s="2">
        <f>IF(BI83="true",MROUND(IF(AND(AO83&gt;0.5,OR(_xlfn.XLOOKUP(_xlfn.XLOOKUP(B83,'Base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K83" s="2">
        <f t="shared" si="10"/>
        <v>1</v>
      </c>
      <c r="BL83" s="25" t="str">
        <f>IF(_xlfn.XLOOKUP(B83,'Base stats'!B:B,'Base stats'!AK:AK)="Standard","No",MROUND((_xlfn.XLOOKUP(B83,'Base stats'!B:B,'Base stats'!AK:AK)/3.6)/I83,0.1))</f>
        <v>No</v>
      </c>
      <c r="BM83" s="25" t="str">
        <f t="shared" si="11"/>
        <v>false</v>
      </c>
      <c r="BN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O83" s="25" t="str" cm="1">
        <f t="array" ref="BO83">IF(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 = "",
  "No",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
)</f>
        <v>Comfort</v>
      </c>
      <c r="BP83" s="25">
        <f>IF(
   AND(
      'Base stats'!AK83="Standard",_xlfn.XLOOKUP(_xlfn.XLOOKUP(B83,'Base stats'!B:B,'Base stats'!E:E),Groups!A:A,Groups!AU:AU)=0,
      OR(
      BN83="True"
      )
   ),
   10,
   IF(
       OR(BL83&lt;&gt;"No",_xlfn.XLOOKUP(_xlfn.XLOOKUP(B83,'Base stats'!B:B,'Base stats'!E:E),Groups!A:A,Groups!AU:AU)=1),
      1,
      "No"
   )
)</f>
        <v>10</v>
      </c>
      <c r="BQ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stats'!AS:AS) * 1.8) * 2) * 2.5 + 10 + I83 * 2,5)+IF(_xlfn.XLOOKUP(B83,'Base stats'!B:B,'Base stats'!AH:AH)=1,50,0)</f>
        <v>30</v>
      </c>
      <c r="BR83" s="8">
        <f t="shared" si="12"/>
        <v>0.25</v>
      </c>
      <c r="BS83" s="8" t="str">
        <f>_xlfn.XLOOKUP(B83,'Base stats'!B:B,'Base stats'!AD:AD)</f>
        <v>No</v>
      </c>
      <c r="BT83" s="2" t="str">
        <f>IF(AND(J83&lt;=0.95,OR(_xlfn.XLOOKUP(B83,'Base stats'!B:B,'Base stats'!AH:AH)=1,_xlfn.XLOOKUP(B83,'Base stats'!B:B,'Base stats'!Y:Y)="Carnivore",_xlfn.XLOOKUP(B83,'Base stats'!B:B,'Base stats'!Y:Y)="Omnivore",BD83&gt;0.1)),"true","false")</f>
        <v>true</v>
      </c>
      <c r="BU83" s="2" t="str">
        <f>IF(_xlfn.XLOOKUP(B83,'Base stats'!B:B,'Base stats'!AF:AF)=1,"true","false")</f>
        <v>false</v>
      </c>
      <c r="BV83" s="25" t="str">
        <f>IF(E83="BaseInsect","AnimalInsect",
IF(J83&gt;0.95,"AnimalExotic",
_xlfn.TEXTJOIN(", ",TRUE,
IF(OR(_xlfn.XLOOKUP(B83,'Base stats'!B:B,'Base stats'!AJ:AJ)=1,AND(_xlfn.XLOOKUP(B83,'Base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stats'!AH:AH)=1,AND(BH83&lt;&gt;"None",BQ83&gt;=60),ISNUMBER(SEARCH("Attack target",BO83))),"AnimalFighter","")
)))</f>
        <v>AnimalUncommon</v>
      </c>
      <c r="BW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),_xlfn.XLOOKUP(B83,B:B,BW:BW))</f>
        <v>BorealForest ColdBog TemperateForest TemperateSwamp GlacialPlain</v>
      </c>
      <c r="BX83" s="25" t="str">
        <f>IF(_xlfn.XLOOKUP(B83,'Base stats'!B:B,'Base stats'!AG:AG)=1,"true","false")</f>
        <v>false</v>
      </c>
      <c r="BY83" s="25">
        <f>IF(_xlfn.XLOOKUP(B83,'Base stats'!B:B,'Base stats'!N:N)=1,"No",MAX(0.01,MIN(MROUND(IF(OR(_xlfn.XLOOKUP(B83,'Base stats'!B:B,'Base stats'!AJ:AJ)=1,AND(BI83="True",CB83="False")),POWER(10,3.47*LOG10(_xlfn.XLOOKUP(B83,'Base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stats'!AH:AH)=1),0.5,1)/100,0.025),1)))</f>
        <v>0.17500000000000002</v>
      </c>
      <c r="BZ83" s="25" t="str">
        <f>IF(P83="Standard","No",MAX(0.01,IF(_xlfn.XLOOKUP(B83,'Base stats'!B:B,'Base stats'!N:N)=0,MROUND(BY83*P83,0.05),MIN(1,MAX(0.025,MROUND(IF(OR(CB83="true",AND(BI83="false",BN83="false")),POWER(10,4.15*LOG10(_xlfn.XLOOKUP(B83,'Base stats'!B:B,'Base stats'!C:C)*1000)^-0.73),POWER(10,3.47*LOG10(_xlfn.XLOOKUP(B83,'Base stats'!B:B,'Base stats'!C:C)*1000)^-0.96))*IF(_xlfn.XLOOKUP(B83,'Base stats'!B:B,'Base stats'!AH:AH)=1,0.5,1)/100,0.025))))))</f>
        <v>No</v>
      </c>
      <c r="CA83" s="25" t="str">
        <f>IF(_xlfn.XLOOKUP(_xlfn.XLOOKUP(B83,'Base stats'!B:B,'Base stats'!E:E),Groups!A:A,Groups!AJ:AJ)="Mammal","True","False")</f>
        <v>True</v>
      </c>
      <c r="CB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C83" s="25" t="str">
        <f t="shared" si="13"/>
        <v>False</v>
      </c>
      <c r="CD83" s="25" t="str">
        <f>IF(_xlfn.XLOOKUP(_xlfn.XLOOKUP(B83,'Base stats'!B:B,'Base stats'!E:E),Groups!A:A,Groups!AX:AX),"True","False")</f>
        <v>False</v>
      </c>
      <c r="CE83" s="25" t="str">
        <f>IF(_xlfn.XLOOKUP(_xlfn.XLOOKUP(B83,'Base stats'!B:B,'Base stats'!E:E),Groups!A:A,Groups!AY:AY),"True","False")</f>
        <v>False</v>
      </c>
      <c r="CF83" s="25" t="str">
        <f>IF(_xlfn.XLOOKUP(_xlfn.XLOOKUP(B83,'Base stats'!B:B,'Base stats'!E:E),Groups!A:A,Groups!AW:AW),"True","False")</f>
        <v>False</v>
      </c>
      <c r="CG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H83" s="25" t="str">
        <f>IF(_xlfn.XLOOKUP(_xlfn.XLOOKUP(B83,'Base stats'!B:B,'Base stats'!E:E),Groups!A:A,Groups!BB:BB),"True","False")</f>
        <v>True</v>
      </c>
      <c r="CI83" s="25" t="str">
        <f>IF(_xlfn.XLOOKUP(_xlfn.XLOOKUP(B83,'Base stats'!B:B,'Base stats'!E:E),Groups!A:A,Groups!BA:BA),"True","False")</f>
        <v>False</v>
      </c>
    </row>
    <row r="84" spans="1:87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stats'!AI:AI)=0,BH84="None",_xlfn.XLOOKUP(_xlfn.XLOOKUP(B84,'Base stats'!B:B,'Base stats'!E:E),Groups!A:A,Groups!B:B)=0), (18 + BQ84 * 2.7) * 0.5,
    IF(AND(_xlfn.XLOOKUP(B84,'Base stats'!B:B,'Base stats'!AI:AI)=0,OR(AO84&lt;0.55,AND(BH84="Intermediate",_xlfn.XLOOKUP(_xlfn.XLOOKUP(B84,'Base stats'!B:B,'Base stats'!E:E),Groups!A:A,Groups!B:B)&lt;2))), (18 + BQ84 * 2.7),
      IF(OR(BH84="Advanced",_xlfn.XLOOKUP(B84,'Base stats'!B:B,'Base stats'!AI:AI)=1,_xlfn.XLOOKUP(_xlfn.XLOOKUP(B84,'Base stats'!B:B,'Base stats'!E:E),Groups!A:A,Groups!B:B)=2), (18 + BQ84 * 2.7) + 250, (18 + BQ84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IF(_xlfn.XLOOKUP(B84,'Base stats'!B:B,'Base stats'!AI:AI)=1,0.99,MIN(MROUND((1-0.6282*EXP(-0.459*AO84))*_xlfn.XLOOKUP(_xlfn.XLOOKUP(B84,'Base stats'!B:B,'Base stats'!E:E),Groups!A:A,Groups!C:C)*IF(_xlfn.XLOOKUP(B84,'Base stats'!B:B,'Base stats'!O:O)=1,0.5,IF(_xlfn.XLOOKUP(B84,'Base stats'!B:B,'Base stats'!O:O)=2,0,1)),0.05),0.985))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W84)),ISNUMBER(SEARCH("IceSheet",BW84))),-50,IF(OR(ISNUMBER(SEARCH("GlacialPlain",BW84)),ISNUMBER(SEARCH("Tundra",BW84))),-40,IF(OR(ISNUMBER(SEARCH("Alpine",BW84)),ISNUMBER(SEARCH("BorealForest",BW84)),ISNUMBER(SEARCH("ColdBog",BW84))),-30,IF(OR(ISNUMBER(SEARCH("TemperateForest",BW84)),ISNUMBER(SEARCH("TemperateSwamp",BW84))),-20,IF(_xlfn.XLOOKUP(_xlfn.XLOOKUP(B84,'Base stats'!B:B,'Base stats'!E:E),Groups!A:A,Groups!F:F)=1,-15,IF(OR(ISNUMBER(SEARCH("Desert",BW84)),ISNUMBER(SEARCH("ExtremeDesert",BW84))),-10,IF(OR(ISNUMBER(SEARCH("Grasslands",BW84)),ISNUMBER(SEARCH("TropicalRainforest",BW84)),ISNUMBER(SEARCH("TropicalSwamp",BW84))),10,0)))))))-IF(CB84="False",MIN(IFERROR(MAX(MROUND(LOG10(_xlfn.XLOOKUP(B84,'Base stats'!B:B,'Base stats'!C:C)^(2/3))*10,5),5),5),30))-_xlfn.XLOOKUP(B84,'Base stats'!B:B,'Base stats'!P:P)+IF(CB84="True",5,0)</f>
        <v>-45</v>
      </c>
      <c r="M84" s="2">
        <f>IF(OR(_xlfn.XLOOKUP(_xlfn.XLOOKUP(B84,'Base stats'!B:B,'Base stats'!E:E),Groups!A:A,Groups!G:G)=2,ISNUMBER(SEARCH("Desert",BW84)),ISNUMBER(SEARCH("ExtremeDesert",BW84)),ISNUMBER(SEARCH("LavaField",BW84))),50,IF(ISNUMBER(SEARCH("Grasslands",BW84)),45,IF(OR(_xlfn.XLOOKUP(_xlfn.XLOOKUP(B84,'Base stats'!B:B,'Base stats'!E:E),Groups!A:A,Groups!G:G)=1,ISNUMBER(SEARCH("TropicalRainforest",BW84)),ISNUMBER(SEARCH("TropicalSwamp",BW84))),40,IF(OR(ISNUMBER(SEARCH("TemperateForest",BW84)),ISNUMBER(SEARCH("TemperateSwamp",BW84))),35,IF(OR(ISNUMBER(SEARCH("Alpine",BW84)),ISNUMBER(SEARCH("BorealForest",BW84)),ISNUMBER(SEARCH("ColdBog",BW84))),30,IF(ISNUMBER(OR(ISNUMBER(SEARCH("GlacialPlain",BW84)),SEARCH("Tundra",BW84))),25,IF(OR(ISNUMBER(SEARCH("SeaIce",BW84)),ISNUMBER(SEARCH("IceSheet",BW84)),ISNUMBER(SEARCH("TropicalSwamp",BW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stats'!AO:AO))*(AO84^0.5)+(_xlfn.XLOOKUP(B84,'Base stats'!B:B,'Base stats'!AO:AO)/1000)^(2/3)+_xlfn.XLOOKUP(B84,'Base stats'!B:B,'Base stats'!AX:AX)/2)+0.5,0.5)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stats'!AP:AP))*(AO84^0.5)+(_xlfn.XLOOKUP(B84,'Base stats'!B:B,'Base stats'!AP:AP)/1000)^(2/3)+_xlfn.XLOOKUP(B84,'Base stats'!B:B,'Base stats'!AX:AX))+_xlfn.XLOOKUP(B84,'Base stats'!B:B,'Base stats'!AV:AV)+0.5,0.5))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stats'!AR:AR))*(AO84^0.5)+(_xlfn.XLOOKUP(B84,'Base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stats'!AQ:AQ)="No","No",MROUND((LOG10(_xlfn.XLOOKUP(B84,'Base stats'!B:B,'Base stats'!AQ:AQ))*(AO84^0.75)+(_xlfn.XLOOKUP(B84,'Base stats'!B:B,'Base stats'!AQ:AQ)/1000)^(2/3)+_xlfn.XLOOKUP(B84,'Base stats'!B:B,'Base stats'!AU:AU)+_xlfn.XLOOKUP(B84,'Base stats'!B:B,'Base stats'!AX:AX))+0.5,0.5))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stats'!AP:AP))*(AO84^0.75)+(_xlfn.XLOOKUP(B84,'Base stats'!B:B,'Base stats'!AP:AP)/1000)^(2/3)+_xlfn.XLOOKUP(B84,'Base stats'!B:B,'Base stats'!AV:AV)+_xlfn.XLOOKUP(B84,'Base stats'!B:B,'Base stats'!AX:AX))+0.5,0.5))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MAX(0.01,MROUND(IF(CB84="True",0.196*(AO84*100*1000)^0.889,IF(_xlfn.XLOOKUP(_xlfn.XLOOKUP(B84,'Base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stats'!AE:AE)</f>
        <v>Leather_Light</v>
      </c>
      <c r="BB84" s="23" t="str">
        <f>_xlfn.XLOOKUP(_xlfn.XLOOKUP(B84,'Base stats'!B:B,'Base stats'!E:E),Groups!A:A,Groups!AL:AL)</f>
        <v>QuadrupedAnimalWithPawsAndTail</v>
      </c>
      <c r="BC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D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E84" s="2" t="str">
        <f>IF(J84&gt;0.3,"No",_xlfn.XLOOKUP(_xlfn.XLOOKUP(Animals!B84,'Base stats'!B:B,'Base stats'!E:E),Groups!A:A,Groups!AP:AP))</f>
        <v>No</v>
      </c>
      <c r="BF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+ 24*(1-IF(BE84="No",0,BE84)) + 16/3, 12),"No")</f>
        <v>No</v>
      </c>
      <c r="BG84" s="2">
        <f>IF(AND(_xlfn.XLOOKUP(_xlfn.XLOOKUP(B84,'Base stats'!B:B,'Base stats'!E:E),Groups!A:A,Groups!AQ:AQ)=1,AO84&lt;=0.35),8,12)</f>
        <v>12</v>
      </c>
      <c r="BH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I84" s="2" t="str">
        <f>IF(AND(_xlfn.XLOOKUP(_xlfn.XLOOKUP(B84,'Base stats'!B:B,'Base stats'!E:E),Groups!A:A,Groups!AS:AS)=1,OR('Base stats'!Y84="Carnivore",'Base stats'!Y84="Omnivore")),"true","false")</f>
        <v>false</v>
      </c>
      <c r="BJ84" s="2" t="str">
        <f>IF(BI84="true",MROUND(IF(AND(AO84&gt;0.5,OR(_xlfn.XLOOKUP(_xlfn.XLOOKUP(B84,'Base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K84" s="2">
        <f t="shared" si="10"/>
        <v>1</v>
      </c>
      <c r="BL84" s="25" t="str">
        <f>IF(_xlfn.XLOOKUP(B84,'Base stats'!B:B,'Base stats'!AK:AK)="Standard","No",MROUND((_xlfn.XLOOKUP(B84,'Base stats'!B:B,'Base stats'!AK:AK)/3.6)/I84,0.1))</f>
        <v>No</v>
      </c>
      <c r="BM84" s="25" t="str">
        <f t="shared" si="11"/>
        <v>false</v>
      </c>
      <c r="BN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O84" s="25" t="str" cm="1">
        <f t="array" ref="BO84">IF(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 = "",
  "No",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
)</f>
        <v>Forage</v>
      </c>
      <c r="BP84" s="25" t="str">
        <f>IF(
   AND(
      'Base stats'!AK84="Standard",_xlfn.XLOOKUP(_xlfn.XLOOKUP(B84,'Base stats'!B:B,'Base stats'!E:E),Groups!A:A,Groups!AU:AU)=0,
      OR(
      BN84="True"
      )
   ),
   10,
   IF(
       OR(BL84&lt;&gt;"No",_xlfn.XLOOKUP(_xlfn.XLOOKUP(B84,'Base stats'!B:B,'Base stats'!E:E),Groups!A:A,Groups!AU:AU)=1),
      1,
      "No"
   )
)</f>
        <v>No</v>
      </c>
      <c r="BQ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stats'!AS:AS) * 1.8) * 2) * 2.5 + 10 + I84 * 2,5)+IF(_xlfn.XLOOKUP(B84,'Base stats'!B:B,'Base stats'!AH:AH)=1,50,0)</f>
        <v>60</v>
      </c>
      <c r="BR84" s="8">
        <f t="shared" si="12"/>
        <v>0.35000000000000003</v>
      </c>
      <c r="BS84" s="8" t="str">
        <f>_xlfn.XLOOKUP(B84,'Base stats'!B:B,'Base stats'!AD:AD)</f>
        <v>No</v>
      </c>
      <c r="BT84" s="2" t="str">
        <f>IF(AND(J84&lt;=0.95,OR(_xlfn.XLOOKUP(B84,'Base stats'!B:B,'Base stats'!AH:AH)=1,_xlfn.XLOOKUP(B84,'Base stats'!B:B,'Base stats'!Y:Y)="Carnivore",_xlfn.XLOOKUP(B84,'Base stats'!B:B,'Base stats'!Y:Y)="Omnivore",BD84&gt;0.1)),"true","false")</f>
        <v>false</v>
      </c>
      <c r="BU84" s="2" t="str">
        <f>IF(_xlfn.XLOOKUP(B84,'Base stats'!B:B,'Base stats'!AF:AF)=1,"true","false")</f>
        <v>false</v>
      </c>
      <c r="BV84" s="25" t="str">
        <f>IF(E84="BaseInsect","AnimalInsect",
IF(J84&gt;0.95,"AnimalExotic",
_xlfn.TEXTJOIN(", ",TRUE,
IF(OR(_xlfn.XLOOKUP(B84,'Base stats'!B:B,'Base stats'!AJ:AJ)=1,AND(_xlfn.XLOOKUP(B84,'Base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stats'!AH:AH)=1,AND(BH84&lt;&gt;"None",BQ84&gt;=60),ISNUMBER(SEARCH("Attack target",BO84))),"AnimalFighter","")
)))</f>
        <v>AnimalUncommon, AnimalFighter</v>
      </c>
      <c r="BW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),_xlfn.XLOOKUP(B84,B:B,BW:BW))</f>
        <v>BorealForest ColdBog TemperateForest TemperateSwamp GlacialPlain</v>
      </c>
      <c r="BX84" s="25" t="str">
        <f>IF(_xlfn.XLOOKUP(B84,'Base stats'!B:B,'Base stats'!AG:AG)=1,"true","false")</f>
        <v>false</v>
      </c>
      <c r="BY84" s="25">
        <f>IF(_xlfn.XLOOKUP(B84,'Base stats'!B:B,'Base stats'!N:N)=1,"No",MAX(0.01,MIN(MROUND(IF(OR(_xlfn.XLOOKUP(B84,'Base stats'!B:B,'Base stats'!AJ:AJ)=1,AND(BI84="True",CB84="False")),POWER(10,3.47*LOG10(_xlfn.XLOOKUP(B84,'Base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stats'!AH:AH)=1),0.5,1)/100,0.025),1)))</f>
        <v>0.30000000000000004</v>
      </c>
      <c r="BZ84" s="25" t="str">
        <f>IF(P84="Standard","No",MAX(0.01,IF(_xlfn.XLOOKUP(B84,'Base stats'!B:B,'Base stats'!N:N)=0,MROUND(BY84*P84,0.05),MIN(1,MAX(0.025,MROUND(IF(OR(CB84="true",AND(BI84="false",BN84="false")),POWER(10,4.15*LOG10(_xlfn.XLOOKUP(B84,'Base stats'!B:B,'Base stats'!C:C)*1000)^-0.73),POWER(10,3.47*LOG10(_xlfn.XLOOKUP(B84,'Base stats'!B:B,'Base stats'!C:C)*1000)^-0.96))*IF(_xlfn.XLOOKUP(B84,'Base stats'!B:B,'Base stats'!AH:AH)=1,0.5,1)/100,0.025))))))</f>
        <v>No</v>
      </c>
      <c r="CA84" s="25" t="str">
        <f>IF(_xlfn.XLOOKUP(_xlfn.XLOOKUP(B84,'Base stats'!B:B,'Base stats'!E:E),Groups!A:A,Groups!AJ:AJ)="Mammal","True","False")</f>
        <v>True</v>
      </c>
      <c r="CB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C84" s="25" t="str">
        <f t="shared" si="13"/>
        <v>False</v>
      </c>
      <c r="CD84" s="25" t="str">
        <f>IF(_xlfn.XLOOKUP(_xlfn.XLOOKUP(B84,'Base stats'!B:B,'Base stats'!E:E),Groups!A:A,Groups!AX:AX),"True","False")</f>
        <v>False</v>
      </c>
      <c r="CE84" s="25" t="str">
        <f>IF(_xlfn.XLOOKUP(_xlfn.XLOOKUP(B84,'Base stats'!B:B,'Base stats'!E:E),Groups!A:A,Groups!AY:AY),"True","False")</f>
        <v>False</v>
      </c>
      <c r="CF84" s="25" t="str">
        <f>IF(_xlfn.XLOOKUP(_xlfn.XLOOKUP(B84,'Base stats'!B:B,'Base stats'!E:E),Groups!A:A,Groups!AW:AW),"True","False")</f>
        <v>False</v>
      </c>
      <c r="CG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H84" s="25" t="str">
        <f>IF(_xlfn.XLOOKUP(_xlfn.XLOOKUP(B84,'Base stats'!B:B,'Base stats'!E:E),Groups!A:A,Groups!BB:BB),"True","False")</f>
        <v>True</v>
      </c>
      <c r="CI84" s="25" t="str">
        <f>IF(_xlfn.XLOOKUP(_xlfn.XLOOKUP(B84,'Base stats'!B:B,'Base stats'!E:E),Groups!A:A,Groups!BA:BA),"True","False")</f>
        <v>False</v>
      </c>
    </row>
    <row r="85" spans="1:87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stats'!AI:AI)=0,BH85="None",_xlfn.XLOOKUP(_xlfn.XLOOKUP(B85,'Base stats'!B:B,'Base stats'!E:E),Groups!A:A,Groups!B:B)=0), (18 + BQ85 * 2.7) * 0.5,
    IF(AND(_xlfn.XLOOKUP(B85,'Base stats'!B:B,'Base stats'!AI:AI)=0,OR(AO85&lt;0.55,AND(BH85="Intermediate",_xlfn.XLOOKUP(_xlfn.XLOOKUP(B85,'Base stats'!B:B,'Base stats'!E:E),Groups!A:A,Groups!B:B)&lt;2))), (18 + BQ85 * 2.7),
      IF(OR(BH85="Advanced",_xlfn.XLOOKUP(B85,'Base stats'!B:B,'Base stats'!AI:AI)=1,_xlfn.XLOOKUP(_xlfn.XLOOKUP(B85,'Base stats'!B:B,'Base stats'!E:E),Groups!A:A,Groups!B:B)=2), (18 + BQ85 * 2.7) + 250, (18 + BQ85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IF(_xlfn.XLOOKUP(B85,'Base stats'!B:B,'Base stats'!AI:AI)=1,0.99,MIN(MROUND((1-0.6282*EXP(-0.459*AO85))*_xlfn.XLOOKUP(_xlfn.XLOOKUP(B85,'Base stats'!B:B,'Base stats'!E:E),Groups!A:A,Groups!C:C)*IF(_xlfn.XLOOKUP(B85,'Base stats'!B:B,'Base stats'!O:O)=1,0.5,IF(_xlfn.XLOOKUP(B85,'Base stats'!B:B,'Base stats'!O:O)=2,0,1)),0.05),0.985))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W85)),ISNUMBER(SEARCH("IceSheet",BW85))),-50,IF(OR(ISNUMBER(SEARCH("GlacialPlain",BW85)),ISNUMBER(SEARCH("Tundra",BW85))),-40,IF(OR(ISNUMBER(SEARCH("Alpine",BW85)),ISNUMBER(SEARCH("BorealForest",BW85)),ISNUMBER(SEARCH("ColdBog",BW85))),-30,IF(OR(ISNUMBER(SEARCH("TemperateForest",BW85)),ISNUMBER(SEARCH("TemperateSwamp",BW85))),-20,IF(_xlfn.XLOOKUP(_xlfn.XLOOKUP(B85,'Base stats'!B:B,'Base stats'!E:E),Groups!A:A,Groups!F:F)=1,-15,IF(OR(ISNUMBER(SEARCH("Desert",BW85)),ISNUMBER(SEARCH("ExtremeDesert",BW85))),-10,IF(OR(ISNUMBER(SEARCH("Grasslands",BW85)),ISNUMBER(SEARCH("TropicalRainforest",BW85)),ISNUMBER(SEARCH("TropicalSwamp",BW85))),10,0)))))))-IF(CB85="False",MIN(IFERROR(MAX(MROUND(LOG10(_xlfn.XLOOKUP(B85,'Base stats'!B:B,'Base stats'!C:C)^(2/3))*10,5),5),5),30))-_xlfn.XLOOKUP(B85,'Base stats'!B:B,'Base stats'!P:P)+IF(CB85="True",5,0)</f>
        <v>-35</v>
      </c>
      <c r="M85" s="2">
        <f>IF(OR(_xlfn.XLOOKUP(_xlfn.XLOOKUP(B85,'Base stats'!B:B,'Base stats'!E:E),Groups!A:A,Groups!G:G)=2,ISNUMBER(SEARCH("Desert",BW85)),ISNUMBER(SEARCH("ExtremeDesert",BW85)),ISNUMBER(SEARCH("LavaField",BW85))),50,IF(ISNUMBER(SEARCH("Grasslands",BW85)),45,IF(OR(_xlfn.XLOOKUP(_xlfn.XLOOKUP(B85,'Base stats'!B:B,'Base stats'!E:E),Groups!A:A,Groups!G:G)=1,ISNUMBER(SEARCH("TropicalRainforest",BW85)),ISNUMBER(SEARCH("TropicalSwamp",BW85))),40,IF(OR(ISNUMBER(SEARCH("TemperateForest",BW85)),ISNUMBER(SEARCH("TemperateSwamp",BW85))),35,IF(OR(ISNUMBER(SEARCH("Alpine",BW85)),ISNUMBER(SEARCH("BorealForest",BW85)),ISNUMBER(SEARCH("ColdBog",BW85))),30,IF(ISNUMBER(OR(ISNUMBER(SEARCH("GlacialPlain",BW85)),SEARCH("Tundra",BW85))),25,IF(OR(ISNUMBER(SEARCH("SeaIce",BW85)),ISNUMBER(SEARCH("IceSheet",BW85)),ISNUMBER(SEARCH("TropicalSwamp",BW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stats'!AO:AO))*(AO85^0.5)+(_xlfn.XLOOKUP(B85,'Base stats'!B:B,'Base stats'!AO:AO)/1000)^(2/3)+_xlfn.XLOOKUP(B85,'Base stats'!B:B,'Base stats'!AX:AX)/2)+0.5,0.5)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stats'!AP:AP))*(AO85^0.5)+(_xlfn.XLOOKUP(B85,'Base stats'!B:B,'Base stats'!AP:AP)/1000)^(2/3)+_xlfn.XLOOKUP(B85,'Base stats'!B:B,'Base stats'!AX:AX))+_xlfn.XLOOKUP(B85,'Base stats'!B:B,'Base stats'!AV:AV)+0.5,0.5))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stats'!AR:AR))*(AO85^0.5)+(_xlfn.XLOOKUP(B85,'Base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stats'!AQ:AQ)="No","No",MROUND((LOG10(_xlfn.XLOOKUP(B85,'Base stats'!B:B,'Base stats'!AQ:AQ))*(AO85^0.75)+(_xlfn.XLOOKUP(B85,'Base stats'!B:B,'Base stats'!AQ:AQ)/1000)^(2/3)+_xlfn.XLOOKUP(B85,'Base stats'!B:B,'Base stats'!AU:AU)+_xlfn.XLOOKUP(B85,'Base stats'!B:B,'Base stats'!AX:AX))+0.5,0.5))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stats'!AP:AP))*(AO85^0.75)+(_xlfn.XLOOKUP(B85,'Base stats'!B:B,'Base stats'!AP:AP)/1000)^(2/3)+_xlfn.XLOOKUP(B85,'Base stats'!B:B,'Base stats'!AV:AV)+_xlfn.XLOOKUP(B85,'Base stats'!B:B,'Base stats'!AX:AX))+0.5,0.5))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MAX(0.01,MROUND(IF(CB85="True",0.196*(AO85*100*1000)^0.889,IF(_xlfn.XLOOKUP(_xlfn.XLOOKUP(B85,'Base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stats'!AE:AE)</f>
        <v>Leather_Light</v>
      </c>
      <c r="BB85" s="23" t="str">
        <f>_xlfn.XLOOKUP(_xlfn.XLOOKUP(B85,'Base stats'!B:B,'Base stats'!E:E),Groups!A:A,Groups!AL:AL)</f>
        <v>QuadrupedAnimalWithPawsAndTail</v>
      </c>
      <c r="BC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D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E85" s="2" t="str">
        <f>IF(J85&gt;0.3,"No",_xlfn.XLOOKUP(_xlfn.XLOOKUP(Animals!B85,'Base stats'!B:B,'Base stats'!E:E),Groups!A:A,Groups!AP:AP))</f>
        <v>No</v>
      </c>
      <c r="BF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+ 24*(1-IF(BE85="No",0,BE85)) + 16/3, 12),"No")</f>
        <v>No</v>
      </c>
      <c r="BG85" s="2">
        <f>IF(AND(_xlfn.XLOOKUP(_xlfn.XLOOKUP(B85,'Base stats'!B:B,'Base stats'!E:E),Groups!A:A,Groups!AQ:AQ)=1,AO85&lt;=0.35),8,12)</f>
        <v>12</v>
      </c>
      <c r="BH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I85" s="2" t="str">
        <f>IF(AND(_xlfn.XLOOKUP(_xlfn.XLOOKUP(B85,'Base stats'!B:B,'Base stats'!E:E),Groups!A:A,Groups!AS:AS)=1,OR('Base stats'!Y85="Carnivore",'Base stats'!Y85="Omnivore")),"true","false")</f>
        <v>true</v>
      </c>
      <c r="BJ85" s="2">
        <f>IF(BI85="true",MROUND(IF(AND(AO85&gt;0.5,OR(_xlfn.XLOOKUP(_xlfn.XLOOKUP(B85,'Base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K85" s="2">
        <f t="shared" si="10"/>
        <v>1</v>
      </c>
      <c r="BL85" s="25">
        <f>IF(_xlfn.XLOOKUP(B85,'Base stats'!B:B,'Base stats'!AK:AK)="Standard","No",MROUND((_xlfn.XLOOKUP(B85,'Base stats'!B:B,'Base stats'!AK:AK)/3.6)/I85,0.1))</f>
        <v>1</v>
      </c>
      <c r="BM85" s="25" t="str">
        <f t="shared" si="11"/>
        <v>true</v>
      </c>
      <c r="BN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O85" s="25" t="str" cm="1">
        <f t="array" ref="BO85">IF(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 = "",
  "No",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
)</f>
        <v>No</v>
      </c>
      <c r="BP85" s="25">
        <f>IF(
   AND(
      'Base stats'!AK85="Standard",_xlfn.XLOOKUP(_xlfn.XLOOKUP(B85,'Base stats'!B:B,'Base stats'!E:E),Groups!A:A,Groups!AU:AU)=0,
      OR(
      BN85="True"
      )
   ),
   10,
   IF(
       OR(BL85&lt;&gt;"No",_xlfn.XLOOKUP(_xlfn.XLOOKUP(B85,'Base stats'!B:B,'Base stats'!E:E),Groups!A:A,Groups!AU:AU)=1),
      1,
      "No"
   )
)</f>
        <v>1</v>
      </c>
      <c r="BQ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stats'!AS:AS) * 1.8) * 2) * 2.5 + 10 + I85 * 2,5)+IF(_xlfn.XLOOKUP(B85,'Base stats'!B:B,'Base stats'!AH:AH)=1,50,0)</f>
        <v>50</v>
      </c>
      <c r="BR85" s="8">
        <f t="shared" si="12"/>
        <v>0.35000000000000003</v>
      </c>
      <c r="BS85" s="8" t="str">
        <f>_xlfn.XLOOKUP(B85,'Base stats'!B:B,'Base stats'!AD:AD)</f>
        <v>No</v>
      </c>
      <c r="BT85" s="2" t="str">
        <f>IF(AND(J85&lt;=0.95,OR(_xlfn.XLOOKUP(B85,'Base stats'!B:B,'Base stats'!AH:AH)=1,_xlfn.XLOOKUP(B85,'Base stats'!B:B,'Base stats'!Y:Y)="Carnivore",_xlfn.XLOOKUP(B85,'Base stats'!B:B,'Base stats'!Y:Y)="Omnivore",BD85&gt;0.1)),"true","false")</f>
        <v>true</v>
      </c>
      <c r="BU85" s="2" t="str">
        <f>IF(_xlfn.XLOOKUP(B85,'Base stats'!B:B,'Base stats'!AF:AF)=1,"true","false")</f>
        <v>false</v>
      </c>
      <c r="BV85" s="25" t="str">
        <f>IF(E85="BaseInsect","AnimalInsect",
IF(J85&gt;0.95,"AnimalExotic",
_xlfn.TEXTJOIN(", ",TRUE,
IF(OR(_xlfn.XLOOKUP(B85,'Base stats'!B:B,'Base stats'!AJ:AJ)=1,AND(_xlfn.XLOOKUP(B85,'Base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stats'!AH:AH)=1,AND(BH85&lt;&gt;"None",BQ85&gt;=60),ISNUMBER(SEARCH("Attack target",BO85))),"AnimalFighter","")
)))</f>
        <v>AnimalUncommon</v>
      </c>
      <c r="BW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),_xlfn.XLOOKUP(B85,B:B,BW:BW))</f>
        <v>ColdBog TemperateSwamp</v>
      </c>
      <c r="BX85" s="25" t="str">
        <f>IF(_xlfn.XLOOKUP(B85,'Base stats'!B:B,'Base stats'!AG:AG)=1,"true","false")</f>
        <v>false</v>
      </c>
      <c r="BY85" s="25">
        <f>IF(_xlfn.XLOOKUP(B85,'Base stats'!B:B,'Base stats'!N:N)=1,"No",MAX(0.01,MIN(MROUND(IF(OR(_xlfn.XLOOKUP(B85,'Base stats'!B:B,'Base stats'!AJ:AJ)=1,AND(BI85="True",CB85="False")),POWER(10,3.47*LOG10(_xlfn.XLOOKUP(B85,'Base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stats'!AH:AH)=1),0.5,1)/100,0.025),1)))</f>
        <v>7.5000000000000011E-2</v>
      </c>
      <c r="BZ85" s="25" t="str">
        <f>IF(P85="Standard","No",MAX(0.01,IF(_xlfn.XLOOKUP(B85,'Base stats'!B:B,'Base stats'!N:N)=0,MROUND(BY85*P85,0.05),MIN(1,MAX(0.025,MROUND(IF(OR(CB85="true",AND(BI85="false",BN85="false")),POWER(10,4.15*LOG10(_xlfn.XLOOKUP(B85,'Base stats'!B:B,'Base stats'!C:C)*1000)^-0.73),POWER(10,3.47*LOG10(_xlfn.XLOOKUP(B85,'Base stats'!B:B,'Base stats'!C:C)*1000)^-0.96))*IF(_xlfn.XLOOKUP(B85,'Base stats'!B:B,'Base stats'!AH:AH)=1,0.5,1)/100,0.025))))))</f>
        <v>No</v>
      </c>
      <c r="CA85" s="25" t="str">
        <f>IF(_xlfn.XLOOKUP(_xlfn.XLOOKUP(B85,'Base stats'!B:B,'Base stats'!E:E),Groups!A:A,Groups!AJ:AJ)="Mammal","True","False")</f>
        <v>True</v>
      </c>
      <c r="CB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C85" s="25" t="str">
        <f t="shared" si="13"/>
        <v>False</v>
      </c>
      <c r="CD85" s="25" t="str">
        <f>IF(_xlfn.XLOOKUP(_xlfn.XLOOKUP(B85,'Base stats'!B:B,'Base stats'!E:E),Groups!A:A,Groups!AX:AX),"True","False")</f>
        <v>False</v>
      </c>
      <c r="CE85" s="25" t="str">
        <f>IF(_xlfn.XLOOKUP(_xlfn.XLOOKUP(B85,'Base stats'!B:B,'Base stats'!E:E),Groups!A:A,Groups!AY:AY),"True","False")</f>
        <v>False</v>
      </c>
      <c r="CF85" s="25" t="str">
        <f>IF(_xlfn.XLOOKUP(_xlfn.XLOOKUP(B85,'Base stats'!B:B,'Base stats'!E:E),Groups!A:A,Groups!AW:AW),"True","False")</f>
        <v>False</v>
      </c>
      <c r="CG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H85" s="25" t="str">
        <f>IF(_xlfn.XLOOKUP(_xlfn.XLOOKUP(B85,'Base stats'!B:B,'Base stats'!E:E),Groups!A:A,Groups!BB:BB),"True","False")</f>
        <v>True</v>
      </c>
      <c r="CI85" s="25" t="str">
        <f>IF(_xlfn.XLOOKUP(_xlfn.XLOOKUP(B85,'Base stats'!B:B,'Base stats'!E:E),Groups!A:A,Groups!BA:BA),"True","False")</f>
        <v>False</v>
      </c>
    </row>
    <row r="86" spans="1:87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stats'!AI:AI)=0,BH86="None",_xlfn.XLOOKUP(_xlfn.XLOOKUP(B86,'Base stats'!B:B,'Base stats'!E:E),Groups!A:A,Groups!B:B)=0), (18 + BQ86 * 2.7) * 0.5,
    IF(AND(_xlfn.XLOOKUP(B86,'Base stats'!B:B,'Base stats'!AI:AI)=0,OR(AO86&lt;0.55,AND(BH86="Intermediate",_xlfn.XLOOKUP(_xlfn.XLOOKUP(B86,'Base stats'!B:B,'Base stats'!E:E),Groups!A:A,Groups!B:B)&lt;2))), (18 + BQ86 * 2.7),
      IF(OR(BH86="Advanced",_xlfn.XLOOKUP(B86,'Base stats'!B:B,'Base stats'!AI:AI)=1,_xlfn.XLOOKUP(_xlfn.XLOOKUP(B86,'Base stats'!B:B,'Base stats'!E:E),Groups!A:A,Groups!B:B)=2), (18 + BQ86 * 2.7) + 250, (18 + BQ86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IF(_xlfn.XLOOKUP(B86,'Base stats'!B:B,'Base stats'!AI:AI)=1,0.99,MIN(MROUND((1-0.6282*EXP(-0.459*AO86))*_xlfn.XLOOKUP(_xlfn.XLOOKUP(B86,'Base stats'!B:B,'Base stats'!E:E),Groups!A:A,Groups!C:C)*IF(_xlfn.XLOOKUP(B86,'Base stats'!B:B,'Base stats'!O:O)=1,0.5,IF(_xlfn.XLOOKUP(B86,'Base stats'!B:B,'Base stats'!O:O)=2,0,1)),0.05),0.985))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W86)),ISNUMBER(SEARCH("IceSheet",BW86))),-50,IF(OR(ISNUMBER(SEARCH("GlacialPlain",BW86)),ISNUMBER(SEARCH("Tundra",BW86))),-40,IF(OR(ISNUMBER(SEARCH("Alpine",BW86)),ISNUMBER(SEARCH("BorealForest",BW86)),ISNUMBER(SEARCH("ColdBog",BW86))),-30,IF(OR(ISNUMBER(SEARCH("TemperateForest",BW86)),ISNUMBER(SEARCH("TemperateSwamp",BW86))),-20,IF(_xlfn.XLOOKUP(_xlfn.XLOOKUP(B86,'Base stats'!B:B,'Base stats'!E:E),Groups!A:A,Groups!F:F)=1,-15,IF(OR(ISNUMBER(SEARCH("Desert",BW86)),ISNUMBER(SEARCH("ExtremeDesert",BW86))),-10,IF(OR(ISNUMBER(SEARCH("Grasslands",BW86)),ISNUMBER(SEARCH("TropicalRainforest",BW86)),ISNUMBER(SEARCH("TropicalSwamp",BW86))),10,0)))))))-IF(CB86="False",MIN(IFERROR(MAX(MROUND(LOG10(_xlfn.XLOOKUP(B86,'Base stats'!B:B,'Base stats'!C:C)^(2/3))*10,5),5),5),30))-_xlfn.XLOOKUP(B86,'Base stats'!B:B,'Base stats'!P:P)+IF(CB86="True",5,0)</f>
        <v>-65</v>
      </c>
      <c r="M86" s="2">
        <f>IF(OR(_xlfn.XLOOKUP(_xlfn.XLOOKUP(B86,'Base stats'!B:B,'Base stats'!E:E),Groups!A:A,Groups!G:G)=2,ISNUMBER(SEARCH("Desert",BW86)),ISNUMBER(SEARCH("ExtremeDesert",BW86)),ISNUMBER(SEARCH("LavaField",BW86))),50,IF(ISNUMBER(SEARCH("Grasslands",BW86)),45,IF(OR(_xlfn.XLOOKUP(_xlfn.XLOOKUP(B86,'Base stats'!B:B,'Base stats'!E:E),Groups!A:A,Groups!G:G)=1,ISNUMBER(SEARCH("TropicalRainforest",BW86)),ISNUMBER(SEARCH("TropicalSwamp",BW86))),40,IF(OR(ISNUMBER(SEARCH("TemperateForest",BW86)),ISNUMBER(SEARCH("TemperateSwamp",BW86))),35,IF(OR(ISNUMBER(SEARCH("Alpine",BW86)),ISNUMBER(SEARCH("BorealForest",BW86)),ISNUMBER(SEARCH("ColdBog",BW86))),30,IF(ISNUMBER(OR(ISNUMBER(SEARCH("GlacialPlain",BW86)),SEARCH("Tundra",BW86))),25,IF(OR(ISNUMBER(SEARCH("SeaIce",BW86)),ISNUMBER(SEARCH("IceSheet",BW86)),ISNUMBER(SEARCH("TropicalSwamp",BW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stats'!AO:AO))*(AO86^0.5)+(_xlfn.XLOOKUP(B86,'Base stats'!B:B,'Base stats'!AO:AO)/1000)^(2/3)+_xlfn.XLOOKUP(B86,'Base stats'!B:B,'Base stats'!AX:AX)/2)+0.5,0.5)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stats'!AP:AP))*(AO86^0.5)+(_xlfn.XLOOKUP(B86,'Base stats'!B:B,'Base stats'!AP:AP)/1000)^(2/3)+_xlfn.XLOOKUP(B86,'Base stats'!B:B,'Base stats'!AX:AX))+_xlfn.XLOOKUP(B86,'Base stats'!B:B,'Base stats'!AV:AV)+0.5,0.5))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stats'!AR:AR))*(AO86^0.5)+(_xlfn.XLOOKUP(B86,'Base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stats'!AQ:AQ)="No","No",MROUND((LOG10(_xlfn.XLOOKUP(B86,'Base stats'!B:B,'Base stats'!AQ:AQ))*(AO86^0.75)+(_xlfn.XLOOKUP(B86,'Base stats'!B:B,'Base stats'!AQ:AQ)/1000)^(2/3)+_xlfn.XLOOKUP(B86,'Base stats'!B:B,'Base stats'!AU:AU)+_xlfn.XLOOKUP(B86,'Base stats'!B:B,'Base stats'!AX:AX))+0.5,0.5))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stats'!AP:AP))*(AO86^0.75)+(_xlfn.XLOOKUP(B86,'Base stats'!B:B,'Base stats'!AP:AP)/1000)^(2/3)+_xlfn.XLOOKUP(B86,'Base stats'!B:B,'Base stats'!AV:AV)+_xlfn.XLOOKUP(B86,'Base stats'!B:B,'Base stats'!AX:AX))+0.5,0.5))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MAX(0.01,MROUND(IF(CB86="True",0.196*(AO86*100*1000)^0.889,IF(_xlfn.XLOOKUP(_xlfn.XLOOKUP(B86,'Base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stats'!AE:AE)</f>
        <v>Leather_Sealskin</v>
      </c>
      <c r="BB86" s="23" t="str">
        <f>_xlfn.XLOOKUP(_xlfn.XLOOKUP(B86,'Base stats'!B:B,'Base stats'!E:E),Groups!A:A,Groups!AL:AL)</f>
        <v>Pinniped</v>
      </c>
      <c r="BC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D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E86" s="2" t="str">
        <f>IF(J86&gt;0.3,"No",_xlfn.XLOOKUP(_xlfn.XLOOKUP(Animals!B86,'Base stats'!B:B,'Base stats'!E:E),Groups!A:A,Groups!AP:AP))</f>
        <v>No</v>
      </c>
      <c r="BF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+ 24*(1-IF(BE86="No",0,BE86)) + 16/3, 12),"No")</f>
        <v>No</v>
      </c>
      <c r="BG86" s="2">
        <f>IF(AND(_xlfn.XLOOKUP(_xlfn.XLOOKUP(B86,'Base stats'!B:B,'Base stats'!E:E),Groups!A:A,Groups!AQ:AQ)=1,AO86&lt;=0.35),8,12)</f>
        <v>12</v>
      </c>
      <c r="BH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I86" s="2" t="str">
        <f>IF(AND(_xlfn.XLOOKUP(_xlfn.XLOOKUP(B86,'Base stats'!B:B,'Base stats'!E:E),Groups!A:A,Groups!AS:AS)=1,OR('Base stats'!Y86="Carnivore",'Base stats'!Y86="Omnivore")),"true","false")</f>
        <v>true</v>
      </c>
      <c r="BJ86" s="2">
        <f>IF(BI86="true",MROUND(IF(AND(AO86&gt;0.5,OR(_xlfn.XLOOKUP(_xlfn.XLOOKUP(B86,'Base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K86" s="2">
        <f t="shared" si="10"/>
        <v>1</v>
      </c>
      <c r="BL86" s="25">
        <f>IF(_xlfn.XLOOKUP(B86,'Base stats'!B:B,'Base stats'!AK:AK)="Standard","No",MROUND((_xlfn.XLOOKUP(B86,'Base stats'!B:B,'Base stats'!AK:AK)/3.6)/I86,0.1))</f>
        <v>1.9000000000000001</v>
      </c>
      <c r="BM86" s="25" t="str">
        <f t="shared" si="11"/>
        <v>true</v>
      </c>
      <c r="BN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O86" s="25" t="str" cm="1">
        <f t="array" ref="BO86">IF(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 = "",
  "No",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
)</f>
        <v>AttackTarget</v>
      </c>
      <c r="BP86" s="25">
        <f>IF(
   AND(
      'Base stats'!AK86="Standard",_xlfn.XLOOKUP(_xlfn.XLOOKUP(B86,'Base stats'!B:B,'Base stats'!E:E),Groups!A:A,Groups!AU:AU)=0,
      OR(
      BN86="True"
      )
   ),
   10,
   IF(
       OR(BL86&lt;&gt;"No",_xlfn.XLOOKUP(_xlfn.XLOOKUP(B86,'Base stats'!B:B,'Base stats'!E:E),Groups!A:A,Groups!AU:AU)=1),
      1,
      "No"
   )
)</f>
        <v>1</v>
      </c>
      <c r="BQ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stats'!AS:AS) * 1.8) * 2) * 2.5 + 10 + I86 * 2,5)+IF(_xlfn.XLOOKUP(B86,'Base stats'!B:B,'Base stats'!AH:AH)=1,50,0)</f>
        <v>155</v>
      </c>
      <c r="BR86" s="8">
        <f t="shared" si="12"/>
        <v>1</v>
      </c>
      <c r="BS86" s="8" t="str">
        <f>_xlfn.XLOOKUP(B86,'Base stats'!B:B,'Base stats'!AD:AD)</f>
        <v>5~15</v>
      </c>
      <c r="BT86" s="2" t="str">
        <f>IF(AND(J86&lt;=0.95,OR(_xlfn.XLOOKUP(B86,'Base stats'!B:B,'Base stats'!AH:AH)=1,_xlfn.XLOOKUP(B86,'Base stats'!B:B,'Base stats'!Y:Y)="Carnivore",_xlfn.XLOOKUP(B86,'Base stats'!B:B,'Base stats'!Y:Y)="Omnivore",BD86&gt;0.1)),"true","false")</f>
        <v>true</v>
      </c>
      <c r="BU86" s="2" t="str">
        <f>IF(_xlfn.XLOOKUP(B86,'Base stats'!B:B,'Base stats'!AF:AF)=1,"true","false")</f>
        <v>false</v>
      </c>
      <c r="BV86" s="25" t="str">
        <f>IF(E86="BaseInsect","AnimalInsect",
IF(J86&gt;0.95,"AnimalExotic",
_xlfn.TEXTJOIN(", ",TRUE,
IF(OR(_xlfn.XLOOKUP(B86,'Base stats'!B:B,'Base stats'!AJ:AJ)=1,AND(_xlfn.XLOOKUP(B86,'Base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stats'!AH:AH)=1,AND(BH86&lt;&gt;"None",BQ86&gt;=60),ISNUMBER(SEARCH("Attack target",BO86))),"AnimalFighter","")
)))</f>
        <v>AnimalCommon, AnimalFighter</v>
      </c>
      <c r="BW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),_xlfn.XLOOKUP(B86,B:B,BW:BW))</f>
        <v>SeaIce IceSheet Tundra BorealForest ColdBog TemperateForest TemperateSwamp GlacialPlain</v>
      </c>
      <c r="BX86" s="25" t="str">
        <f>IF(_xlfn.XLOOKUP(B86,'Base stats'!B:B,'Base stats'!AG:AG)=1,"true","false")</f>
        <v>true</v>
      </c>
      <c r="BY86" s="25">
        <f>IF(_xlfn.XLOOKUP(B86,'Base stats'!B:B,'Base stats'!N:N)=1,"No",MAX(0.01,MIN(MROUND(IF(OR(_xlfn.XLOOKUP(B86,'Base stats'!B:B,'Base stats'!AJ:AJ)=1,AND(BI86="True",CB86="False")),POWER(10,3.47*LOG10(_xlfn.XLOOKUP(B86,'Base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stats'!AH:AH)=1),0.5,1)/100,0.025),1)))</f>
        <v>0.05</v>
      </c>
      <c r="BZ86" s="25" t="str">
        <f>IF(P86="Standard","No",MAX(0.01,IF(_xlfn.XLOOKUP(B86,'Base stats'!B:B,'Base stats'!N:N)=0,MROUND(BY86*P86,0.05),MIN(1,MAX(0.025,MROUND(IF(OR(CB86="true",AND(BI86="false",BN86="false")),POWER(10,4.15*LOG10(_xlfn.XLOOKUP(B86,'Base stats'!B:B,'Base stats'!C:C)*1000)^-0.73),POWER(10,3.47*LOG10(_xlfn.XLOOKUP(B86,'Base stats'!B:B,'Base stats'!C:C)*1000)^-0.96))*IF(_xlfn.XLOOKUP(B86,'Base stats'!B:B,'Base stats'!AH:AH)=1,0.5,1)/100,0.025))))))</f>
        <v>No</v>
      </c>
      <c r="CA86" s="25" t="str">
        <f>IF(_xlfn.XLOOKUP(_xlfn.XLOOKUP(B86,'Base stats'!B:B,'Base stats'!E:E),Groups!A:A,Groups!AJ:AJ)="Mammal","True","False")</f>
        <v>True</v>
      </c>
      <c r="CB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C86" s="25" t="str">
        <f t="shared" si="13"/>
        <v>False</v>
      </c>
      <c r="CD86" s="25" t="str">
        <f>IF(_xlfn.XLOOKUP(_xlfn.XLOOKUP(B86,'Base stats'!B:B,'Base stats'!E:E),Groups!A:A,Groups!AX:AX),"True","False")</f>
        <v>False</v>
      </c>
      <c r="CE86" s="25" t="str">
        <f>IF(_xlfn.XLOOKUP(_xlfn.XLOOKUP(B86,'Base stats'!B:B,'Base stats'!E:E),Groups!A:A,Groups!AY:AY),"True","False")</f>
        <v>False</v>
      </c>
      <c r="CF86" s="25" t="str">
        <f>IF(_xlfn.XLOOKUP(_xlfn.XLOOKUP(B86,'Base stats'!B:B,'Base stats'!E:E),Groups!A:A,Groups!AW:AW),"True","False")</f>
        <v>False</v>
      </c>
      <c r="CG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H86" s="25" t="str">
        <f>IF(_xlfn.XLOOKUP(_xlfn.XLOOKUP(B86,'Base stats'!B:B,'Base stats'!E:E),Groups!A:A,Groups!BB:BB),"True","False")</f>
        <v>True</v>
      </c>
      <c r="CI86" s="25" t="str">
        <f>IF(_xlfn.XLOOKUP(_xlfn.XLOOKUP(B86,'Base stats'!B:B,'Base stats'!E:E),Groups!A:A,Groups!BA:BA),"True","False")</f>
        <v>False</v>
      </c>
    </row>
    <row r="87" spans="1:87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stats'!AI:AI)=0,BH87="None",_xlfn.XLOOKUP(_xlfn.XLOOKUP(B87,'Base stats'!B:B,'Base stats'!E:E),Groups!A:A,Groups!B:B)=0), (18 + BQ87 * 2.7) * 0.5,
    IF(AND(_xlfn.XLOOKUP(B87,'Base stats'!B:B,'Base stats'!AI:AI)=0,OR(AO87&lt;0.55,AND(BH87="Intermediate",_xlfn.XLOOKUP(_xlfn.XLOOKUP(B87,'Base stats'!B:B,'Base stats'!E:E),Groups!A:A,Groups!B:B)&lt;2))), (18 + BQ87 * 2.7),
      IF(OR(BH87="Advanced",_xlfn.XLOOKUP(B87,'Base stats'!B:B,'Base stats'!AI:AI)=1,_xlfn.XLOOKUP(_xlfn.XLOOKUP(B87,'Base stats'!B:B,'Base stats'!E:E),Groups!A:A,Groups!B:B)=2), (18 + BQ87 * 2.7) + 250, (18 + BQ87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IF(_xlfn.XLOOKUP(B87,'Base stats'!B:B,'Base stats'!AI:AI)=1,0.99,MIN(MROUND((1-0.6282*EXP(-0.459*AO87))*_xlfn.XLOOKUP(_xlfn.XLOOKUP(B87,'Base stats'!B:B,'Base stats'!E:E),Groups!A:A,Groups!C:C)*IF(_xlfn.XLOOKUP(B87,'Base stats'!B:B,'Base stats'!O:O)=1,0.5,IF(_xlfn.XLOOKUP(B87,'Base stats'!B:B,'Base stats'!O:O)=2,0,1)),0.05),0.985))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W87)),ISNUMBER(SEARCH("IceSheet",BW87))),-50,IF(OR(ISNUMBER(SEARCH("GlacialPlain",BW87)),ISNUMBER(SEARCH("Tundra",BW87))),-40,IF(OR(ISNUMBER(SEARCH("Alpine",BW87)),ISNUMBER(SEARCH("BorealForest",BW87)),ISNUMBER(SEARCH("ColdBog",BW87))),-30,IF(OR(ISNUMBER(SEARCH("TemperateForest",BW87)),ISNUMBER(SEARCH("TemperateSwamp",BW87))),-20,IF(_xlfn.XLOOKUP(_xlfn.XLOOKUP(B87,'Base stats'!B:B,'Base stats'!E:E),Groups!A:A,Groups!F:F)=1,-15,IF(OR(ISNUMBER(SEARCH("Desert",BW87)),ISNUMBER(SEARCH("ExtremeDesert",BW87))),-10,IF(OR(ISNUMBER(SEARCH("Grasslands",BW87)),ISNUMBER(SEARCH("TropicalRainforest",BW87)),ISNUMBER(SEARCH("TropicalSwamp",BW87))),10,0)))))))-IF(CB87="False",MIN(IFERROR(MAX(MROUND(LOG10(_xlfn.XLOOKUP(B87,'Base stats'!B:B,'Base stats'!C:C)^(2/3))*10,5),5),5),30))-_xlfn.XLOOKUP(B87,'Base stats'!B:B,'Base stats'!P:P)+IF(CB87="True",5,0)</f>
        <v>-65</v>
      </c>
      <c r="M87" s="2">
        <f>IF(OR(_xlfn.XLOOKUP(_xlfn.XLOOKUP(B87,'Base stats'!B:B,'Base stats'!E:E),Groups!A:A,Groups!G:G)=2,ISNUMBER(SEARCH("Desert",BW87)),ISNUMBER(SEARCH("ExtremeDesert",BW87)),ISNUMBER(SEARCH("LavaField",BW87))),50,IF(ISNUMBER(SEARCH("Grasslands",BW87)),45,IF(OR(_xlfn.XLOOKUP(_xlfn.XLOOKUP(B87,'Base stats'!B:B,'Base stats'!E:E),Groups!A:A,Groups!G:G)=1,ISNUMBER(SEARCH("TropicalRainforest",BW87)),ISNUMBER(SEARCH("TropicalSwamp",BW87))),40,IF(OR(ISNUMBER(SEARCH("TemperateForest",BW87)),ISNUMBER(SEARCH("TemperateSwamp",BW87))),35,IF(OR(ISNUMBER(SEARCH("Alpine",BW87)),ISNUMBER(SEARCH("BorealForest",BW87)),ISNUMBER(SEARCH("ColdBog",BW87))),30,IF(ISNUMBER(OR(ISNUMBER(SEARCH("GlacialPlain",BW87)),SEARCH("Tundra",BW87))),25,IF(OR(ISNUMBER(SEARCH("SeaIce",BW87)),ISNUMBER(SEARCH("IceSheet",BW87)),ISNUMBER(SEARCH("TropicalSwamp",BW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stats'!AO:AO))*(AO87^0.5)+(_xlfn.XLOOKUP(B87,'Base stats'!B:B,'Base stats'!AO:AO)/1000)^(2/3)+_xlfn.XLOOKUP(B87,'Base stats'!B:B,'Base stats'!AX:AX)/2)+0.5,0.5)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stats'!AP:AP))*(AO87^0.5)+(_xlfn.XLOOKUP(B87,'Base stats'!B:B,'Base stats'!AP:AP)/1000)^(2/3)+_xlfn.XLOOKUP(B87,'Base stats'!B:B,'Base stats'!AX:AX))+_xlfn.XLOOKUP(B87,'Base stats'!B:B,'Base stats'!AV:AV)+0.5,0.5))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stats'!AR:AR))*(AO87^0.5)+(_xlfn.XLOOKUP(B87,'Base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stats'!AQ:AQ)="No","No",MROUND((LOG10(_xlfn.XLOOKUP(B87,'Base stats'!B:B,'Base stats'!AQ:AQ))*(AO87^0.75)+(_xlfn.XLOOKUP(B87,'Base stats'!B:B,'Base stats'!AQ:AQ)/1000)^(2/3)+_xlfn.XLOOKUP(B87,'Base stats'!B:B,'Base stats'!AU:AU)+_xlfn.XLOOKUP(B87,'Base stats'!B:B,'Base stats'!AX:AX))+0.5,0.5))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stats'!AP:AP))*(AO87^0.75)+(_xlfn.XLOOKUP(B87,'Base stats'!B:B,'Base stats'!AP:AP)/1000)^(2/3)+_xlfn.XLOOKUP(B87,'Base stats'!B:B,'Base stats'!AV:AV)+_xlfn.XLOOKUP(B87,'Base stats'!B:B,'Base stats'!AX:AX))+0.5,0.5))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MAX(0.01,MROUND(IF(CB87="True",0.196*(AO87*100*1000)^0.889,IF(_xlfn.XLOOKUP(_xlfn.XLOOKUP(B87,'Base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stats'!AE:AE)</f>
        <v>Leather_Sealskin</v>
      </c>
      <c r="BB87" s="23" t="str">
        <f>_xlfn.XLOOKUP(_xlfn.XLOOKUP(B87,'Base stats'!B:B,'Base stats'!E:E),Groups!A:A,Groups!AL:AL)</f>
        <v>Pinniped</v>
      </c>
      <c r="BC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D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E87" s="2" t="str">
        <f>IF(J87&gt;0.3,"No",_xlfn.XLOOKUP(_xlfn.XLOOKUP(Animals!B87,'Base stats'!B:B,'Base stats'!E:E),Groups!A:A,Groups!AP:AP))</f>
        <v>No</v>
      </c>
      <c r="BF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+ 24*(1-IF(BE87="No",0,BE87)) + 16/3, 12),"No")</f>
        <v>60</v>
      </c>
      <c r="BG87" s="2">
        <f>IF(AND(_xlfn.XLOOKUP(_xlfn.XLOOKUP(B87,'Base stats'!B:B,'Base stats'!E:E),Groups!A:A,Groups!AQ:AQ)=1,AO87&lt;=0.35),8,12)</f>
        <v>12</v>
      </c>
      <c r="BH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I87" s="2" t="str">
        <f>IF(AND(_xlfn.XLOOKUP(_xlfn.XLOOKUP(B87,'Base stats'!B:B,'Base stats'!E:E),Groups!A:A,Groups!AS:AS)=1,OR('Base stats'!Y87="Carnivore",'Base stats'!Y87="Omnivore")),"true","false")</f>
        <v>true</v>
      </c>
      <c r="BJ87" s="2">
        <f>IF(BI87="true",MROUND(IF(AND(AO87&gt;0.5,OR(_xlfn.XLOOKUP(_xlfn.XLOOKUP(B87,'Base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K87" s="2">
        <f t="shared" si="10"/>
        <v>1</v>
      </c>
      <c r="BL87" s="25">
        <f>IF(_xlfn.XLOOKUP(B87,'Base stats'!B:B,'Base stats'!AK:AK)="Standard","No",MROUND((_xlfn.XLOOKUP(B87,'Base stats'!B:B,'Base stats'!AK:AK)/3.6)/I87,0.1))</f>
        <v>2.2000000000000002</v>
      </c>
      <c r="BM87" s="25" t="str">
        <f t="shared" si="11"/>
        <v>true</v>
      </c>
      <c r="BN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O87" s="25" t="str" cm="1">
        <f t="array" ref="BO87">IF(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 = "",
  "No",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
)</f>
        <v>AttackTarget</v>
      </c>
      <c r="BP87" s="25">
        <f>IF(
   AND(
      'Base stats'!AK87="Standard",_xlfn.XLOOKUP(_xlfn.XLOOKUP(B87,'Base stats'!B:B,'Base stats'!E:E),Groups!A:A,Groups!AU:AU)=0,
      OR(
      BN87="True"
      )
   ),
   10,
   IF(
       OR(BL87&lt;&gt;"No",_xlfn.XLOOKUP(_xlfn.XLOOKUP(B87,'Base stats'!B:B,'Base stats'!E:E),Groups!A:A,Groups!AU:AU)=1),
      1,
      "No"
   )
)</f>
        <v>1</v>
      </c>
      <c r="BQ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stats'!AS:AS) * 1.8) * 2) * 2.5 + 10 + I87 * 2,5)+IF(_xlfn.XLOOKUP(B87,'Base stats'!B:B,'Base stats'!AH:AH)=1,50,0)</f>
        <v>115</v>
      </c>
      <c r="BR87" s="8">
        <f t="shared" si="12"/>
        <v>0.8</v>
      </c>
      <c r="BS87" s="8" t="str">
        <f>_xlfn.XLOOKUP(B87,'Base stats'!B:B,'Base stats'!AD:AD)</f>
        <v>5~15</v>
      </c>
      <c r="BT87" s="2" t="str">
        <f>IF(AND(J87&lt;=0.95,OR(_xlfn.XLOOKUP(B87,'Base stats'!B:B,'Base stats'!AH:AH)=1,_xlfn.XLOOKUP(B87,'Base stats'!B:B,'Base stats'!Y:Y)="Carnivore",_xlfn.XLOOKUP(B87,'Base stats'!B:B,'Base stats'!Y:Y)="Omnivore",BD87&gt;0.1)),"true","false")</f>
        <v>true</v>
      </c>
      <c r="BU87" s="2" t="str">
        <f>IF(_xlfn.XLOOKUP(B87,'Base stats'!B:B,'Base stats'!AF:AF)=1,"true","false")</f>
        <v>false</v>
      </c>
      <c r="BV87" s="25" t="str">
        <f>IF(E87="BaseInsect","AnimalInsect",
IF(J87&gt;0.95,"AnimalExotic",
_xlfn.TEXTJOIN(", ",TRUE,
IF(OR(_xlfn.XLOOKUP(B87,'Base stats'!B:B,'Base stats'!AJ:AJ)=1,AND(_xlfn.XLOOKUP(B87,'Base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stats'!AH:AH)=1,AND(BH87&lt;&gt;"None",BQ87&gt;=60),ISNUMBER(SEARCH("Attack target",BO87))),"AnimalFighter","")
)))</f>
        <v>AnimalCommon, AnimalFighter</v>
      </c>
      <c r="BW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),_xlfn.XLOOKUP(B87,B:B,BW:BW))</f>
        <v>SeaIce IceSheet Tundra BorealForest ColdBog TemperateForest TemperateSwamp GlacialPlain</v>
      </c>
      <c r="BX87" s="25" t="str">
        <f>IF(_xlfn.XLOOKUP(B87,'Base stats'!B:B,'Base stats'!AG:AG)=1,"true","false")</f>
        <v>true</v>
      </c>
      <c r="BY87" s="25">
        <f>IF(_xlfn.XLOOKUP(B87,'Base stats'!B:B,'Base stats'!N:N)=1,"No",MAX(0.01,MIN(MROUND(IF(OR(_xlfn.XLOOKUP(B87,'Base stats'!B:B,'Base stats'!AJ:AJ)=1,AND(BI87="True",CB87="False")),POWER(10,3.47*LOG10(_xlfn.XLOOKUP(B87,'Base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stats'!AH:AH)=1),0.5,1)/100,0.025),1)))</f>
        <v>0.05</v>
      </c>
      <c r="BZ87" s="25" t="str">
        <f>IF(P87="Standard","No",MAX(0.01,IF(_xlfn.XLOOKUP(B87,'Base stats'!B:B,'Base stats'!N:N)=0,MROUND(BY87*P87,0.05),MIN(1,MAX(0.025,MROUND(IF(OR(CB87="true",AND(BI87="false",BN87="false")),POWER(10,4.15*LOG10(_xlfn.XLOOKUP(B87,'Base stats'!B:B,'Base stats'!C:C)*1000)^-0.73),POWER(10,3.47*LOG10(_xlfn.XLOOKUP(B87,'Base stats'!B:B,'Base stats'!C:C)*1000)^-0.96))*IF(_xlfn.XLOOKUP(B87,'Base stats'!B:B,'Base stats'!AH:AH)=1,0.5,1)/100,0.025))))))</f>
        <v>No</v>
      </c>
      <c r="CA87" s="25" t="str">
        <f>IF(_xlfn.XLOOKUP(_xlfn.XLOOKUP(B87,'Base stats'!B:B,'Base stats'!E:E),Groups!A:A,Groups!AJ:AJ)="Mammal","True","False")</f>
        <v>True</v>
      </c>
      <c r="CB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C87" s="25" t="str">
        <f t="shared" si="13"/>
        <v>False</v>
      </c>
      <c r="CD87" s="25" t="str">
        <f>IF(_xlfn.XLOOKUP(_xlfn.XLOOKUP(B87,'Base stats'!B:B,'Base stats'!E:E),Groups!A:A,Groups!AX:AX),"True","False")</f>
        <v>False</v>
      </c>
      <c r="CE87" s="25" t="str">
        <f>IF(_xlfn.XLOOKUP(_xlfn.XLOOKUP(B87,'Base stats'!B:B,'Base stats'!E:E),Groups!A:A,Groups!AY:AY),"True","False")</f>
        <v>False</v>
      </c>
      <c r="CF87" s="25" t="str">
        <f>IF(_xlfn.XLOOKUP(_xlfn.XLOOKUP(B87,'Base stats'!B:B,'Base stats'!E:E),Groups!A:A,Groups!AW:AW),"True","False")</f>
        <v>False</v>
      </c>
      <c r="CG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H87" s="25" t="str">
        <f>IF(_xlfn.XLOOKUP(_xlfn.XLOOKUP(B87,'Base stats'!B:B,'Base stats'!E:E),Groups!A:A,Groups!BB:BB),"True","False")</f>
        <v>True</v>
      </c>
      <c r="CI87" s="25" t="str">
        <f>IF(_xlfn.XLOOKUP(_xlfn.XLOOKUP(B87,'Base stats'!B:B,'Base stats'!E:E),Groups!A:A,Groups!BA:BA),"True","False")</f>
        <v>False</v>
      </c>
    </row>
    <row r="88" spans="1:87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stats'!AI:AI)=0,BH88="None",_xlfn.XLOOKUP(_xlfn.XLOOKUP(B88,'Base stats'!B:B,'Base stats'!E:E),Groups!A:A,Groups!B:B)=0), (18 + BQ88 * 2.7) * 0.5,
    IF(AND(_xlfn.XLOOKUP(B88,'Base stats'!B:B,'Base stats'!AI:AI)=0,OR(AO88&lt;0.55,AND(BH88="Intermediate",_xlfn.XLOOKUP(_xlfn.XLOOKUP(B88,'Base stats'!B:B,'Base stats'!E:E),Groups!A:A,Groups!B:B)&lt;2))), (18 + BQ88 * 2.7),
      IF(OR(BH88="Advanced",_xlfn.XLOOKUP(B88,'Base stats'!B:B,'Base stats'!AI:AI)=1,_xlfn.XLOOKUP(_xlfn.XLOOKUP(B88,'Base stats'!B:B,'Base stats'!E:E),Groups!A:A,Groups!B:B)=2), (18 + BQ88 * 2.7) + 250, (18 + BQ88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IF(_xlfn.XLOOKUP(B88,'Base stats'!B:B,'Base stats'!AI:AI)=1,0.99,MIN(MROUND((1-0.6282*EXP(-0.459*AO88))*_xlfn.XLOOKUP(_xlfn.XLOOKUP(B88,'Base stats'!B:B,'Base stats'!E:E),Groups!A:A,Groups!C:C)*IF(_xlfn.XLOOKUP(B88,'Base stats'!B:B,'Base stats'!O:O)=1,0.5,IF(_xlfn.XLOOKUP(B88,'Base stats'!B:B,'Base stats'!O:O)=2,0,1)),0.05),0.985))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W88)),ISNUMBER(SEARCH("IceSheet",BW88))),-50,IF(OR(ISNUMBER(SEARCH("GlacialPlain",BW88)),ISNUMBER(SEARCH("Tundra",BW88))),-40,IF(OR(ISNUMBER(SEARCH("Alpine",BW88)),ISNUMBER(SEARCH("BorealForest",BW88)),ISNUMBER(SEARCH("ColdBog",BW88))),-30,IF(OR(ISNUMBER(SEARCH("TemperateForest",BW88)),ISNUMBER(SEARCH("TemperateSwamp",BW88))),-20,IF(_xlfn.XLOOKUP(_xlfn.XLOOKUP(B88,'Base stats'!B:B,'Base stats'!E:E),Groups!A:A,Groups!F:F)=1,-15,IF(OR(ISNUMBER(SEARCH("Desert",BW88)),ISNUMBER(SEARCH("ExtremeDesert",BW88))),-10,IF(OR(ISNUMBER(SEARCH("Grasslands",BW88)),ISNUMBER(SEARCH("TropicalRainforest",BW88)),ISNUMBER(SEARCH("TropicalSwamp",BW88))),10,0)))))))-IF(CB88="False",MIN(IFERROR(MAX(MROUND(LOG10(_xlfn.XLOOKUP(B88,'Base stats'!B:B,'Base stats'!C:C)^(2/3))*10,5),5),5),30))-_xlfn.XLOOKUP(B88,'Base stats'!B:B,'Base stats'!P:P)+IF(CB88="True",5,0)</f>
        <v>-70</v>
      </c>
      <c r="M88" s="2">
        <f>IF(OR(_xlfn.XLOOKUP(_xlfn.XLOOKUP(B88,'Base stats'!B:B,'Base stats'!E:E),Groups!A:A,Groups!G:G)=2,ISNUMBER(SEARCH("Desert",BW88)),ISNUMBER(SEARCH("ExtremeDesert",BW88)),ISNUMBER(SEARCH("LavaField",BW88))),50,IF(ISNUMBER(SEARCH("Grasslands",BW88)),45,IF(OR(_xlfn.XLOOKUP(_xlfn.XLOOKUP(B88,'Base stats'!B:B,'Base stats'!E:E),Groups!A:A,Groups!G:G)=1,ISNUMBER(SEARCH("TropicalRainforest",BW88)),ISNUMBER(SEARCH("TropicalSwamp",BW88))),40,IF(OR(ISNUMBER(SEARCH("TemperateForest",BW88)),ISNUMBER(SEARCH("TemperateSwamp",BW88))),35,IF(OR(ISNUMBER(SEARCH("Alpine",BW88)),ISNUMBER(SEARCH("BorealForest",BW88)),ISNUMBER(SEARCH("ColdBog",BW88))),30,IF(ISNUMBER(OR(ISNUMBER(SEARCH("GlacialPlain",BW88)),SEARCH("Tundra",BW88))),25,IF(OR(ISNUMBER(SEARCH("SeaIce",BW88)),ISNUMBER(SEARCH("IceSheet",BW88)),ISNUMBER(SEARCH("TropicalSwamp",BW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stats'!AO:AO))*(AO88^0.5)+(_xlfn.XLOOKUP(B88,'Base stats'!B:B,'Base stats'!AO:AO)/1000)^(2/3)+_xlfn.XLOOKUP(B88,'Base stats'!B:B,'Base stats'!AX:AX)/2)+0.5,0.5)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stats'!AP:AP))*(AO88^0.5)+(_xlfn.XLOOKUP(B88,'Base stats'!B:B,'Base stats'!AP:AP)/1000)^(2/3)+_xlfn.XLOOKUP(B88,'Base stats'!B:B,'Base stats'!AX:AX))+_xlfn.XLOOKUP(B88,'Base stats'!B:B,'Base stats'!AV:AV)+0.5,0.5))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stats'!AR:AR))*(AO88^0.5)+(_xlfn.XLOOKUP(B88,'Base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stats'!AQ:AQ)="No","No",MROUND((LOG10(_xlfn.XLOOKUP(B88,'Base stats'!B:B,'Base stats'!AQ:AQ))*(AO88^0.75)+(_xlfn.XLOOKUP(B88,'Base stats'!B:B,'Base stats'!AQ:AQ)/1000)^(2/3)+_xlfn.XLOOKUP(B88,'Base stats'!B:B,'Base stats'!AU:AU)+_xlfn.XLOOKUP(B88,'Base stats'!B:B,'Base stats'!AX:AX))+0.5,0.5))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stats'!AP:AP))*(AO88^0.75)+(_xlfn.XLOOKUP(B88,'Base stats'!B:B,'Base stats'!AP:AP)/1000)^(2/3)+_xlfn.XLOOKUP(B88,'Base stats'!B:B,'Base stats'!AV:AV)+_xlfn.XLOOKUP(B88,'Base stats'!B:B,'Base stats'!AX:AX))+0.5,0.5))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MAX(0.01,MROUND(IF(CB88="True",0.196*(AO88*100*1000)^0.889,IF(_xlfn.XLOOKUP(_xlfn.XLOOKUP(B88,'Base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stats'!AE:AE)</f>
        <v>Leather_Sealskin</v>
      </c>
      <c r="BB88" s="23" t="str">
        <f>_xlfn.XLOOKUP(_xlfn.XLOOKUP(B88,'Base stats'!B:B,'Base stats'!E:E),Groups!A:A,Groups!AL:AL)</f>
        <v>PinnipedWithTusks</v>
      </c>
      <c r="BC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D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E88" s="2" t="str">
        <f>IF(J88&gt;0.3,"No",_xlfn.XLOOKUP(_xlfn.XLOOKUP(Animals!B88,'Base stats'!B:B,'Base stats'!E:E),Groups!A:A,Groups!AP:AP))</f>
        <v>No</v>
      </c>
      <c r="BF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+ 24*(1-IF(BE88="No",0,BE88)) + 16/3, 12),"No")</f>
        <v>No</v>
      </c>
      <c r="BG88" s="2">
        <f>IF(AND(_xlfn.XLOOKUP(_xlfn.XLOOKUP(B88,'Base stats'!B:B,'Base stats'!E:E),Groups!A:A,Groups!AQ:AQ)=1,AO88&lt;=0.35),8,12)</f>
        <v>12</v>
      </c>
      <c r="BH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I88" s="2" t="str">
        <f>IF(AND(_xlfn.XLOOKUP(_xlfn.XLOOKUP(B88,'Base stats'!B:B,'Base stats'!E:E),Groups!A:A,Groups!AS:AS)=1,OR('Base stats'!Y88="Carnivore",'Base stats'!Y88="Omnivore")),"true","false")</f>
        <v>false</v>
      </c>
      <c r="BJ88" s="2" t="str">
        <f>IF(BI88="true",MROUND(IF(AND(AO88&gt;0.5,OR(_xlfn.XLOOKUP(_xlfn.XLOOKUP(B88,'Base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K88" s="2">
        <f t="shared" si="10"/>
        <v>1</v>
      </c>
      <c r="BL88" s="25">
        <f>IF(_xlfn.XLOOKUP(B88,'Base stats'!B:B,'Base stats'!AK:AK)="Standard","No",MROUND((_xlfn.XLOOKUP(B88,'Base stats'!B:B,'Base stats'!AK:AK)/3.6)/I88,0.1))</f>
        <v>2.4000000000000004</v>
      </c>
      <c r="BM88" s="25" t="str">
        <f t="shared" si="11"/>
        <v>true</v>
      </c>
      <c r="BN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O88" s="25" t="str" cm="1">
        <f t="array" ref="BO88">IF(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 = "",
  "No",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
)</f>
        <v>No</v>
      </c>
      <c r="BP88" s="25">
        <f>IF(
   AND(
      'Base stats'!AK88="Standard",_xlfn.XLOOKUP(_xlfn.XLOOKUP(B88,'Base stats'!B:B,'Base stats'!E:E),Groups!A:A,Groups!AU:AU)=0,
      OR(
      BN88="True"
      )
   ),
   10,
   IF(
       OR(BL88&lt;&gt;"No",_xlfn.XLOOKUP(_xlfn.XLOOKUP(B88,'Base stats'!B:B,'Base stats'!E:E),Groups!A:A,Groups!AU:AU)=1),
      1,
      "No"
   )
)</f>
        <v>1</v>
      </c>
      <c r="BQ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stats'!AS:AS) * 1.8) * 2) * 2.5 + 10 + I88 * 2,5)+IF(_xlfn.XLOOKUP(B88,'Base stats'!B:B,'Base stats'!AH:AH)=1,50,0)</f>
        <v>300</v>
      </c>
      <c r="BR88" s="8">
        <f t="shared" si="12"/>
        <v>2.1</v>
      </c>
      <c r="BS88" s="8" t="str">
        <f>_xlfn.XLOOKUP(B88,'Base stats'!B:B,'Base stats'!AD:AD)</f>
        <v>5~15</v>
      </c>
      <c r="BT88" s="2" t="str">
        <f>IF(AND(J88&lt;=0.95,OR(_xlfn.XLOOKUP(B88,'Base stats'!B:B,'Base stats'!AH:AH)=1,_xlfn.XLOOKUP(B88,'Base stats'!B:B,'Base stats'!Y:Y)="Carnivore",_xlfn.XLOOKUP(B88,'Base stats'!B:B,'Base stats'!Y:Y)="Omnivore",BD88&gt;0.1)),"true","false")</f>
        <v>true</v>
      </c>
      <c r="BU88" s="2" t="str">
        <f>IF(_xlfn.XLOOKUP(B88,'Base stats'!B:B,'Base stats'!AF:AF)=1,"true","false")</f>
        <v>false</v>
      </c>
      <c r="BV88" s="25" t="str">
        <f>IF(E88="BaseInsect","AnimalInsect",
IF(J88&gt;0.95,"AnimalExotic",
_xlfn.TEXTJOIN(", ",TRUE,
IF(OR(_xlfn.XLOOKUP(B88,'Base stats'!B:B,'Base stats'!AJ:AJ)=1,AND(_xlfn.XLOOKUP(B88,'Base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stats'!AH:AH)=1,AND(BH88&lt;&gt;"None",BQ88&gt;=60),ISNUMBER(SEARCH("Attack target",BO88))),"AnimalFighter","")
)))</f>
        <v>AnimalCommon, AnimalFighter</v>
      </c>
      <c r="BW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),_xlfn.XLOOKUP(B88,B:B,BW:BW))</f>
        <v>SeaIce IceSheet Tundra</v>
      </c>
      <c r="BX88" s="25" t="str">
        <f>IF(_xlfn.XLOOKUP(B88,'Base stats'!B:B,'Base stats'!AG:AG)=1,"true","false")</f>
        <v>true</v>
      </c>
      <c r="BY88" s="25">
        <f>IF(_xlfn.XLOOKUP(B88,'Base stats'!B:B,'Base stats'!N:N)=1,"No",MAX(0.01,MIN(MROUND(IF(OR(_xlfn.XLOOKUP(B88,'Base stats'!B:B,'Base stats'!AJ:AJ)=1,AND(BI88="True",CB88="False")),POWER(10,3.47*LOG10(_xlfn.XLOOKUP(B88,'Base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stats'!AH:AH)=1),0.5,1)/100,0.025),1)))</f>
        <v>0.125</v>
      </c>
      <c r="BZ88" s="25" t="str">
        <f>IF(P88="Standard","No",MAX(0.01,IF(_xlfn.XLOOKUP(B88,'Base stats'!B:B,'Base stats'!N:N)=0,MROUND(BY88*P88,0.05),MIN(1,MAX(0.025,MROUND(IF(OR(CB88="true",AND(BI88="false",BN88="false")),POWER(10,4.15*LOG10(_xlfn.XLOOKUP(B88,'Base stats'!B:B,'Base stats'!C:C)*1000)^-0.73),POWER(10,3.47*LOG10(_xlfn.XLOOKUP(B88,'Base stats'!B:B,'Base stats'!C:C)*1000)^-0.96))*IF(_xlfn.XLOOKUP(B88,'Base stats'!B:B,'Base stats'!AH:AH)=1,0.5,1)/100,0.025))))))</f>
        <v>No</v>
      </c>
      <c r="CA88" s="25" t="str">
        <f>IF(_xlfn.XLOOKUP(_xlfn.XLOOKUP(B88,'Base stats'!B:B,'Base stats'!E:E),Groups!A:A,Groups!AJ:AJ)="Mammal","True","False")</f>
        <v>True</v>
      </c>
      <c r="CB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C88" s="25" t="str">
        <f t="shared" si="13"/>
        <v>False</v>
      </c>
      <c r="CD88" s="25" t="str">
        <f>IF(_xlfn.XLOOKUP(_xlfn.XLOOKUP(B88,'Base stats'!B:B,'Base stats'!E:E),Groups!A:A,Groups!AX:AX),"True","False")</f>
        <v>False</v>
      </c>
      <c r="CE88" s="25" t="str">
        <f>IF(_xlfn.XLOOKUP(_xlfn.XLOOKUP(B88,'Base stats'!B:B,'Base stats'!E:E),Groups!A:A,Groups!AY:AY),"True","False")</f>
        <v>False</v>
      </c>
      <c r="CF88" s="25" t="str">
        <f>IF(_xlfn.XLOOKUP(_xlfn.XLOOKUP(B88,'Base stats'!B:B,'Base stats'!E:E),Groups!A:A,Groups!AW:AW),"True","False")</f>
        <v>False</v>
      </c>
      <c r="CG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H88" s="25" t="str">
        <f>IF(_xlfn.XLOOKUP(_xlfn.XLOOKUP(B88,'Base stats'!B:B,'Base stats'!E:E),Groups!A:A,Groups!BB:BB),"True","False")</f>
        <v>True</v>
      </c>
      <c r="CI88" s="25" t="str">
        <f>IF(_xlfn.XLOOKUP(_xlfn.XLOOKUP(B88,'Base stats'!B:B,'Base stats'!E:E),Groups!A:A,Groups!BA:BA),"True","False")</f>
        <v>False</v>
      </c>
    </row>
    <row r="89" spans="1:87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stats'!AI:AI)=0,BH89="None",_xlfn.XLOOKUP(_xlfn.XLOOKUP(B89,'Base stats'!B:B,'Base stats'!E:E),Groups!A:A,Groups!B:B)=0), (18 + BQ89 * 2.7) * 0.5,
    IF(AND(_xlfn.XLOOKUP(B89,'Base stats'!B:B,'Base stats'!AI:AI)=0,OR(AO89&lt;0.55,AND(BH89="Intermediate",_xlfn.XLOOKUP(_xlfn.XLOOKUP(B89,'Base stats'!B:B,'Base stats'!E:E),Groups!A:A,Groups!B:B)&lt;2))), (18 + BQ89 * 2.7),
      IF(OR(BH89="Advanced",_xlfn.XLOOKUP(B89,'Base stats'!B:B,'Base stats'!AI:AI)=1,_xlfn.XLOOKUP(_xlfn.XLOOKUP(B89,'Base stats'!B:B,'Base stats'!E:E),Groups!A:A,Groups!B:B)=2), (18 + BQ89 * 2.7) + 250, (18 + BQ89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IF(_xlfn.XLOOKUP(B89,'Base stats'!B:B,'Base stats'!AI:AI)=1,0.99,MIN(MROUND((1-0.6282*EXP(-0.459*AO89))*_xlfn.XLOOKUP(_xlfn.XLOOKUP(B89,'Base stats'!B:B,'Base stats'!E:E),Groups!A:A,Groups!C:C)*IF(_xlfn.XLOOKUP(B89,'Base stats'!B:B,'Base stats'!O:O)=1,0.5,IF(_xlfn.XLOOKUP(B89,'Base stats'!B:B,'Base stats'!O:O)=2,0,1)),0.05),0.985))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W89)),ISNUMBER(SEARCH("IceSheet",BW89))),-50,IF(OR(ISNUMBER(SEARCH("GlacialPlain",BW89)),ISNUMBER(SEARCH("Tundra",BW89))),-40,IF(OR(ISNUMBER(SEARCH("Alpine",BW89)),ISNUMBER(SEARCH("BorealForest",BW89)),ISNUMBER(SEARCH("ColdBog",BW89))),-30,IF(OR(ISNUMBER(SEARCH("TemperateForest",BW89)),ISNUMBER(SEARCH("TemperateSwamp",BW89))),-20,IF(_xlfn.XLOOKUP(_xlfn.XLOOKUP(B89,'Base stats'!B:B,'Base stats'!E:E),Groups!A:A,Groups!F:F)=1,-15,IF(OR(ISNUMBER(SEARCH("Desert",BW89)),ISNUMBER(SEARCH("ExtremeDesert",BW89))),-10,IF(OR(ISNUMBER(SEARCH("Grasslands",BW89)),ISNUMBER(SEARCH("TropicalRainforest",BW89)),ISNUMBER(SEARCH("TropicalSwamp",BW89))),10,0)))))))-IF(CB89="False",MIN(IFERROR(MAX(MROUND(LOG10(_xlfn.XLOOKUP(B89,'Base stats'!B:B,'Base stats'!C:C)^(2/3))*10,5),5),5),30))-_xlfn.XLOOKUP(B89,'Base stats'!B:B,'Base stats'!P:P)+IF(CB89="True",5,0)</f>
        <v>-5</v>
      </c>
      <c r="M89" s="2">
        <f>IF(OR(_xlfn.XLOOKUP(_xlfn.XLOOKUP(B89,'Base stats'!B:B,'Base stats'!E:E),Groups!A:A,Groups!G:G)=2,ISNUMBER(SEARCH("Desert",BW89)),ISNUMBER(SEARCH("ExtremeDesert",BW89)),ISNUMBER(SEARCH("LavaField",BW89))),50,IF(ISNUMBER(SEARCH("Grasslands",BW89)),45,IF(OR(_xlfn.XLOOKUP(_xlfn.XLOOKUP(B89,'Base stats'!B:B,'Base stats'!E:E),Groups!A:A,Groups!G:G)=1,ISNUMBER(SEARCH("TropicalRainforest",BW89)),ISNUMBER(SEARCH("TropicalSwamp",BW89))),40,IF(OR(ISNUMBER(SEARCH("TemperateForest",BW89)),ISNUMBER(SEARCH("TemperateSwamp",BW89))),35,IF(OR(ISNUMBER(SEARCH("Alpine",BW89)),ISNUMBER(SEARCH("BorealForest",BW89)),ISNUMBER(SEARCH("ColdBog",BW89))),30,IF(ISNUMBER(OR(ISNUMBER(SEARCH("GlacialPlain",BW89)),SEARCH("Tundra",BW89))),25,IF(OR(ISNUMBER(SEARCH("SeaIce",BW89)),ISNUMBER(SEARCH("IceSheet",BW89)),ISNUMBER(SEARCH("TropicalSwamp",BW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stats'!AO:AO))*(AO89^0.5)+(_xlfn.XLOOKUP(B89,'Base stats'!B:B,'Base stats'!AO:AO)/1000)^(2/3)+_xlfn.XLOOKUP(B89,'Base stats'!B:B,'Base stats'!AX:AX)/2)+0.5,0.5)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stats'!AP:AP))*(AO89^0.5)+(_xlfn.XLOOKUP(B89,'Base stats'!B:B,'Base stats'!AP:AP)/1000)^(2/3)+_xlfn.XLOOKUP(B89,'Base stats'!B:B,'Base stats'!AX:AX))+_xlfn.XLOOKUP(B89,'Base stats'!B:B,'Base stats'!AV:AV)+0.5,0.5))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stats'!AR:AR))*(AO89^0.5)+(_xlfn.XLOOKUP(B89,'Base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stats'!AQ:AQ)="No","No",MROUND((LOG10(_xlfn.XLOOKUP(B89,'Base stats'!B:B,'Base stats'!AQ:AQ))*(AO89^0.75)+(_xlfn.XLOOKUP(B89,'Base stats'!B:B,'Base stats'!AQ:AQ)/1000)^(2/3)+_xlfn.XLOOKUP(B89,'Base stats'!B:B,'Base stats'!AU:AU)+_xlfn.XLOOKUP(B89,'Base stats'!B:B,'Base stats'!AX:AX))+0.5,0.5))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stats'!AP:AP))*(AO89^0.75)+(_xlfn.XLOOKUP(B89,'Base stats'!B:B,'Base stats'!AP:AP)/1000)^(2/3)+_xlfn.XLOOKUP(B89,'Base stats'!B:B,'Base stats'!AV:AV)+_xlfn.XLOOKUP(B89,'Base stats'!B:B,'Base stats'!AX:AX))+0.5,0.5))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MAX(0.01,MROUND(IF(CB89="True",0.196*(AO89*100*1000)^0.889,IF(_xlfn.XLOOKUP(_xlfn.XLOOKUP(B89,'Base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stats'!AE:AE)</f>
        <v>Leather_Light</v>
      </c>
      <c r="BB89" s="23" t="str">
        <f>_xlfn.XLOOKUP(_xlfn.XLOOKUP(B89,'Base stats'!B:B,'Base stats'!E:E),Groups!A:A,Groups!AL:AL)</f>
        <v>Ape</v>
      </c>
      <c r="BC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D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E89" s="2" t="str">
        <f>IF(J89&gt;0.3,"No",_xlfn.XLOOKUP(_xlfn.XLOOKUP(Animals!B89,'Base stats'!B:B,'Base stats'!E:E),Groups!A:A,Groups!AP:AP))</f>
        <v>No</v>
      </c>
      <c r="BF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+ 24*(1-IF(BE89="No",0,BE89)) + 16/3, 12),"No")</f>
        <v>No</v>
      </c>
      <c r="BG89" s="2">
        <f>IF(AND(_xlfn.XLOOKUP(_xlfn.XLOOKUP(B89,'Base stats'!B:B,'Base stats'!E:E),Groups!A:A,Groups!AQ:AQ)=1,AO89&lt;=0.35),8,12)</f>
        <v>12</v>
      </c>
      <c r="BH89" s="2" t="str">
        <f>IF(_xlfn.XLOOKUP(_xlfn.XLOOKUP(B89,'Base stats'!B:B,'Base stats'!E:E),Groups!A:A,Groups!D:D)=0,_xlfn.XLOOKUP(_xlfn.XLOOKUP(B89,'Base stats'!B:B,'Base stats'!E:E),Groups!A:A,Groups!AR:AR),"None")</f>
        <v>Advanced</v>
      </c>
      <c r="BI89" s="2" t="str">
        <f>IF(AND(_xlfn.XLOOKUP(_xlfn.XLOOKUP(B89,'Base stats'!B:B,'Base stats'!E:E),Groups!A:A,Groups!AS:AS)=1,OR('Base stats'!Y89="Carnivore",'Base stats'!Y89="Omnivore")),"true","false")</f>
        <v>false</v>
      </c>
      <c r="BJ89" s="2" t="str">
        <f>IF(BI89="true",MROUND(IF(AND(AO89&gt;0.5,OR(_xlfn.XLOOKUP(_xlfn.XLOOKUP(B89,'Base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K89" s="2">
        <f t="shared" si="10"/>
        <v>1</v>
      </c>
      <c r="BL89" s="25" t="str">
        <f>IF(_xlfn.XLOOKUP(B89,'Base stats'!B:B,'Base stats'!AK:AK)="Standard","No",MROUND((_xlfn.XLOOKUP(B89,'Base stats'!B:B,'Base stats'!AK:AK)/3.6)/I89,0.1))</f>
        <v>No</v>
      </c>
      <c r="BM89" s="25" t="str">
        <f t="shared" si="11"/>
        <v>false</v>
      </c>
      <c r="BN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O89" s="25" t="str" cm="1">
        <f t="array" ref="BO89">IF(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 = "",
  "No",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
)</f>
        <v>Forage</v>
      </c>
      <c r="BP89" s="25" t="str">
        <f>IF(
   AND(
      'Base stats'!AK89="Standard",_xlfn.XLOOKUP(_xlfn.XLOOKUP(B89,'Base stats'!B:B,'Base stats'!E:E),Groups!A:A,Groups!AU:AU)=0,
      OR(
      BN89="True"
      )
   ),
   10,
   IF(
       OR(BL89&lt;&gt;"No",_xlfn.XLOOKUP(_xlfn.XLOOKUP(B89,'Base stats'!B:B,'Base stats'!E:E),Groups!A:A,Groups!AU:AU)=1),
      1,
      "No"
   )
)</f>
        <v>No</v>
      </c>
      <c r="BQ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stats'!AS:AS) * 1.8) * 2) * 2.5 + 10 + I89 * 2,5)+IF(_xlfn.XLOOKUP(B89,'Base stats'!B:B,'Base stats'!AH:AH)=1,50,0)</f>
        <v>125</v>
      </c>
      <c r="BR89" s="8">
        <f t="shared" si="12"/>
        <v>0.9</v>
      </c>
      <c r="BS89" s="8" t="str">
        <f>_xlfn.XLOOKUP(B89,'Base stats'!B:B,'Base stats'!AD:AD)</f>
        <v>3~10</v>
      </c>
      <c r="BT89" s="2" t="str">
        <f>IF(AND(J89&lt;=0.95,OR(_xlfn.XLOOKUP(B89,'Base stats'!B:B,'Base stats'!AH:AH)=1,_xlfn.XLOOKUP(B89,'Base stats'!B:B,'Base stats'!Y:Y)="Carnivore",_xlfn.XLOOKUP(B89,'Base stats'!B:B,'Base stats'!Y:Y)="Omnivore",BD89&gt;0.1)),"true","false")</f>
        <v>false</v>
      </c>
      <c r="BU89" s="2" t="str">
        <f>IF(_xlfn.XLOOKUP(B89,'Base stats'!B:B,'Base stats'!AF:AF)=1,"true","false")</f>
        <v>false</v>
      </c>
      <c r="BV89" s="25" t="str">
        <f>IF(E89="BaseInsect","AnimalInsect",
IF(J89&gt;0.95,"AnimalExotic",
_xlfn.TEXTJOIN(", ",TRUE,
IF(OR(_xlfn.XLOOKUP(B89,'Base stats'!B:B,'Base stats'!AJ:AJ)=1,AND(_xlfn.XLOOKUP(B89,'Base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stats'!AH:AH)=1,AND(BH89&lt;&gt;"None",BQ89&gt;=60),ISNUMBER(SEARCH("Attack target",BO89))),"AnimalFighter","")
)))</f>
        <v>AnimalUncommon, AnimalFighter</v>
      </c>
      <c r="BW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),_xlfn.XLOOKUP(B89,B:B,BW:BW))</f>
        <v>TropicalRainforest TropicalSwamp Glowforest</v>
      </c>
      <c r="BX89" s="25" t="str">
        <f>IF(_xlfn.XLOOKUP(B89,'Base stats'!B:B,'Base stats'!AG:AG)=1,"true","false")</f>
        <v>false</v>
      </c>
      <c r="BY89" s="25">
        <f>IF(_xlfn.XLOOKUP(B89,'Base stats'!B:B,'Base stats'!N:N)=1,"No",MAX(0.01,MIN(MROUND(IF(OR(_xlfn.XLOOKUP(B89,'Base stats'!B:B,'Base stats'!AJ:AJ)=1,AND(BI89="True",CB89="False")),POWER(10,3.47*LOG10(_xlfn.XLOOKUP(B89,'Base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stats'!AH:AH)=1),0.5,1)/100,0.025),1)))</f>
        <v>0.17500000000000002</v>
      </c>
      <c r="BZ89" s="25" t="str">
        <f>IF(P89="Standard","No",MAX(0.01,IF(_xlfn.XLOOKUP(B89,'Base stats'!B:B,'Base stats'!N:N)=0,MROUND(BY89*P89,0.05),MIN(1,MAX(0.025,MROUND(IF(OR(CB89="true",AND(BI89="false",BN89="false")),POWER(10,4.15*LOG10(_xlfn.XLOOKUP(B89,'Base stats'!B:B,'Base stats'!C:C)*1000)^-0.73),POWER(10,3.47*LOG10(_xlfn.XLOOKUP(B89,'Base stats'!B:B,'Base stats'!C:C)*1000)^-0.96))*IF(_xlfn.XLOOKUP(B89,'Base stats'!B:B,'Base stats'!AH:AH)=1,0.5,1)/100,0.025))))))</f>
        <v>No</v>
      </c>
      <c r="CA89" s="25" t="str">
        <f>IF(_xlfn.XLOOKUP(_xlfn.XLOOKUP(B89,'Base stats'!B:B,'Base stats'!E:E),Groups!A:A,Groups!AJ:AJ)="Mammal","True","False")</f>
        <v>True</v>
      </c>
      <c r="CB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C89" s="25" t="str">
        <f t="shared" si="13"/>
        <v>False</v>
      </c>
      <c r="CD89" s="25" t="str">
        <f>IF(_xlfn.XLOOKUP(_xlfn.XLOOKUP(B89,'Base stats'!B:B,'Base stats'!E:E),Groups!A:A,Groups!AX:AX),"True","False")</f>
        <v>False</v>
      </c>
      <c r="CE89" s="25" t="str">
        <f>IF(_xlfn.XLOOKUP(_xlfn.XLOOKUP(B89,'Base stats'!B:B,'Base stats'!E:E),Groups!A:A,Groups!AY:AY),"True","False")</f>
        <v>False</v>
      </c>
      <c r="CF89" s="25" t="str">
        <f>IF(_xlfn.XLOOKUP(_xlfn.XLOOKUP(B89,'Base stats'!B:B,'Base stats'!E:E),Groups!A:A,Groups!AW:AW),"True","False")</f>
        <v>False</v>
      </c>
      <c r="CG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H89" s="25" t="str">
        <f>IF(_xlfn.XLOOKUP(_xlfn.XLOOKUP(B89,'Base stats'!B:B,'Base stats'!E:E),Groups!A:A,Groups!BB:BB),"True","False")</f>
        <v>True</v>
      </c>
      <c r="CI89" s="25" t="str">
        <f>IF(_xlfn.XLOOKUP(_xlfn.XLOOKUP(B89,'Base stats'!B:B,'Base stats'!E:E),Groups!A:A,Groups!BA:BA),"True","False")</f>
        <v>False</v>
      </c>
    </row>
    <row r="90" spans="1:87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stats'!AI:AI)=0,BH90="None",_xlfn.XLOOKUP(_xlfn.XLOOKUP(B90,'Base stats'!B:B,'Base stats'!E:E),Groups!A:A,Groups!B:B)=0), (18 + BQ90 * 2.7) * 0.5,
    IF(AND(_xlfn.XLOOKUP(B90,'Base stats'!B:B,'Base stats'!AI:AI)=0,OR(AO90&lt;0.55,AND(BH90="Intermediate",_xlfn.XLOOKUP(_xlfn.XLOOKUP(B90,'Base stats'!B:B,'Base stats'!E:E),Groups!A:A,Groups!B:B)&lt;2))), (18 + BQ90 * 2.7),
      IF(OR(BH90="Advanced",_xlfn.XLOOKUP(B90,'Base stats'!B:B,'Base stats'!AI:AI)=1,_xlfn.XLOOKUP(_xlfn.XLOOKUP(B90,'Base stats'!B:B,'Base stats'!E:E),Groups!A:A,Groups!B:B)=2), (18 + BQ90 * 2.7) + 250, (18 + BQ90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IF(_xlfn.XLOOKUP(B90,'Base stats'!B:B,'Base stats'!AI:AI)=1,0.99,MIN(MROUND((1-0.6282*EXP(-0.459*AO90))*_xlfn.XLOOKUP(_xlfn.XLOOKUP(B90,'Base stats'!B:B,'Base stats'!E:E),Groups!A:A,Groups!C:C)*IF(_xlfn.XLOOKUP(B90,'Base stats'!B:B,'Base stats'!O:O)=1,0.5,IF(_xlfn.XLOOKUP(B90,'Base stats'!B:B,'Base stats'!O:O)=2,0,1)),0.05),0.985))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W90)),ISNUMBER(SEARCH("IceSheet",BW90))),-50,IF(OR(ISNUMBER(SEARCH("GlacialPlain",BW90)),ISNUMBER(SEARCH("Tundra",BW90))),-40,IF(OR(ISNUMBER(SEARCH("Alpine",BW90)),ISNUMBER(SEARCH("BorealForest",BW90)),ISNUMBER(SEARCH("ColdBog",BW90))),-30,IF(OR(ISNUMBER(SEARCH("TemperateForest",BW90)),ISNUMBER(SEARCH("TemperateSwamp",BW90))),-20,IF(_xlfn.XLOOKUP(_xlfn.XLOOKUP(B90,'Base stats'!B:B,'Base stats'!E:E),Groups!A:A,Groups!F:F)=1,-15,IF(OR(ISNUMBER(SEARCH("Desert",BW90)),ISNUMBER(SEARCH("ExtremeDesert",BW90))),-10,IF(OR(ISNUMBER(SEARCH("Grasslands",BW90)),ISNUMBER(SEARCH("TropicalRainforest",BW90)),ISNUMBER(SEARCH("TropicalSwamp",BW90))),10,0)))))))-IF(CB90="False",MIN(IFERROR(MAX(MROUND(LOG10(_xlfn.XLOOKUP(B90,'Base stats'!B:B,'Base stats'!C:C)^(2/3))*10,5),5),5),30))-_xlfn.XLOOKUP(B90,'Base stats'!B:B,'Base stats'!P:P)+IF(CB90="True",5,0)</f>
        <v>15</v>
      </c>
      <c r="M90" s="2">
        <f>IF(OR(_xlfn.XLOOKUP(_xlfn.XLOOKUP(B90,'Base stats'!B:B,'Base stats'!E:E),Groups!A:A,Groups!G:G)=2,ISNUMBER(SEARCH("Desert",BW90)),ISNUMBER(SEARCH("ExtremeDesert",BW90)),ISNUMBER(SEARCH("LavaField",BW90))),50,IF(ISNUMBER(SEARCH("Grasslands",BW90)),45,IF(OR(_xlfn.XLOOKUP(_xlfn.XLOOKUP(B90,'Base stats'!B:B,'Base stats'!E:E),Groups!A:A,Groups!G:G)=1,ISNUMBER(SEARCH("TropicalRainforest",BW90)),ISNUMBER(SEARCH("TropicalSwamp",BW90))),40,IF(OR(ISNUMBER(SEARCH("TemperateForest",BW90)),ISNUMBER(SEARCH("TemperateSwamp",BW90))),35,IF(OR(ISNUMBER(SEARCH("Alpine",BW90)),ISNUMBER(SEARCH("BorealForest",BW90)),ISNUMBER(SEARCH("ColdBog",BW90))),30,IF(ISNUMBER(OR(ISNUMBER(SEARCH("GlacialPlain",BW90)),SEARCH("Tundra",BW90))),25,IF(OR(ISNUMBER(SEARCH("SeaIce",BW90)),ISNUMBER(SEARCH("IceSheet",BW90)),ISNUMBER(SEARCH("TropicalSwamp",BW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stats'!AO:AO))*(AO90^0.5)+(_xlfn.XLOOKUP(B90,'Base stats'!B:B,'Base stats'!AO:AO)/1000)^(2/3)+_xlfn.XLOOKUP(B90,'Base stats'!B:B,'Base stats'!AX:AX)/2)+0.5,0.5)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stats'!AP:AP))*(AO90^0.5)+(_xlfn.XLOOKUP(B90,'Base stats'!B:B,'Base stats'!AP:AP)/1000)^(2/3)+_xlfn.XLOOKUP(B90,'Base stats'!B:B,'Base stats'!AX:AX))+_xlfn.XLOOKUP(B90,'Base stats'!B:B,'Base stats'!AV:AV)+0.5,0.5))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stats'!AR:AR))*(AO90^0.5)+(_xlfn.XLOOKUP(B90,'Base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stats'!AQ:AQ)="No","No",MROUND((LOG10(_xlfn.XLOOKUP(B90,'Base stats'!B:B,'Base stats'!AQ:AQ))*(AO90^0.75)+(_xlfn.XLOOKUP(B90,'Base stats'!B:B,'Base stats'!AQ:AQ)/1000)^(2/3)+_xlfn.XLOOKUP(B90,'Base stats'!B:B,'Base stats'!AU:AU)+_xlfn.XLOOKUP(B90,'Base stats'!B:B,'Base stats'!AX:AX))+0.5,0.5))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stats'!AP:AP))*(AO90^0.75)+(_xlfn.XLOOKUP(B90,'Base stats'!B:B,'Base stats'!AP:AP)/1000)^(2/3)+_xlfn.XLOOKUP(B90,'Base stats'!B:B,'Base stats'!AV:AV)+_xlfn.XLOOKUP(B90,'Base stats'!B:B,'Base stats'!AX:AX))+0.5,0.5))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MAX(0.01,MROUND(IF(CB90="True",0.196*(AO90*100*1000)^0.889,IF(_xlfn.XLOOKUP(_xlfn.XLOOKUP(B90,'Base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stats'!AE:AE)</f>
        <v>Leather_Lizard</v>
      </c>
      <c r="BB90" s="23" t="str">
        <f>_xlfn.XLOOKUP(_xlfn.XLOOKUP(B90,'Base stats'!B:B,'Base stats'!E:E),Groups!A:A,Groups!AL:AL)</f>
        <v>QuadrupedAnimalWithClawsTailAndJowl</v>
      </c>
      <c r="BC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D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E90" s="2" t="str">
        <f>IF(J90&gt;0.3,"No",_xlfn.XLOOKUP(_xlfn.XLOOKUP(Animals!B90,'Base stats'!B:B,'Base stats'!E:E),Groups!A:A,Groups!AP:AP))</f>
        <v>No</v>
      </c>
      <c r="BF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+ 24*(1-IF(BE90="No",0,BE90)) + 16/3, 12),"No")</f>
        <v>No</v>
      </c>
      <c r="BG90" s="2">
        <f>IF(AND(_xlfn.XLOOKUP(_xlfn.XLOOKUP(B90,'Base stats'!B:B,'Base stats'!E:E),Groups!A:A,Groups!AQ:AQ)=1,AO90&lt;=0.35),8,12)</f>
        <v>12</v>
      </c>
      <c r="BH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I90" s="2" t="str">
        <f>IF(AND(_xlfn.XLOOKUP(_xlfn.XLOOKUP(B90,'Base stats'!B:B,'Base stats'!E:E),Groups!A:A,Groups!AS:AS)=1,OR('Base stats'!Y90="Carnivore",'Base stats'!Y90="Omnivore")),"true","false")</f>
        <v>true</v>
      </c>
      <c r="BJ90" s="2">
        <f>IF(BI90="true",MROUND(IF(AND(AO90&gt;0.5,OR(_xlfn.XLOOKUP(_xlfn.XLOOKUP(B90,'Base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K90" s="2">
        <f t="shared" si="10"/>
        <v>1</v>
      </c>
      <c r="BL90" s="25" t="str">
        <f>IF(_xlfn.XLOOKUP(B90,'Base stats'!B:B,'Base stats'!AK:AK)="Standard","No",MROUND((_xlfn.XLOOKUP(B90,'Base stats'!B:B,'Base stats'!AK:AK)/3.6)/I90,0.1))</f>
        <v>No</v>
      </c>
      <c r="BM90" s="25" t="str">
        <f t="shared" si="11"/>
        <v>false</v>
      </c>
      <c r="BN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O90" s="25" t="str" cm="1">
        <f t="array" ref="BO90">IF(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 = "",
  "No",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
)</f>
        <v>AttackTarget</v>
      </c>
      <c r="BP90" s="25" t="str">
        <f>IF(
   AND(
      'Base stats'!AK90="Standard",_xlfn.XLOOKUP(_xlfn.XLOOKUP(B90,'Base stats'!B:B,'Base stats'!E:E),Groups!A:A,Groups!AU:AU)=0,
      OR(
      BN90="True"
      )
   ),
   10,
   IF(
       OR(BL90&lt;&gt;"No",_xlfn.XLOOKUP(_xlfn.XLOOKUP(B90,'Base stats'!B:B,'Base stats'!E:E),Groups!A:A,Groups!AU:AU)=1),
      1,
      "No"
   )
)</f>
        <v>No</v>
      </c>
      <c r="BQ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stats'!AS:AS) * 1.8) * 2) * 2.5 + 10 + I90 * 2,5)+IF(_xlfn.XLOOKUP(B90,'Base stats'!B:B,'Base stats'!AH:AH)=1,50,0)</f>
        <v>110</v>
      </c>
      <c r="BR90" s="8">
        <f t="shared" si="12"/>
        <v>0.35000000000000003</v>
      </c>
      <c r="BS90" s="8" t="str">
        <f>_xlfn.XLOOKUP(B90,'Base stats'!B:B,'Base stats'!AD:AD)</f>
        <v>No</v>
      </c>
      <c r="BT90" s="2" t="str">
        <f>IF(AND(J90&lt;=0.95,OR(_xlfn.XLOOKUP(B90,'Base stats'!B:B,'Base stats'!AH:AH)=1,_xlfn.XLOOKUP(B90,'Base stats'!B:B,'Base stats'!Y:Y)="Carnivore",_xlfn.XLOOKUP(B90,'Base stats'!B:B,'Base stats'!Y:Y)="Omnivore",BD90&gt;0.1)),"true","false")</f>
        <v>true</v>
      </c>
      <c r="BU90" s="2" t="str">
        <f>IF(_xlfn.XLOOKUP(B90,'Base stats'!B:B,'Base stats'!AF:AF)=1,"true","false")</f>
        <v>false</v>
      </c>
      <c r="BV90" s="25" t="str">
        <f>IF(E90="BaseInsect","AnimalInsect",
IF(J90&gt;0.95,"AnimalExotic",
_xlfn.TEXTJOIN(", ",TRUE,
IF(OR(_xlfn.XLOOKUP(B90,'Base stats'!B:B,'Base stats'!AJ:AJ)=1,AND(_xlfn.XLOOKUP(B90,'Base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stats'!AH:AH)=1,AND(BH90&lt;&gt;"None",BQ90&gt;=60),ISNUMBER(SEARCH("Attack target",BO90))),"AnimalFighter","")
)))</f>
        <v>AnimalUncommon, AnimalFighter</v>
      </c>
      <c r="BW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),_xlfn.XLOOKUP(B90,B:B,BW:BW))</f>
        <v>AridShrubland Grasslands LavaField</v>
      </c>
      <c r="BX90" s="25" t="str">
        <f>IF(_xlfn.XLOOKUP(B90,'Base stats'!B:B,'Base stats'!AG:AG)=1,"true","false")</f>
        <v>false</v>
      </c>
      <c r="BY90" s="25">
        <f>IF(_xlfn.XLOOKUP(B90,'Base stats'!B:B,'Base stats'!N:N)=1,"No",MAX(0.01,MIN(MROUND(IF(OR(_xlfn.XLOOKUP(B90,'Base stats'!B:B,'Base stats'!AJ:AJ)=1,AND(BI90="True",CB90="False")),POWER(10,3.47*LOG10(_xlfn.XLOOKUP(B90,'Base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stats'!AH:AH)=1),0.5,1)/100,0.025),1)))</f>
        <v>0.2</v>
      </c>
      <c r="BZ90" s="25" t="str">
        <f>IF(P90="Standard","No",MAX(0.01,IF(_xlfn.XLOOKUP(B90,'Base stats'!B:B,'Base stats'!N:N)=0,MROUND(BY90*P90,0.05),MIN(1,MAX(0.025,MROUND(IF(OR(CB90="true",AND(BI90="false",BN90="false")),POWER(10,4.15*LOG10(_xlfn.XLOOKUP(B90,'Base stats'!B:B,'Base stats'!C:C)*1000)^-0.73),POWER(10,3.47*LOG10(_xlfn.XLOOKUP(B90,'Base stats'!B:B,'Base stats'!C:C)*1000)^-0.96))*IF(_xlfn.XLOOKUP(B90,'Base stats'!B:B,'Base stats'!AH:AH)=1,0.5,1)/100,0.025))))))</f>
        <v>No</v>
      </c>
      <c r="CA90" s="25" t="str">
        <f>IF(_xlfn.XLOOKUP(_xlfn.XLOOKUP(B90,'Base stats'!B:B,'Base stats'!E:E),Groups!A:A,Groups!AJ:AJ)="Mammal","True","False")</f>
        <v>False</v>
      </c>
      <c r="CB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C90" s="25" t="str">
        <f t="shared" si="13"/>
        <v>False</v>
      </c>
      <c r="CD90" s="25" t="str">
        <f>IF(_xlfn.XLOOKUP(_xlfn.XLOOKUP(B90,'Base stats'!B:B,'Base stats'!E:E),Groups!A:A,Groups!AX:AX),"True","False")</f>
        <v>False</v>
      </c>
      <c r="CE90" s="25" t="str">
        <f>IF(_xlfn.XLOOKUP(_xlfn.XLOOKUP(B90,'Base stats'!B:B,'Base stats'!E:E),Groups!A:A,Groups!AY:AY),"True","False")</f>
        <v>False</v>
      </c>
      <c r="CF90" s="25" t="str">
        <f>IF(_xlfn.XLOOKUP(_xlfn.XLOOKUP(B90,'Base stats'!B:B,'Base stats'!E:E),Groups!A:A,Groups!AW:AW),"True","False")</f>
        <v>False</v>
      </c>
      <c r="CG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H90" s="25" t="str">
        <f>IF(_xlfn.XLOOKUP(_xlfn.XLOOKUP(B90,'Base stats'!B:B,'Base stats'!E:E),Groups!A:A,Groups!BB:BB),"True","False")</f>
        <v>False</v>
      </c>
      <c r="CI90" s="25" t="str">
        <f>IF(_xlfn.XLOOKUP(_xlfn.XLOOKUP(B90,'Base stats'!B:B,'Base stats'!E:E),Groups!A:A,Groups!BA:BA),"True","False")</f>
        <v>False</v>
      </c>
    </row>
    <row r="91" spans="1:87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stats'!AI:AI)=0,BH91="None",_xlfn.XLOOKUP(_xlfn.XLOOKUP(B91,'Base stats'!B:B,'Base stats'!E:E),Groups!A:A,Groups!B:B)=0), (18 + BQ91 * 2.7) * 0.5,
    IF(AND(_xlfn.XLOOKUP(B91,'Base stats'!B:B,'Base stats'!AI:AI)=0,OR(AO91&lt;0.55,AND(BH91="Intermediate",_xlfn.XLOOKUP(_xlfn.XLOOKUP(B91,'Base stats'!B:B,'Base stats'!E:E),Groups!A:A,Groups!B:B)&lt;2))), (18 + BQ91 * 2.7),
      IF(OR(BH91="Advanced",_xlfn.XLOOKUP(B91,'Base stats'!B:B,'Base stats'!AI:AI)=1,_xlfn.XLOOKUP(_xlfn.XLOOKUP(B91,'Base stats'!B:B,'Base stats'!E:E),Groups!A:A,Groups!B:B)=2), (18 + BQ91 * 2.7) + 250, (18 + BQ91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IF(_xlfn.XLOOKUP(B91,'Base stats'!B:B,'Base stats'!AI:AI)=1,0.99,MIN(MROUND((1-0.6282*EXP(-0.459*AO91))*_xlfn.XLOOKUP(_xlfn.XLOOKUP(B91,'Base stats'!B:B,'Base stats'!E:E),Groups!A:A,Groups!C:C)*IF(_xlfn.XLOOKUP(B91,'Base stats'!B:B,'Base stats'!O:O)=1,0.5,IF(_xlfn.XLOOKUP(B91,'Base stats'!B:B,'Base stats'!O:O)=2,0,1)),0.05),0.985))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W91)),ISNUMBER(SEARCH("IceSheet",BW91))),-50,IF(OR(ISNUMBER(SEARCH("GlacialPlain",BW91)),ISNUMBER(SEARCH("Tundra",BW91))),-40,IF(OR(ISNUMBER(SEARCH("Alpine",BW91)),ISNUMBER(SEARCH("BorealForest",BW91)),ISNUMBER(SEARCH("ColdBog",BW91))),-30,IF(OR(ISNUMBER(SEARCH("TemperateForest",BW91)),ISNUMBER(SEARCH("TemperateSwamp",BW91))),-20,IF(_xlfn.XLOOKUP(_xlfn.XLOOKUP(B91,'Base stats'!B:B,'Base stats'!E:E),Groups!A:A,Groups!F:F)=1,-15,IF(OR(ISNUMBER(SEARCH("Desert",BW91)),ISNUMBER(SEARCH("ExtremeDesert",BW91))),-10,IF(OR(ISNUMBER(SEARCH("Grasslands",BW91)),ISNUMBER(SEARCH("TropicalRainforest",BW91)),ISNUMBER(SEARCH("TropicalSwamp",BW91))),10,0)))))))-IF(CB91="False",MIN(IFERROR(MAX(MROUND(LOG10(_xlfn.XLOOKUP(B91,'Base stats'!B:B,'Base stats'!C:C)^(2/3))*10,5),5),5),30))-_xlfn.XLOOKUP(B91,'Base stats'!B:B,'Base stats'!P:P)+IF(CB91="True",5,0)</f>
        <v>-5</v>
      </c>
      <c r="M91" s="2">
        <f>IF(OR(_xlfn.XLOOKUP(_xlfn.XLOOKUP(B91,'Base stats'!B:B,'Base stats'!E:E),Groups!A:A,Groups!G:G)=2,ISNUMBER(SEARCH("Desert",BW91)),ISNUMBER(SEARCH("ExtremeDesert",BW91)),ISNUMBER(SEARCH("LavaField",BW91))),50,IF(ISNUMBER(SEARCH("Grasslands",BW91)),45,IF(OR(_xlfn.XLOOKUP(_xlfn.XLOOKUP(B91,'Base stats'!B:B,'Base stats'!E:E),Groups!A:A,Groups!G:G)=1,ISNUMBER(SEARCH("TropicalRainforest",BW91)),ISNUMBER(SEARCH("TropicalSwamp",BW91))),40,IF(OR(ISNUMBER(SEARCH("TemperateForest",BW91)),ISNUMBER(SEARCH("TemperateSwamp",BW91))),35,IF(OR(ISNUMBER(SEARCH("Alpine",BW91)),ISNUMBER(SEARCH("BorealForest",BW91)),ISNUMBER(SEARCH("ColdBog",BW91))),30,IF(ISNUMBER(OR(ISNUMBER(SEARCH("GlacialPlain",BW91)),SEARCH("Tundra",BW91))),25,IF(OR(ISNUMBER(SEARCH("SeaIce",BW91)),ISNUMBER(SEARCH("IceSheet",BW91)),ISNUMBER(SEARCH("TropicalSwamp",BW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stats'!AO:AO))*(AO91^0.5)+(_xlfn.XLOOKUP(B91,'Base stats'!B:B,'Base stats'!AO:AO)/1000)^(2/3)+_xlfn.XLOOKUP(B91,'Base stats'!B:B,'Base stats'!AX:AX)/2)+0.5,0.5)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stats'!AP:AP))*(AO91^0.5)+(_xlfn.XLOOKUP(B91,'Base stats'!B:B,'Base stats'!AP:AP)/1000)^(2/3)+_xlfn.XLOOKUP(B91,'Base stats'!B:B,'Base stats'!AX:AX))+_xlfn.XLOOKUP(B91,'Base stats'!B:B,'Base stats'!AV:AV)+0.5,0.5))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stats'!AR:AR))*(AO91^0.5)+(_xlfn.XLOOKUP(B91,'Base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stats'!AQ:AQ)="No","No",MROUND((LOG10(_xlfn.XLOOKUP(B91,'Base stats'!B:B,'Base stats'!AQ:AQ))*(AO91^0.75)+(_xlfn.XLOOKUP(B91,'Base stats'!B:B,'Base stats'!AQ:AQ)/1000)^(2/3)+_xlfn.XLOOKUP(B91,'Base stats'!B:B,'Base stats'!AU:AU)+_xlfn.XLOOKUP(B91,'Base stats'!B:B,'Base stats'!AX:AX))+0.5,0.5))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stats'!AP:AP))*(AO91^0.75)+(_xlfn.XLOOKUP(B91,'Base stats'!B:B,'Base stats'!AP:AP)/1000)^(2/3)+_xlfn.XLOOKUP(B91,'Base stats'!B:B,'Base stats'!AV:AV)+_xlfn.XLOOKUP(B91,'Base stats'!B:B,'Base stats'!AX:AX))+0.5,0.5))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MAX(0.01,MROUND(IF(CB91="True",0.196*(AO91*100*1000)^0.889,IF(_xlfn.XLOOKUP(_xlfn.XLOOKUP(B91,'Base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stats'!AE:AE)</f>
        <v>Leather_Lizard</v>
      </c>
      <c r="BB91" s="23" t="str">
        <f>_xlfn.XLOOKUP(_xlfn.XLOOKUP(B91,'Base stats'!B:B,'Base stats'!E:E),Groups!A:A,Groups!AL:AL)</f>
        <v>QuadrupedAnimalWithClawsTailAndJowl</v>
      </c>
      <c r="BC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D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E91" s="2" t="str">
        <f>IF(J91&gt;0.3,"No",_xlfn.XLOOKUP(_xlfn.XLOOKUP(Animals!B91,'Base stats'!B:B,'Base stats'!E:E),Groups!A:A,Groups!AP:AP))</f>
        <v>No</v>
      </c>
      <c r="BF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+ 24*(1-IF(BE91="No",0,BE91)) + 16/3, 12),"No")</f>
        <v>No</v>
      </c>
      <c r="BG91" s="2">
        <f>IF(AND(_xlfn.XLOOKUP(_xlfn.XLOOKUP(B91,'Base stats'!B:B,'Base stats'!E:E),Groups!A:A,Groups!AQ:AQ)=1,AO91&lt;=0.35),8,12)</f>
        <v>12</v>
      </c>
      <c r="BH91" s="2" t="str">
        <f>IF(_xlfn.XLOOKUP(_xlfn.XLOOKUP(B91,'Base stats'!B:B,'Base stats'!E:E),Groups!A:A,Groups!D:D)=0,_xlfn.XLOOKUP(_xlfn.XLOOKUP(B91,'Base stats'!B:B,'Base stats'!E:E),Groups!A:A,Groups!AR:AR),"None")</f>
        <v>None</v>
      </c>
      <c r="BI91" s="2" t="str">
        <f>IF(AND(_xlfn.XLOOKUP(_xlfn.XLOOKUP(B91,'Base stats'!B:B,'Base stats'!E:E),Groups!A:A,Groups!AS:AS)=1,OR('Base stats'!Y91="Carnivore",'Base stats'!Y91="Omnivore")),"true","false")</f>
        <v>true</v>
      </c>
      <c r="BJ91" s="2">
        <f>IF(BI91="true",MROUND(IF(AND(AO91&gt;0.5,OR(_xlfn.XLOOKUP(_xlfn.XLOOKUP(B91,'Base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K91" s="2">
        <f t="shared" si="10"/>
        <v>0</v>
      </c>
      <c r="BL91" s="25">
        <f>IF(_xlfn.XLOOKUP(B91,'Base stats'!B:B,'Base stats'!AK:AK)="Standard","No",MROUND((_xlfn.XLOOKUP(B91,'Base stats'!B:B,'Base stats'!AK:AK)/3.6)/I91,0.1))</f>
        <v>2.8000000000000003</v>
      </c>
      <c r="BM91" s="25" t="str">
        <f t="shared" si="11"/>
        <v>true</v>
      </c>
      <c r="BN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O91" s="25" t="str" cm="1">
        <f t="array" ref="BO91">IF(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 = "",
  "No",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
)</f>
        <v>No</v>
      </c>
      <c r="BP91" s="25">
        <f>IF(
   AND(
      'Base stats'!AK91="Standard",_xlfn.XLOOKUP(_xlfn.XLOOKUP(B91,'Base stats'!B:B,'Base stats'!E:E),Groups!A:A,Groups!AU:AU)=0,
      OR(
      BN91="True"
      )
   ),
   10,
   IF(
       OR(BL91&lt;&gt;"No",_xlfn.XLOOKUP(_xlfn.XLOOKUP(B91,'Base stats'!B:B,'Base stats'!E:E),Groups!A:A,Groups!AU:AU)=1),
      1,
      "No"
   )
)</f>
        <v>1</v>
      </c>
      <c r="BQ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stats'!AS:AS) * 1.8) * 2) * 2.5 + 10 + I91 * 2,5)+IF(_xlfn.XLOOKUP(B91,'Base stats'!B:B,'Base stats'!AH:AH)=1,50,0)</f>
        <v>150</v>
      </c>
      <c r="BR91" s="8">
        <f t="shared" si="12"/>
        <v>0.5</v>
      </c>
      <c r="BS91" s="8" t="str">
        <f>_xlfn.XLOOKUP(B91,'Base stats'!B:B,'Base stats'!AD:AD)</f>
        <v>No</v>
      </c>
      <c r="BT91" s="2" t="str">
        <f>IF(AND(J91&lt;=0.95,OR(_xlfn.XLOOKUP(B91,'Base stats'!B:B,'Base stats'!AH:AH)=1,_xlfn.XLOOKUP(B91,'Base stats'!B:B,'Base stats'!Y:Y)="Carnivore",_xlfn.XLOOKUP(B91,'Base stats'!B:B,'Base stats'!Y:Y)="Omnivore",BD91&gt;0.1)),"true","false")</f>
        <v>true</v>
      </c>
      <c r="BU91" s="2" t="str">
        <f>IF(_xlfn.XLOOKUP(B91,'Base stats'!B:B,'Base stats'!AF:AF)=1,"true","false")</f>
        <v>false</v>
      </c>
      <c r="BV91" s="25" t="str">
        <f>IF(E91="BaseInsect","AnimalInsect",
IF(J91&gt;0.95,"AnimalExotic",
_xlfn.TEXTJOIN(", ",TRUE,
IF(OR(_xlfn.XLOOKUP(B91,'Base stats'!B:B,'Base stats'!AJ:AJ)=1,AND(_xlfn.XLOOKUP(B91,'Base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stats'!AH:AH)=1,AND(BH91&lt;&gt;"None",BQ91&gt;=60),ISNUMBER(SEARCH("Attack target",BO91))),"AnimalFighter","")
)))</f>
        <v>AnimalUncommon</v>
      </c>
      <c r="BW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),_xlfn.XLOOKUP(B91,B:B,BW:BW))</f>
        <v>TemperateSwamp TropicalSwamp Glowforest</v>
      </c>
      <c r="BX91" s="25" t="str">
        <f>IF(_xlfn.XLOOKUP(B91,'Base stats'!B:B,'Base stats'!AG:AG)=1,"true","false")</f>
        <v>false</v>
      </c>
      <c r="BY91" s="25">
        <f>IF(_xlfn.XLOOKUP(B91,'Base stats'!B:B,'Base stats'!N:N)=1,"No",MAX(0.01,MIN(MROUND(IF(OR(_xlfn.XLOOKUP(B91,'Base stats'!B:B,'Base stats'!AJ:AJ)=1,AND(BI91="True",CB91="False")),POWER(10,3.47*LOG10(_xlfn.XLOOKUP(B91,'Base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stats'!AH:AH)=1),0.5,1)/100,0.025),1)))</f>
        <v>0.17500000000000002</v>
      </c>
      <c r="BZ91" s="25" t="str">
        <f>IF(P91="Standard","No",MAX(0.01,IF(_xlfn.XLOOKUP(B91,'Base stats'!B:B,'Base stats'!N:N)=0,MROUND(BY91*P91,0.05),MIN(1,MAX(0.025,MROUND(IF(OR(CB91="true",AND(BI91="false",BN91="false")),POWER(10,4.15*LOG10(_xlfn.XLOOKUP(B91,'Base stats'!B:B,'Base stats'!C:C)*1000)^-0.73),POWER(10,3.47*LOG10(_xlfn.XLOOKUP(B91,'Base stats'!B:B,'Base stats'!C:C)*1000)^-0.96))*IF(_xlfn.XLOOKUP(B91,'Base stats'!B:B,'Base stats'!AH:AH)=1,0.5,1)/100,0.025))))))</f>
        <v>No</v>
      </c>
      <c r="CA91" s="25" t="str">
        <f>IF(_xlfn.XLOOKUP(_xlfn.XLOOKUP(B91,'Base stats'!B:B,'Base stats'!E:E),Groups!A:A,Groups!AJ:AJ)="Mammal","True","False")</f>
        <v>False</v>
      </c>
      <c r="CB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C91" s="25" t="str">
        <f t="shared" si="13"/>
        <v>False</v>
      </c>
      <c r="CD91" s="25" t="str">
        <f>IF(_xlfn.XLOOKUP(_xlfn.XLOOKUP(B91,'Base stats'!B:B,'Base stats'!E:E),Groups!A:A,Groups!AX:AX),"True","False")</f>
        <v>False</v>
      </c>
      <c r="CE91" s="25" t="str">
        <f>IF(_xlfn.XLOOKUP(_xlfn.XLOOKUP(B91,'Base stats'!B:B,'Base stats'!E:E),Groups!A:A,Groups!AY:AY),"True","False")</f>
        <v>False</v>
      </c>
      <c r="CF91" s="25" t="str">
        <f>IF(_xlfn.XLOOKUP(_xlfn.XLOOKUP(B91,'Base stats'!B:B,'Base stats'!E:E),Groups!A:A,Groups!AW:AW),"True","False")</f>
        <v>False</v>
      </c>
      <c r="CG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H91" s="25" t="str">
        <f>IF(_xlfn.XLOOKUP(_xlfn.XLOOKUP(B91,'Base stats'!B:B,'Base stats'!E:E),Groups!A:A,Groups!BB:BB),"True","False")</f>
        <v>False</v>
      </c>
      <c r="CI91" s="25" t="str">
        <f>IF(_xlfn.XLOOKUP(_xlfn.XLOOKUP(B91,'Base stats'!B:B,'Base stats'!E:E),Groups!A:A,Groups!BA:BA),"True","False")</f>
        <v>False</v>
      </c>
    </row>
    <row r="92" spans="1:87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stats'!AI:AI)=0,BH92="None",_xlfn.XLOOKUP(_xlfn.XLOOKUP(B92,'Base stats'!B:B,'Base stats'!E:E),Groups!A:A,Groups!B:B)=0), (18 + BQ92 * 2.7) * 0.5,
    IF(AND(_xlfn.XLOOKUP(B92,'Base stats'!B:B,'Base stats'!AI:AI)=0,OR(AO92&lt;0.55,AND(BH92="Intermediate",_xlfn.XLOOKUP(_xlfn.XLOOKUP(B92,'Base stats'!B:B,'Base stats'!E:E),Groups!A:A,Groups!B:B)&lt;2))), (18 + BQ92 * 2.7),
      IF(OR(BH92="Advanced",_xlfn.XLOOKUP(B92,'Base stats'!B:B,'Base stats'!AI:AI)=1,_xlfn.XLOOKUP(_xlfn.XLOOKUP(B92,'Base stats'!B:B,'Base stats'!E:E),Groups!A:A,Groups!B:B)=2), (18 + BQ92 * 2.7) + 250, (18 + BQ92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IF(_xlfn.XLOOKUP(B92,'Base stats'!B:B,'Base stats'!AI:AI)=1,0.99,MIN(MROUND((1-0.6282*EXP(-0.459*AO92))*_xlfn.XLOOKUP(_xlfn.XLOOKUP(B92,'Base stats'!B:B,'Base stats'!E:E),Groups!A:A,Groups!C:C)*IF(_xlfn.XLOOKUP(B92,'Base stats'!B:B,'Base stats'!O:O)=1,0.5,IF(_xlfn.XLOOKUP(B92,'Base stats'!B:B,'Base stats'!O:O)=2,0,1)),0.05),0.985))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W92)),ISNUMBER(SEARCH("IceSheet",BW92))),-50,IF(OR(ISNUMBER(SEARCH("GlacialPlain",BW92)),ISNUMBER(SEARCH("Tundra",BW92))),-40,IF(OR(ISNUMBER(SEARCH("Alpine",BW92)),ISNUMBER(SEARCH("BorealForest",BW92)),ISNUMBER(SEARCH("ColdBog",BW92))),-30,IF(OR(ISNUMBER(SEARCH("TemperateForest",BW92)),ISNUMBER(SEARCH("TemperateSwamp",BW92))),-20,IF(_xlfn.XLOOKUP(_xlfn.XLOOKUP(B92,'Base stats'!B:B,'Base stats'!E:E),Groups!A:A,Groups!F:F)=1,-15,IF(OR(ISNUMBER(SEARCH("Desert",BW92)),ISNUMBER(SEARCH("ExtremeDesert",BW92))),-10,IF(OR(ISNUMBER(SEARCH("Grasslands",BW92)),ISNUMBER(SEARCH("TropicalRainforest",BW92)),ISNUMBER(SEARCH("TropicalSwamp",BW92))),10,0)))))))-IF(CB92="False",MIN(IFERROR(MAX(MROUND(LOG10(_xlfn.XLOOKUP(B92,'Base stats'!B:B,'Base stats'!C:C)^(2/3))*10,5),5),5),30))-_xlfn.XLOOKUP(B92,'Base stats'!B:B,'Base stats'!P:P)+IF(CB92="True",5,0)</f>
        <v>-5</v>
      </c>
      <c r="M92" s="2">
        <f>IF(OR(_xlfn.XLOOKUP(_xlfn.XLOOKUP(B92,'Base stats'!B:B,'Base stats'!E:E),Groups!A:A,Groups!G:G)=2,ISNUMBER(SEARCH("Desert",BW92)),ISNUMBER(SEARCH("ExtremeDesert",BW92)),ISNUMBER(SEARCH("LavaField",BW92))),50,IF(ISNUMBER(SEARCH("Grasslands",BW92)),45,IF(OR(_xlfn.XLOOKUP(_xlfn.XLOOKUP(B92,'Base stats'!B:B,'Base stats'!E:E),Groups!A:A,Groups!G:G)=1,ISNUMBER(SEARCH("TropicalRainforest",BW92)),ISNUMBER(SEARCH("TropicalSwamp",BW92))),40,IF(OR(ISNUMBER(SEARCH("TemperateForest",BW92)),ISNUMBER(SEARCH("TemperateSwamp",BW92))),35,IF(OR(ISNUMBER(SEARCH("Alpine",BW92)),ISNUMBER(SEARCH("BorealForest",BW92)),ISNUMBER(SEARCH("ColdBog",BW92))),30,IF(ISNUMBER(OR(ISNUMBER(SEARCH("GlacialPlain",BW92)),SEARCH("Tundra",BW92))),25,IF(OR(ISNUMBER(SEARCH("SeaIce",BW92)),ISNUMBER(SEARCH("IceSheet",BW92)),ISNUMBER(SEARCH("TropicalSwamp",BW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stats'!AO:AO))*(AO92^0.5)+(_xlfn.XLOOKUP(B92,'Base stats'!B:B,'Base stats'!AO:AO)/1000)^(2/3)+_xlfn.XLOOKUP(B92,'Base stats'!B:B,'Base stats'!AX:AX)/2)+0.5,0.5)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stats'!AP:AP))*(AO92^0.5)+(_xlfn.XLOOKUP(B92,'Base stats'!B:B,'Base stats'!AP:AP)/1000)^(2/3)+_xlfn.XLOOKUP(B92,'Base stats'!B:B,'Base stats'!AX:AX))+_xlfn.XLOOKUP(B92,'Base stats'!B:B,'Base stats'!AV:AV)+0.5,0.5))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stats'!AR:AR))*(AO92^0.5)+(_xlfn.XLOOKUP(B92,'Base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stats'!AQ:AQ)="No","No",MROUND((LOG10(_xlfn.XLOOKUP(B92,'Base stats'!B:B,'Base stats'!AQ:AQ))*(AO92^0.75)+(_xlfn.XLOOKUP(B92,'Base stats'!B:B,'Base stats'!AQ:AQ)/1000)^(2/3)+_xlfn.XLOOKUP(B92,'Base stats'!B:B,'Base stats'!AU:AU)+_xlfn.XLOOKUP(B92,'Base stats'!B:B,'Base stats'!AX:AX))+0.5,0.5))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stats'!AP:AP))*(AO92^0.75)+(_xlfn.XLOOKUP(B92,'Base stats'!B:B,'Base stats'!AP:AP)/1000)^(2/3)+_xlfn.XLOOKUP(B92,'Base stats'!B:B,'Base stats'!AV:AV)+_xlfn.XLOOKUP(B92,'Base stats'!B:B,'Base stats'!AX:AX))+0.5,0.5))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MAX(0.01,MROUND(IF(CB92="True",0.196*(AO92*100*1000)^0.889,IF(_xlfn.XLOOKUP(_xlfn.XLOOKUP(B92,'Base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stats'!AE:AE)</f>
        <v>Leather_Lizard</v>
      </c>
      <c r="BB92" s="23" t="str">
        <f>_xlfn.XLOOKUP(_xlfn.XLOOKUP(B92,'Base stats'!B:B,'Base stats'!E:E),Groups!A:A,Groups!AL:AL)</f>
        <v>TurtleLike</v>
      </c>
      <c r="BC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D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E92" s="2" t="str">
        <f>IF(J92&gt;0.3,"No",_xlfn.XLOOKUP(_xlfn.XLOOKUP(Animals!B92,'Base stats'!B:B,'Base stats'!E:E),Groups!A:A,Groups!AP:AP))</f>
        <v>No</v>
      </c>
      <c r="BF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+ 24*(1-IF(BE92="No",0,BE92)) + 16/3, 12),"No")</f>
        <v>No</v>
      </c>
      <c r="BG92" s="2">
        <f>IF(AND(_xlfn.XLOOKUP(_xlfn.XLOOKUP(B92,'Base stats'!B:B,'Base stats'!E:E),Groups!A:A,Groups!AQ:AQ)=1,AO92&lt;=0.35),8,12)</f>
        <v>12</v>
      </c>
      <c r="BH92" s="2" t="str">
        <f>IF(_xlfn.XLOOKUP(_xlfn.XLOOKUP(B92,'Base stats'!B:B,'Base stats'!E:E),Groups!A:A,Groups!D:D)=0,_xlfn.XLOOKUP(_xlfn.XLOOKUP(B92,'Base stats'!B:B,'Base stats'!E:E),Groups!A:A,Groups!AR:AR),"None")</f>
        <v>None</v>
      </c>
      <c r="BI92" s="2" t="str">
        <f>IF(AND(_xlfn.XLOOKUP(_xlfn.XLOOKUP(B92,'Base stats'!B:B,'Base stats'!E:E),Groups!A:A,Groups!AS:AS)=1,OR('Base stats'!Y92="Carnivore",'Base stats'!Y92="Omnivore")),"true","false")</f>
        <v>false</v>
      </c>
      <c r="BJ92" s="2" t="str">
        <f>IF(BI92="true",MROUND(IF(AND(AO92&gt;0.5,OR(_xlfn.XLOOKUP(_xlfn.XLOOKUP(B92,'Base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K92" s="2">
        <f t="shared" si="10"/>
        <v>0</v>
      </c>
      <c r="BL92" s="25">
        <f>IF(_xlfn.XLOOKUP(B92,'Base stats'!B:B,'Base stats'!AK:AK)="Standard","No",MROUND((_xlfn.XLOOKUP(B92,'Base stats'!B:B,'Base stats'!AK:AK)/3.6)/I92,0.1))</f>
        <v>5.6000000000000005</v>
      </c>
      <c r="BM92" s="25" t="str">
        <f t="shared" si="11"/>
        <v>true</v>
      </c>
      <c r="BN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O92" s="25" t="str" cm="1">
        <f t="array" ref="BO92">IF(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 = "",
  "No",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
)</f>
        <v>No</v>
      </c>
      <c r="BP92" s="25">
        <f>IF(
   AND(
      'Base stats'!AK92="Standard",_xlfn.XLOOKUP(_xlfn.XLOOKUP(B92,'Base stats'!B:B,'Base stats'!E:E),Groups!A:A,Groups!AU:AU)=0,
      OR(
      BN92="True"
      )
   ),
   10,
   IF(
       OR(BL92&lt;&gt;"No",_xlfn.XLOOKUP(_xlfn.XLOOKUP(B92,'Base stats'!B:B,'Base stats'!E:E),Groups!A:A,Groups!AU:AU)=1),
      1,
      "No"
   )
)</f>
        <v>1</v>
      </c>
      <c r="BQ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stats'!AS:AS) * 1.8) * 2) * 2.5 + 10 + I92 * 2,5)+IF(_xlfn.XLOOKUP(B92,'Base stats'!B:B,'Base stats'!AH:AH)=1,50,0)</f>
        <v>190</v>
      </c>
      <c r="BR92" s="8">
        <f t="shared" si="12"/>
        <v>0.5</v>
      </c>
      <c r="BS92" s="8" t="str">
        <f>_xlfn.XLOOKUP(B92,'Base stats'!B:B,'Base stats'!AD:AD)</f>
        <v>No</v>
      </c>
      <c r="BT92" s="2" t="str">
        <f>IF(AND(J92&lt;=0.95,OR(_xlfn.XLOOKUP(B92,'Base stats'!B:B,'Base stats'!AH:AH)=1,_xlfn.XLOOKUP(B92,'Base stats'!B:B,'Base stats'!Y:Y)="Carnivore",_xlfn.XLOOKUP(B92,'Base stats'!B:B,'Base stats'!Y:Y)="Omnivore",BD92&gt;0.1)),"true","false")</f>
        <v>false</v>
      </c>
      <c r="BU92" s="2" t="str">
        <f>IF(_xlfn.XLOOKUP(B92,'Base stats'!B:B,'Base stats'!AF:AF)=1,"true","false")</f>
        <v>false</v>
      </c>
      <c r="BV92" s="25" t="str">
        <f>IF(E92="BaseInsect","AnimalInsect",
IF(J92&gt;0.95,"AnimalExotic",
_xlfn.TEXTJOIN(", ",TRUE,
IF(OR(_xlfn.XLOOKUP(B92,'Base stats'!B:B,'Base stats'!AJ:AJ)=1,AND(_xlfn.XLOOKUP(B92,'Base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stats'!AH:AH)=1,AND(BH92&lt;&gt;"None",BQ92&gt;=60),ISNUMBER(SEARCH("Attack target",BO92))),"AnimalFighter","")
)))</f>
        <v>AnimalUncommon</v>
      </c>
      <c r="BW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),_xlfn.XLOOKUP(B92,B:B,BW:BW))</f>
        <v>AridShrubland Desert TropicalRainforest TropicalSwamp Grasslands Glowforest LavaField</v>
      </c>
      <c r="BX92" s="25" t="str">
        <f>IF(_xlfn.XLOOKUP(B92,'Base stats'!B:B,'Base stats'!AG:AG)=1,"true","false")</f>
        <v>true</v>
      </c>
      <c r="BY92" s="25">
        <f>IF(_xlfn.XLOOKUP(B92,'Base stats'!B:B,'Base stats'!N:N)=1,"No",MAX(0.01,MIN(MROUND(IF(OR(_xlfn.XLOOKUP(B92,'Base stats'!B:B,'Base stats'!AJ:AJ)=1,AND(BI92="True",CB92="False")),POWER(10,3.47*LOG10(_xlfn.XLOOKUP(B92,'Base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stats'!AH:AH)=1),0.5,1)/100,0.025),1)))</f>
        <v>0.17500000000000002</v>
      </c>
      <c r="BZ92" s="25" t="str">
        <f>IF(P92="Standard","No",MAX(0.01,IF(_xlfn.XLOOKUP(B92,'Base stats'!B:B,'Base stats'!N:N)=0,MROUND(BY92*P92,0.05),MIN(1,MAX(0.025,MROUND(IF(OR(CB92="true",AND(BI92="false",BN92="false")),POWER(10,4.15*LOG10(_xlfn.XLOOKUP(B92,'Base stats'!B:B,'Base stats'!C:C)*1000)^-0.73),POWER(10,3.47*LOG10(_xlfn.XLOOKUP(B92,'Base stats'!B:B,'Base stats'!C:C)*1000)^-0.96))*IF(_xlfn.XLOOKUP(B92,'Base stats'!B:B,'Base stats'!AH:AH)=1,0.5,1)/100,0.025))))))</f>
        <v>No</v>
      </c>
      <c r="CA92" s="25" t="str">
        <f>IF(_xlfn.XLOOKUP(_xlfn.XLOOKUP(B92,'Base stats'!B:B,'Base stats'!E:E),Groups!A:A,Groups!AJ:AJ)="Mammal","True","False")</f>
        <v>False</v>
      </c>
      <c r="CB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C92" s="25" t="str">
        <f t="shared" si="13"/>
        <v>False</v>
      </c>
      <c r="CD92" s="25" t="str">
        <f>IF(_xlfn.XLOOKUP(_xlfn.XLOOKUP(B92,'Base stats'!B:B,'Base stats'!E:E),Groups!A:A,Groups!AX:AX),"True","False")</f>
        <v>False</v>
      </c>
      <c r="CE92" s="25" t="str">
        <f>IF(_xlfn.XLOOKUP(_xlfn.XLOOKUP(B92,'Base stats'!B:B,'Base stats'!E:E),Groups!A:A,Groups!AY:AY),"True","False")</f>
        <v>False</v>
      </c>
      <c r="CF92" s="25" t="str">
        <f>IF(_xlfn.XLOOKUP(_xlfn.XLOOKUP(B92,'Base stats'!B:B,'Base stats'!E:E),Groups!A:A,Groups!AW:AW),"True","False")</f>
        <v>False</v>
      </c>
      <c r="CG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H92" s="25" t="str">
        <f>IF(_xlfn.XLOOKUP(_xlfn.XLOOKUP(B92,'Base stats'!B:B,'Base stats'!E:E),Groups!A:A,Groups!BB:BB),"True","False")</f>
        <v>False</v>
      </c>
      <c r="CI92" s="25" t="str">
        <f>IF(_xlfn.XLOOKUP(_xlfn.XLOOKUP(B92,'Base stats'!B:B,'Base stats'!E:E),Groups!A:A,Groups!BA:BA),"True","False")</f>
        <v>False</v>
      </c>
    </row>
    <row r="93" spans="1:87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stats'!AI:AI)=0,BH93="None",_xlfn.XLOOKUP(_xlfn.XLOOKUP(B93,'Base stats'!B:B,'Base stats'!E:E),Groups!A:A,Groups!B:B)=0), (18 + BQ93 * 2.7) * 0.5,
    IF(AND(_xlfn.XLOOKUP(B93,'Base stats'!B:B,'Base stats'!AI:AI)=0,OR(AO93&lt;0.55,AND(BH93="Intermediate",_xlfn.XLOOKUP(_xlfn.XLOOKUP(B93,'Base stats'!B:B,'Base stats'!E:E),Groups!A:A,Groups!B:B)&lt;2))), (18 + BQ93 * 2.7),
      IF(OR(BH93="Advanced",_xlfn.XLOOKUP(B93,'Base stats'!B:B,'Base stats'!AI:AI)=1,_xlfn.XLOOKUP(_xlfn.XLOOKUP(B93,'Base stats'!B:B,'Base stats'!E:E),Groups!A:A,Groups!B:B)=2), (18 + BQ93 * 2.7) + 250, (18 + BQ93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IF(_xlfn.XLOOKUP(B93,'Base stats'!B:B,'Base stats'!AI:AI)=1,0.99,MIN(MROUND((1-0.6282*EXP(-0.459*AO93))*_xlfn.XLOOKUP(_xlfn.XLOOKUP(B93,'Base stats'!B:B,'Base stats'!E:E),Groups!A:A,Groups!C:C)*IF(_xlfn.XLOOKUP(B93,'Base stats'!B:B,'Base stats'!O:O)=1,0.5,IF(_xlfn.XLOOKUP(B93,'Base stats'!B:B,'Base stats'!O:O)=2,0,1)),0.05),0.985))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W93)),ISNUMBER(SEARCH("IceSheet",BW93))),-50,IF(OR(ISNUMBER(SEARCH("GlacialPlain",BW93)),ISNUMBER(SEARCH("Tundra",BW93))),-40,IF(OR(ISNUMBER(SEARCH("Alpine",BW93)),ISNUMBER(SEARCH("BorealForest",BW93)),ISNUMBER(SEARCH("ColdBog",BW93))),-30,IF(OR(ISNUMBER(SEARCH("TemperateForest",BW93)),ISNUMBER(SEARCH("TemperateSwamp",BW93))),-20,IF(_xlfn.XLOOKUP(_xlfn.XLOOKUP(B93,'Base stats'!B:B,'Base stats'!E:E),Groups!A:A,Groups!F:F)=1,-15,IF(OR(ISNUMBER(SEARCH("Desert",BW93)),ISNUMBER(SEARCH("ExtremeDesert",BW93))),-10,IF(OR(ISNUMBER(SEARCH("Grasslands",BW93)),ISNUMBER(SEARCH("TropicalRainforest",BW93)),ISNUMBER(SEARCH("TropicalSwamp",BW93))),10,0)))))))-IF(CB93="False",MIN(IFERROR(MAX(MROUND(LOG10(_xlfn.XLOOKUP(B93,'Base stats'!B:B,'Base stats'!C:C)^(2/3))*10,5),5),5),30))-_xlfn.XLOOKUP(B93,'Base stats'!B:B,'Base stats'!P:P)+IF(CB93="True",5,0)</f>
        <v>5</v>
      </c>
      <c r="M93" s="2">
        <f>IF(OR(_xlfn.XLOOKUP(_xlfn.XLOOKUP(B93,'Base stats'!B:B,'Base stats'!E:E),Groups!A:A,Groups!G:G)=2,ISNUMBER(SEARCH("Desert",BW93)),ISNUMBER(SEARCH("ExtremeDesert",BW93)),ISNUMBER(SEARCH("LavaField",BW93))),50,IF(ISNUMBER(SEARCH("Grasslands",BW93)),45,IF(OR(_xlfn.XLOOKUP(_xlfn.XLOOKUP(B93,'Base stats'!B:B,'Base stats'!E:E),Groups!A:A,Groups!G:G)=1,ISNUMBER(SEARCH("TropicalRainforest",BW93)),ISNUMBER(SEARCH("TropicalSwamp",BW93))),40,IF(OR(ISNUMBER(SEARCH("TemperateForest",BW93)),ISNUMBER(SEARCH("TemperateSwamp",BW93))),35,IF(OR(ISNUMBER(SEARCH("Alpine",BW93)),ISNUMBER(SEARCH("BorealForest",BW93)),ISNUMBER(SEARCH("ColdBog",BW93))),30,IF(ISNUMBER(OR(ISNUMBER(SEARCH("GlacialPlain",BW93)),SEARCH("Tundra",BW93))),25,IF(OR(ISNUMBER(SEARCH("SeaIce",BW93)),ISNUMBER(SEARCH("IceSheet",BW93)),ISNUMBER(SEARCH("TropicalSwamp",BW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stats'!AO:AO))*(AO93^0.5)+(_xlfn.XLOOKUP(B93,'Base stats'!B:B,'Base stats'!AO:AO)/1000)^(2/3)+_xlfn.XLOOKUP(B93,'Base stats'!B:B,'Base stats'!AX:AX)/2)+0.5,0.5)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stats'!AP:AP))*(AO93^0.5)+(_xlfn.XLOOKUP(B93,'Base stats'!B:B,'Base stats'!AP:AP)/1000)^(2/3)+_xlfn.XLOOKUP(B93,'Base stats'!B:B,'Base stats'!AX:AX))+_xlfn.XLOOKUP(B93,'Base stats'!B:B,'Base stats'!AV:AV)+0.5,0.5))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stats'!AR:AR))*(AO93^0.5)+(_xlfn.XLOOKUP(B93,'Base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stats'!AQ:AQ)="No","No",MROUND((LOG10(_xlfn.XLOOKUP(B93,'Base stats'!B:B,'Base stats'!AQ:AQ))*(AO93^0.75)+(_xlfn.XLOOKUP(B93,'Base stats'!B:B,'Base stats'!AQ:AQ)/1000)^(2/3)+_xlfn.XLOOKUP(B93,'Base stats'!B:B,'Base stats'!AU:AU)+_xlfn.XLOOKUP(B93,'Base stats'!B:B,'Base stats'!AX:AX))+0.5,0.5))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stats'!AP:AP))*(AO93^0.75)+(_xlfn.XLOOKUP(B93,'Base stats'!B:B,'Base stats'!AP:AP)/1000)^(2/3)+_xlfn.XLOOKUP(B93,'Base stats'!B:B,'Base stats'!AV:AV)+_xlfn.XLOOKUP(B93,'Base stats'!B:B,'Base stats'!AX:AX))+0.5,0.5))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MAX(0.01,MROUND(IF(CB93="True",0.196*(AO93*100*1000)^0.889,IF(_xlfn.XLOOKUP(_xlfn.XLOOKUP(B93,'Base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stats'!AE:AE)</f>
        <v>Leather_Light</v>
      </c>
      <c r="BB93" s="23" t="str">
        <f>_xlfn.XLOOKUP(_xlfn.XLOOKUP(B93,'Base stats'!B:B,'Base stats'!E:E),Groups!A:A,Groups!AL:AL)</f>
        <v>QuadrupedAnimalWithPawsAndTail</v>
      </c>
      <c r="BC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D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E93" s="2" t="str">
        <f>IF(J93&gt;0.3,"No",_xlfn.XLOOKUP(_xlfn.XLOOKUP(Animals!B93,'Base stats'!B:B,'Base stats'!E:E),Groups!A:A,Groups!AP:AP))</f>
        <v>No</v>
      </c>
      <c r="BF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+ 24*(1-IF(BE93="No",0,BE93)) + 16/3, 12),"No")</f>
        <v>36</v>
      </c>
      <c r="BG93" s="2">
        <f>IF(AND(_xlfn.XLOOKUP(_xlfn.XLOOKUP(B93,'Base stats'!B:B,'Base stats'!E:E),Groups!A:A,Groups!AQ:AQ)=1,AO93&lt;=0.35),8,12)</f>
        <v>8</v>
      </c>
      <c r="BH93" s="2" t="str">
        <f>IF(_xlfn.XLOOKUP(_xlfn.XLOOKUP(B93,'Base stats'!B:B,'Base stats'!E:E),Groups!A:A,Groups!D:D)=0,_xlfn.XLOOKUP(_xlfn.XLOOKUP(B93,'Base stats'!B:B,'Base stats'!E:E),Groups!A:A,Groups!AR:AR),"None")</f>
        <v>None</v>
      </c>
      <c r="BI93" s="2" t="str">
        <f>IF(AND(_xlfn.XLOOKUP(_xlfn.XLOOKUP(B93,'Base stats'!B:B,'Base stats'!E:E),Groups!A:A,Groups!AS:AS)=1,OR('Base stats'!Y93="Carnivore",'Base stats'!Y93="Omnivore")),"true","false")</f>
        <v>false</v>
      </c>
      <c r="BJ93" s="2" t="str">
        <f>IF(BI93="true",MROUND(IF(AND(AO93&gt;0.5,OR(_xlfn.XLOOKUP(_xlfn.XLOOKUP(B93,'Base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K93" s="2">
        <f t="shared" si="10"/>
        <v>0</v>
      </c>
      <c r="BL93" s="25" t="str">
        <f>IF(_xlfn.XLOOKUP(B93,'Base stats'!B:B,'Base stats'!AK:AK)="Standard","No",MROUND((_xlfn.XLOOKUP(B93,'Base stats'!B:B,'Base stats'!AK:AK)/3.6)/I93,0.1))</f>
        <v>No</v>
      </c>
      <c r="BM93" s="25" t="str">
        <f t="shared" si="11"/>
        <v>false</v>
      </c>
      <c r="BN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O93" s="25" t="str" cm="1">
        <f t="array" ref="BO93">IF(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 = "",
  "No",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
)</f>
        <v>Comfort</v>
      </c>
      <c r="BP93" s="25" t="str">
        <f>IF(
   AND(
      'Base stats'!AK93="Standard",_xlfn.XLOOKUP(_xlfn.XLOOKUP(B93,'Base stats'!B:B,'Base stats'!E:E),Groups!A:A,Groups!AU:AU)=0,
      OR(
      BN93="True"
      )
   ),
   10,
   IF(
       OR(BL93&lt;&gt;"No",_xlfn.XLOOKUP(_xlfn.XLOOKUP(B93,'Base stats'!B:B,'Base stats'!E:E),Groups!A:A,Groups!AU:AU)=1),
      1,
      "No"
   )
)</f>
        <v>No</v>
      </c>
      <c r="BQ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stats'!AS:AS) * 1.8) * 2) * 2.5 + 10 + I93 * 2,5)+IF(_xlfn.XLOOKUP(B93,'Base stats'!B:B,'Base stats'!AH:AH)=1,50,0)</f>
        <v>25</v>
      </c>
      <c r="BR93" s="8">
        <f t="shared" si="12"/>
        <v>0.25</v>
      </c>
      <c r="BS93" s="8" t="str">
        <f>_xlfn.XLOOKUP(B93,'Base stats'!B:B,'Base stats'!AD:AD)</f>
        <v>5~15</v>
      </c>
      <c r="BT93" s="2" t="str">
        <f>IF(AND(J93&lt;=0.95,OR(_xlfn.XLOOKUP(B93,'Base stats'!B:B,'Base stats'!AH:AH)=1,_xlfn.XLOOKUP(B93,'Base stats'!B:B,'Base stats'!Y:Y)="Carnivore",_xlfn.XLOOKUP(B93,'Base stats'!B:B,'Base stats'!Y:Y)="Omnivore",BD93&gt;0.1)),"true","false")</f>
        <v>false</v>
      </c>
      <c r="BU93" s="2" t="str">
        <f>IF(_xlfn.XLOOKUP(B93,'Base stats'!B:B,'Base stats'!AF:AF)=1,"true","false")</f>
        <v>false</v>
      </c>
      <c r="BV93" s="25" t="str">
        <f>IF(E93="BaseInsect","AnimalInsect",
IF(J93&gt;0.95,"AnimalExotic",
_xlfn.TEXTJOIN(", ",TRUE,
IF(OR(_xlfn.XLOOKUP(B93,'Base stats'!B:B,'Base stats'!AJ:AJ)=1,AND(_xlfn.XLOOKUP(B93,'Base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stats'!AH:AH)=1,AND(BH93&lt;&gt;"None",BQ93&gt;=60),ISNUMBER(SEARCH("Attack target",BO93))),"AnimalFighter","")
)))</f>
        <v>AnimalCommon</v>
      </c>
      <c r="BW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),_xlfn.XLOOKUP(B93,B:B,BW:BW))</f>
        <v>Grasslands</v>
      </c>
      <c r="BX93" s="25" t="str">
        <f>IF(_xlfn.XLOOKUP(B93,'Base stats'!B:B,'Base stats'!AG:AG)=1,"true","false")</f>
        <v>false</v>
      </c>
      <c r="BY93" s="25">
        <f>IF(_xlfn.XLOOKUP(B93,'Base stats'!B:B,'Base stats'!N:N)=1,"No",MAX(0.01,MIN(MROUND(IF(OR(_xlfn.XLOOKUP(B93,'Base stats'!B:B,'Base stats'!AJ:AJ)=1,AND(BI93="True",CB93="False")),POWER(10,3.47*LOG10(_xlfn.XLOOKUP(B93,'Base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stats'!AH:AH)=1),0.5,1)/100,0.025),1)))</f>
        <v>0.70000000000000007</v>
      </c>
      <c r="BZ93" s="25" t="str">
        <f>IF(P93="Standard","No",MAX(0.01,IF(_xlfn.XLOOKUP(B93,'Base stats'!B:B,'Base stats'!N:N)=0,MROUND(BY93*P93,0.05),MIN(1,MAX(0.025,MROUND(IF(OR(CB93="true",AND(BI93="false",BN93="false")),POWER(10,4.15*LOG10(_xlfn.XLOOKUP(B93,'Base stats'!B:B,'Base stats'!C:C)*1000)^-0.73),POWER(10,3.47*LOG10(_xlfn.XLOOKUP(B93,'Base stats'!B:B,'Base stats'!C:C)*1000)^-0.96))*IF(_xlfn.XLOOKUP(B93,'Base stats'!B:B,'Base stats'!AH:AH)=1,0.5,1)/100,0.025))))))</f>
        <v>No</v>
      </c>
      <c r="CA93" s="25" t="str">
        <f>IF(_xlfn.XLOOKUP(_xlfn.XLOOKUP(B93,'Base stats'!B:B,'Base stats'!E:E),Groups!A:A,Groups!AJ:AJ)="Mammal","True","False")</f>
        <v>True</v>
      </c>
      <c r="CB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C93" s="25" t="str">
        <f t="shared" si="13"/>
        <v>False</v>
      </c>
      <c r="CD93" s="25" t="str">
        <f>IF(_xlfn.XLOOKUP(_xlfn.XLOOKUP(B93,'Base stats'!B:B,'Base stats'!E:E),Groups!A:A,Groups!AX:AX),"True","False")</f>
        <v>False</v>
      </c>
      <c r="CE93" s="25" t="str">
        <f>IF(_xlfn.XLOOKUP(_xlfn.XLOOKUP(B93,'Base stats'!B:B,'Base stats'!E:E),Groups!A:A,Groups!AY:AY),"True","False")</f>
        <v>False</v>
      </c>
      <c r="CF93" s="25" t="str">
        <f>IF(_xlfn.XLOOKUP(_xlfn.XLOOKUP(B93,'Base stats'!B:B,'Base stats'!E:E),Groups!A:A,Groups!AW:AW),"True","False")</f>
        <v>False</v>
      </c>
      <c r="CG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H93" s="25" t="str">
        <f>IF(_xlfn.XLOOKUP(_xlfn.XLOOKUP(B93,'Base stats'!B:B,'Base stats'!E:E),Groups!A:A,Groups!BB:BB),"True","False")</f>
        <v>True</v>
      </c>
      <c r="CI93" s="25" t="str">
        <f>IF(_xlfn.XLOOKUP(_xlfn.XLOOKUP(B93,'Base stats'!B:B,'Base stats'!E:E),Groups!A:A,Groups!BA:BA),"True","False")</f>
        <v>False</v>
      </c>
    </row>
    <row r="94" spans="1:87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stats'!AI:AI)=0,BH94="None",_xlfn.XLOOKUP(_xlfn.XLOOKUP(B94,'Base stats'!B:B,'Base stats'!E:E),Groups!A:A,Groups!B:B)=0), (18 + BQ94 * 2.7) * 0.5,
    IF(AND(_xlfn.XLOOKUP(B94,'Base stats'!B:B,'Base stats'!AI:AI)=0,OR(AO94&lt;0.55,AND(BH94="Intermediate",_xlfn.XLOOKUP(_xlfn.XLOOKUP(B94,'Base stats'!B:B,'Base stats'!E:E),Groups!A:A,Groups!B:B)&lt;2))), (18 + BQ94 * 2.7),
      IF(OR(BH94="Advanced",_xlfn.XLOOKUP(B94,'Base stats'!B:B,'Base stats'!AI:AI)=1,_xlfn.XLOOKUP(_xlfn.XLOOKUP(B94,'Base stats'!B:B,'Base stats'!E:E),Groups!A:A,Groups!B:B)=2), (18 + BQ94 * 2.7) + 250, (18 + BQ94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IF(_xlfn.XLOOKUP(B94,'Base stats'!B:B,'Base stats'!AI:AI)=1,0.99,MIN(MROUND((1-0.6282*EXP(-0.459*AO94))*_xlfn.XLOOKUP(_xlfn.XLOOKUP(B94,'Base stats'!B:B,'Base stats'!E:E),Groups!A:A,Groups!C:C)*IF(_xlfn.XLOOKUP(B94,'Base stats'!B:B,'Base stats'!O:O)=1,0.5,IF(_xlfn.XLOOKUP(B94,'Base stats'!B:B,'Base stats'!O:O)=2,0,1)),0.05),0.985))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W94)),ISNUMBER(SEARCH("IceSheet",BW94))),-50,IF(OR(ISNUMBER(SEARCH("GlacialPlain",BW94)),ISNUMBER(SEARCH("Tundra",BW94))),-40,IF(OR(ISNUMBER(SEARCH("Alpine",BW94)),ISNUMBER(SEARCH("BorealForest",BW94)),ISNUMBER(SEARCH("ColdBog",BW94))),-30,IF(OR(ISNUMBER(SEARCH("TemperateForest",BW94)),ISNUMBER(SEARCH("TemperateSwamp",BW94))),-20,IF(_xlfn.XLOOKUP(_xlfn.XLOOKUP(B94,'Base stats'!B:B,'Base stats'!E:E),Groups!A:A,Groups!F:F)=1,-15,IF(OR(ISNUMBER(SEARCH("Desert",BW94)),ISNUMBER(SEARCH("ExtremeDesert",BW94))),-10,IF(OR(ISNUMBER(SEARCH("Grasslands",BW94)),ISNUMBER(SEARCH("TropicalRainforest",BW94)),ISNUMBER(SEARCH("TropicalSwamp",BW94))),10,0)))))))-IF(CB94="False",MIN(IFERROR(MAX(MROUND(LOG10(_xlfn.XLOOKUP(B94,'Base stats'!B:B,'Base stats'!C:C)^(2/3))*10,5),5),5),30))-_xlfn.XLOOKUP(B94,'Base stats'!B:B,'Base stats'!P:P)+IF(CB94="True",5,0)</f>
        <v>-50</v>
      </c>
      <c r="M94" s="2">
        <f>IF(OR(_xlfn.XLOOKUP(_xlfn.XLOOKUP(B94,'Base stats'!B:B,'Base stats'!E:E),Groups!A:A,Groups!G:G)=2,ISNUMBER(SEARCH("Desert",BW94)),ISNUMBER(SEARCH("ExtremeDesert",BW94)),ISNUMBER(SEARCH("LavaField",BW94))),50,IF(ISNUMBER(SEARCH("Grasslands",BW94)),45,IF(OR(_xlfn.XLOOKUP(_xlfn.XLOOKUP(B94,'Base stats'!B:B,'Base stats'!E:E),Groups!A:A,Groups!G:G)=1,ISNUMBER(SEARCH("TropicalRainforest",BW94)),ISNUMBER(SEARCH("TropicalSwamp",BW94))),40,IF(OR(ISNUMBER(SEARCH("TemperateForest",BW94)),ISNUMBER(SEARCH("TemperateSwamp",BW94))),35,IF(OR(ISNUMBER(SEARCH("Alpine",BW94)),ISNUMBER(SEARCH("BorealForest",BW94)),ISNUMBER(SEARCH("ColdBog",BW94))),30,IF(ISNUMBER(OR(ISNUMBER(SEARCH("GlacialPlain",BW94)),SEARCH("Tundra",BW94))),25,IF(OR(ISNUMBER(SEARCH("SeaIce",BW94)),ISNUMBER(SEARCH("IceSheet",BW94)),ISNUMBER(SEARCH("TropicalSwamp",BW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stats'!AO:AO))*(AO94^0.5)+(_xlfn.XLOOKUP(B94,'Base stats'!B:B,'Base stats'!AO:AO)/1000)^(2/3)+_xlfn.XLOOKUP(B94,'Base stats'!B:B,'Base stats'!AX:AX)/2)+0.5,0.5)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stats'!AP:AP))*(AO94^0.5)+(_xlfn.XLOOKUP(B94,'Base stats'!B:B,'Base stats'!AP:AP)/1000)^(2/3)+_xlfn.XLOOKUP(B94,'Base stats'!B:B,'Base stats'!AX:AX))+_xlfn.XLOOKUP(B94,'Base stats'!B:B,'Base stats'!AV:AV)+0.5,0.5))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stats'!AR:AR))*(AO94^0.5)+(_xlfn.XLOOKUP(B94,'Base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stats'!AQ:AQ)="No","No",MROUND((LOG10(_xlfn.XLOOKUP(B94,'Base stats'!B:B,'Base stats'!AQ:AQ))*(AO94^0.75)+(_xlfn.XLOOKUP(B94,'Base stats'!B:B,'Base stats'!AQ:AQ)/1000)^(2/3)+_xlfn.XLOOKUP(B94,'Base stats'!B:B,'Base stats'!AU:AU)+_xlfn.XLOOKUP(B94,'Base stats'!B:B,'Base stats'!AX:AX))+0.5,0.5))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stats'!AP:AP))*(AO94^0.75)+(_xlfn.XLOOKUP(B94,'Base stats'!B:B,'Base stats'!AP:AP)/1000)^(2/3)+_xlfn.XLOOKUP(B94,'Base stats'!B:B,'Base stats'!AV:AV)+_xlfn.XLOOKUP(B94,'Base stats'!B:B,'Base stats'!AX:AX))+0.5,0.5))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MAX(0.01,MROUND(IF(CB94="True",0.196*(AO94*100*1000)^0.889,IF(_xlfn.XLOOKUP(_xlfn.XLOOKUP(B94,'Base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stats'!AE:AE)</f>
        <v>Leather_Light</v>
      </c>
      <c r="BB94" s="23" t="str">
        <f>_xlfn.XLOOKUP(_xlfn.XLOOKUP(B94,'Base stats'!B:B,'Base stats'!E:E),Groups!A:A,Groups!AL:AL)</f>
        <v>QuadrupedAnimalWithPawsAndTail</v>
      </c>
      <c r="BC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D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E94" s="2" t="str">
        <f>IF(J94&gt;0.3,"No",_xlfn.XLOOKUP(_xlfn.XLOOKUP(Animals!B94,'Base stats'!B:B,'Base stats'!E:E),Groups!A:A,Groups!AP:AP))</f>
        <v>No</v>
      </c>
      <c r="BF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+ 24*(1-IF(BE94="No",0,BE94)) + 16/3, 12),"No")</f>
        <v>48</v>
      </c>
      <c r="BG94" s="2">
        <f>IF(AND(_xlfn.XLOOKUP(_xlfn.XLOOKUP(B94,'Base stats'!B:B,'Base stats'!E:E),Groups!A:A,Groups!AQ:AQ)=1,AO94&lt;=0.35),8,12)</f>
        <v>12</v>
      </c>
      <c r="BH94" s="2" t="str">
        <f>IF(_xlfn.XLOOKUP(_xlfn.XLOOKUP(B94,'Base stats'!B:B,'Base stats'!E:E),Groups!A:A,Groups!D:D)=0,_xlfn.XLOOKUP(_xlfn.XLOOKUP(B94,'Base stats'!B:B,'Base stats'!E:E),Groups!A:A,Groups!AR:AR),"None")</f>
        <v>None</v>
      </c>
      <c r="BI94" s="2" t="str">
        <f>IF(AND(_xlfn.XLOOKUP(_xlfn.XLOOKUP(B94,'Base stats'!B:B,'Base stats'!E:E),Groups!A:A,Groups!AS:AS)=1,OR('Base stats'!Y94="Carnivore",'Base stats'!Y94="Omnivore")),"true","false")</f>
        <v>false</v>
      </c>
      <c r="BJ94" s="2" t="str">
        <f>IF(BI94="true",MROUND(IF(AND(AO94&gt;0.5,OR(_xlfn.XLOOKUP(_xlfn.XLOOKUP(B94,'Base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K94" s="2">
        <f t="shared" si="10"/>
        <v>0</v>
      </c>
      <c r="BL94" s="25" t="str">
        <f>IF(_xlfn.XLOOKUP(B94,'Base stats'!B:B,'Base stats'!AK:AK)="Standard","No",MROUND((_xlfn.XLOOKUP(B94,'Base stats'!B:B,'Base stats'!AK:AK)/3.6)/I94,0.1))</f>
        <v>No</v>
      </c>
      <c r="BM94" s="25" t="str">
        <f t="shared" si="11"/>
        <v>false</v>
      </c>
      <c r="BN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O94" s="25" t="str" cm="1">
        <f t="array" ref="BO94">IF(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 = "",
  "No",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
)</f>
        <v>No</v>
      </c>
      <c r="BP94" s="25" t="str">
        <f>IF(
   AND(
      'Base stats'!AK94="Standard",_xlfn.XLOOKUP(_xlfn.XLOOKUP(B94,'Base stats'!B:B,'Base stats'!E:E),Groups!A:A,Groups!AU:AU)=0,
      OR(
      BN94="True"
      )
   ),
   10,
   IF(
       OR(BL94&lt;&gt;"No",_xlfn.XLOOKUP(_xlfn.XLOOKUP(B94,'Base stats'!B:B,'Base stats'!E:E),Groups!A:A,Groups!AU:AU)=1),
      1,
      "No"
   )
)</f>
        <v>No</v>
      </c>
      <c r="BQ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stats'!AS:AS) * 1.8) * 2) * 2.5 + 10 + I94 * 2,5)+IF(_xlfn.XLOOKUP(B94,'Base stats'!B:B,'Base stats'!AH:AH)=1,50,0)</f>
        <v>50</v>
      </c>
      <c r="BR94" s="8">
        <f t="shared" si="12"/>
        <v>0.4</v>
      </c>
      <c r="BS94" s="8" t="str">
        <f>_xlfn.XLOOKUP(B94,'Base stats'!B:B,'Base stats'!AD:AD)</f>
        <v>No</v>
      </c>
      <c r="BT94" s="2" t="str">
        <f>IF(AND(J94&lt;=0.95,OR(_xlfn.XLOOKUP(B94,'Base stats'!B:B,'Base stats'!AH:AH)=1,_xlfn.XLOOKUP(B94,'Base stats'!B:B,'Base stats'!Y:Y)="Carnivore",_xlfn.XLOOKUP(B94,'Base stats'!B:B,'Base stats'!Y:Y)="Omnivore",BD94&gt;0.1)),"true","false")</f>
        <v>true</v>
      </c>
      <c r="BU94" s="2" t="str">
        <f>IF(_xlfn.XLOOKUP(B94,'Base stats'!B:B,'Base stats'!AF:AF)=1,"true","false")</f>
        <v>false</v>
      </c>
      <c r="BV94" s="25" t="str">
        <f>IF(E94="BaseInsect","AnimalInsect",
IF(J94&gt;0.95,"AnimalExotic",
_xlfn.TEXTJOIN(", ",TRUE,
IF(OR(_xlfn.XLOOKUP(B94,'Base stats'!B:B,'Base stats'!AJ:AJ)=1,AND(_xlfn.XLOOKUP(B94,'Base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stats'!AH:AH)=1,AND(BH94&lt;&gt;"None",BQ94&gt;=60),ISNUMBER(SEARCH("Attack target",BO94))),"AnimalFighter","")
)))</f>
        <v>AnimalCommon</v>
      </c>
      <c r="BW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),_xlfn.XLOOKUP(B94,B:B,BW:BW))</f>
        <v>BorealForest ColdBog TemperateForest TemperateSwamp GlacialPlain</v>
      </c>
      <c r="BX94" s="25" t="str">
        <f>IF(_xlfn.XLOOKUP(B94,'Base stats'!B:B,'Base stats'!AG:AG)=1,"true","false")</f>
        <v>false</v>
      </c>
      <c r="BY94" s="25">
        <f>IF(_xlfn.XLOOKUP(B94,'Base stats'!B:B,'Base stats'!N:N)=1,"No",MAX(0.01,MIN(MROUND(IF(OR(_xlfn.XLOOKUP(B94,'Base stats'!B:B,'Base stats'!AJ:AJ)=1,AND(BI94="True",CB94="False")),POWER(10,3.47*LOG10(_xlfn.XLOOKUP(B94,'Base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stats'!AH:AH)=1),0.5,1)/100,0.025),1)))</f>
        <v>0.30000000000000004</v>
      </c>
      <c r="BZ94" s="25" t="str">
        <f>IF(P94="Standard","No",MAX(0.01,IF(_xlfn.XLOOKUP(B94,'Base stats'!B:B,'Base stats'!N:N)=0,MROUND(BY94*P94,0.05),MIN(1,MAX(0.025,MROUND(IF(OR(CB94="true",AND(BI94="false",BN94="false")),POWER(10,4.15*LOG10(_xlfn.XLOOKUP(B94,'Base stats'!B:B,'Base stats'!C:C)*1000)^-0.73),POWER(10,3.47*LOG10(_xlfn.XLOOKUP(B94,'Base stats'!B:B,'Base stats'!C:C)*1000)^-0.96))*IF(_xlfn.XLOOKUP(B94,'Base stats'!B:B,'Base stats'!AH:AH)=1,0.5,1)/100,0.025))))))</f>
        <v>No</v>
      </c>
      <c r="CA94" s="25" t="str">
        <f>IF(_xlfn.XLOOKUP(_xlfn.XLOOKUP(B94,'Base stats'!B:B,'Base stats'!E:E),Groups!A:A,Groups!AJ:AJ)="Mammal","True","False")</f>
        <v>True</v>
      </c>
      <c r="CB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C94" s="25" t="str">
        <f t="shared" si="13"/>
        <v>False</v>
      </c>
      <c r="CD94" s="25" t="str">
        <f>IF(_xlfn.XLOOKUP(_xlfn.XLOOKUP(B94,'Base stats'!B:B,'Base stats'!E:E),Groups!A:A,Groups!AX:AX),"True","False")</f>
        <v>False</v>
      </c>
      <c r="CE94" s="25" t="str">
        <f>IF(_xlfn.XLOOKUP(_xlfn.XLOOKUP(B94,'Base stats'!B:B,'Base stats'!E:E),Groups!A:A,Groups!AY:AY),"True","False")</f>
        <v>False</v>
      </c>
      <c r="CF94" s="25" t="str">
        <f>IF(_xlfn.XLOOKUP(_xlfn.XLOOKUP(B94,'Base stats'!B:B,'Base stats'!E:E),Groups!A:A,Groups!AW:AW),"True","False")</f>
        <v>False</v>
      </c>
      <c r="CG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H94" s="25" t="str">
        <f>IF(_xlfn.XLOOKUP(_xlfn.XLOOKUP(B94,'Base stats'!B:B,'Base stats'!E:E),Groups!A:A,Groups!BB:BB),"True","False")</f>
        <v>True</v>
      </c>
      <c r="CI94" s="25" t="str">
        <f>IF(_xlfn.XLOOKUP(_xlfn.XLOOKUP(B94,'Base stats'!B:B,'Base stats'!E:E),Groups!A:A,Groups!BA:BA),"True","False")</f>
        <v>False</v>
      </c>
    </row>
    <row r="95" spans="1:87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stats'!AI:AI)=0,BH95="None",_xlfn.XLOOKUP(_xlfn.XLOOKUP(B95,'Base stats'!B:B,'Base stats'!E:E),Groups!A:A,Groups!B:B)=0), (18 + BQ95 * 2.7) * 0.5,
    IF(AND(_xlfn.XLOOKUP(B95,'Base stats'!B:B,'Base stats'!AI:AI)=0,OR(AO95&lt;0.55,AND(BH95="Intermediate",_xlfn.XLOOKUP(_xlfn.XLOOKUP(B95,'Base stats'!B:B,'Base stats'!E:E),Groups!A:A,Groups!B:B)&lt;2))), (18 + BQ95 * 2.7),
      IF(OR(BH95="Advanced",_xlfn.XLOOKUP(B95,'Base stats'!B:B,'Base stats'!AI:AI)=1,_xlfn.XLOOKUP(_xlfn.XLOOKUP(B95,'Base stats'!B:B,'Base stats'!E:E),Groups!A:A,Groups!B:B)=2), (18 + BQ95 * 2.7) + 250, (18 + BQ95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IF(_xlfn.XLOOKUP(B95,'Base stats'!B:B,'Base stats'!AI:AI)=1,0.99,MIN(MROUND((1-0.6282*EXP(-0.459*AO95))*_xlfn.XLOOKUP(_xlfn.XLOOKUP(B95,'Base stats'!B:B,'Base stats'!E:E),Groups!A:A,Groups!C:C)*IF(_xlfn.XLOOKUP(B95,'Base stats'!B:B,'Base stats'!O:O)=1,0.5,IF(_xlfn.XLOOKUP(B95,'Base stats'!B:B,'Base stats'!O:O)=2,0,1)),0.05),0.985))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W95)),ISNUMBER(SEARCH("IceSheet",BW95))),-50,IF(OR(ISNUMBER(SEARCH("GlacialPlain",BW95)),ISNUMBER(SEARCH("Tundra",BW95))),-40,IF(OR(ISNUMBER(SEARCH("Alpine",BW95)),ISNUMBER(SEARCH("BorealForest",BW95)),ISNUMBER(SEARCH("ColdBog",BW95))),-30,IF(OR(ISNUMBER(SEARCH("TemperateForest",BW95)),ISNUMBER(SEARCH("TemperateSwamp",BW95))),-20,IF(_xlfn.XLOOKUP(_xlfn.XLOOKUP(B95,'Base stats'!B:B,'Base stats'!E:E),Groups!A:A,Groups!F:F)=1,-15,IF(OR(ISNUMBER(SEARCH("Desert",BW95)),ISNUMBER(SEARCH("ExtremeDesert",BW95))),-10,IF(OR(ISNUMBER(SEARCH("Grasslands",BW95)),ISNUMBER(SEARCH("TropicalRainforest",BW95)),ISNUMBER(SEARCH("TropicalSwamp",BW95))),10,0)))))))-IF(CB95="False",MIN(IFERROR(MAX(MROUND(LOG10(_xlfn.XLOOKUP(B95,'Base stats'!B:B,'Base stats'!C:C)^(2/3))*10,5),5),5),30))-_xlfn.XLOOKUP(B95,'Base stats'!B:B,'Base stats'!P:P)+IF(CB95="True",5,0)</f>
        <v>-10</v>
      </c>
      <c r="M95" s="2">
        <f>IF(OR(_xlfn.XLOOKUP(_xlfn.XLOOKUP(B95,'Base stats'!B:B,'Base stats'!E:E),Groups!A:A,Groups!G:G)=2,ISNUMBER(SEARCH("Desert",BW95)),ISNUMBER(SEARCH("ExtremeDesert",BW95)),ISNUMBER(SEARCH("LavaField",BW95))),50,IF(ISNUMBER(SEARCH("Grasslands",BW95)),45,IF(OR(_xlfn.XLOOKUP(_xlfn.XLOOKUP(B95,'Base stats'!B:B,'Base stats'!E:E),Groups!A:A,Groups!G:G)=1,ISNUMBER(SEARCH("TropicalRainforest",BW95)),ISNUMBER(SEARCH("TropicalSwamp",BW95))),40,IF(OR(ISNUMBER(SEARCH("TemperateForest",BW95)),ISNUMBER(SEARCH("TemperateSwamp",BW95))),35,IF(OR(ISNUMBER(SEARCH("Alpine",BW95)),ISNUMBER(SEARCH("BorealForest",BW95)),ISNUMBER(SEARCH("ColdBog",BW95))),30,IF(ISNUMBER(OR(ISNUMBER(SEARCH("GlacialPlain",BW95)),SEARCH("Tundra",BW95))),25,IF(OR(ISNUMBER(SEARCH("SeaIce",BW95)),ISNUMBER(SEARCH("IceSheet",BW95)),ISNUMBER(SEARCH("TropicalSwamp",BW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stats'!AO:AO))*(AO95^0.5)+(_xlfn.XLOOKUP(B95,'Base stats'!B:B,'Base stats'!AO:AO)/1000)^(2/3)+_xlfn.XLOOKUP(B95,'Base stats'!B:B,'Base stats'!AX:AX)/2)+0.5,0.5)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stats'!AP:AP))*(AO95^0.5)+(_xlfn.XLOOKUP(B95,'Base stats'!B:B,'Base stats'!AP:AP)/1000)^(2/3)+_xlfn.XLOOKUP(B95,'Base stats'!B:B,'Base stats'!AX:AX))+_xlfn.XLOOKUP(B95,'Base stats'!B:B,'Base stats'!AV:AV)+0.5,0.5))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stats'!AR:AR))*(AO95^0.5)+(_xlfn.XLOOKUP(B95,'Base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stats'!AQ:AQ)="No","No",MROUND((LOG10(_xlfn.XLOOKUP(B95,'Base stats'!B:B,'Base stats'!AQ:AQ))*(AO95^0.75)+(_xlfn.XLOOKUP(B95,'Base stats'!B:B,'Base stats'!AQ:AQ)/1000)^(2/3)+_xlfn.XLOOKUP(B95,'Base stats'!B:B,'Base stats'!AU:AU)+_xlfn.XLOOKUP(B95,'Base stats'!B:B,'Base stats'!AX:AX))+0.5,0.5))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stats'!AP:AP))*(AO95^0.75)+(_xlfn.XLOOKUP(B95,'Base stats'!B:B,'Base stats'!AP:AP)/1000)^(2/3)+_xlfn.XLOOKUP(B95,'Base stats'!B:B,'Base stats'!AV:AV)+_xlfn.XLOOKUP(B95,'Base stats'!B:B,'Base stats'!AX:AX))+0.5,0.5))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MAX(0.01,MROUND(IF(CB95="True",0.196*(AO95*100*1000)^0.889,IF(_xlfn.XLOOKUP(_xlfn.XLOOKUP(B95,'Base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stats'!AE:AE)</f>
        <v>Leather_Light</v>
      </c>
      <c r="BB95" s="23" t="str">
        <f>_xlfn.XLOOKUP(_xlfn.XLOOKUP(B95,'Base stats'!B:B,'Base stats'!E:E),Groups!A:A,Groups!AL:AL)</f>
        <v>QuadrupedAnimalWithPawsAndTail</v>
      </c>
      <c r="BC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D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E95" s="2" t="str">
        <f>IF(J95&gt;0.3,"No",_xlfn.XLOOKUP(_xlfn.XLOOKUP(Animals!B95,'Base stats'!B:B,'Base stats'!E:E),Groups!A:A,Groups!AP:AP))</f>
        <v>No</v>
      </c>
      <c r="BF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+ 24*(1-IF(BE95="No",0,BE95)) + 16/3, 12),"No")</f>
        <v>No</v>
      </c>
      <c r="BG95" s="2">
        <f>IF(AND(_xlfn.XLOOKUP(_xlfn.XLOOKUP(B95,'Base stats'!B:B,'Base stats'!E:E),Groups!A:A,Groups!AQ:AQ)=1,AO95&lt;=0.35),8,12)</f>
        <v>12</v>
      </c>
      <c r="BH95" s="2" t="str">
        <f>IF(_xlfn.XLOOKUP(_xlfn.XLOOKUP(B95,'Base stats'!B:B,'Base stats'!E:E),Groups!A:A,Groups!D:D)=0,_xlfn.XLOOKUP(_xlfn.XLOOKUP(B95,'Base stats'!B:B,'Base stats'!E:E),Groups!A:A,Groups!AR:AR),"None")</f>
        <v>None</v>
      </c>
      <c r="BI95" s="2" t="str">
        <f>IF(AND(_xlfn.XLOOKUP(_xlfn.XLOOKUP(B95,'Base stats'!B:B,'Base stats'!E:E),Groups!A:A,Groups!AS:AS)=1,OR('Base stats'!Y95="Carnivore",'Base stats'!Y95="Omnivore")),"true","false")</f>
        <v>false</v>
      </c>
      <c r="BJ95" s="2" t="str">
        <f>IF(BI95="true",MROUND(IF(AND(AO95&gt;0.5,OR(_xlfn.XLOOKUP(_xlfn.XLOOKUP(B95,'Base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K95" s="2">
        <f t="shared" si="10"/>
        <v>0</v>
      </c>
      <c r="BL95" s="25" t="str">
        <f>IF(_xlfn.XLOOKUP(B95,'Base stats'!B:B,'Base stats'!AK:AK)="Standard","No",MROUND((_xlfn.XLOOKUP(B95,'Base stats'!B:B,'Base stats'!AK:AK)/3.6)/I95,0.1))</f>
        <v>No</v>
      </c>
      <c r="BM95" s="25" t="str">
        <f t="shared" si="11"/>
        <v>false</v>
      </c>
      <c r="BN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O95" s="25" t="str" cm="1">
        <f t="array" ref="BO95">IF(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 = "",
  "No",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
)</f>
        <v>Dig</v>
      </c>
      <c r="BP95" s="25" t="str">
        <f>IF(
   AND(
      'Base stats'!AK95="Standard",_xlfn.XLOOKUP(_xlfn.XLOOKUP(B95,'Base stats'!B:B,'Base stats'!E:E),Groups!A:A,Groups!AU:AU)=0,
      OR(
      BN95="True"
      )
   ),
   10,
   IF(
       OR(BL95&lt;&gt;"No",_xlfn.XLOOKUP(_xlfn.XLOOKUP(B95,'Base stats'!B:B,'Base stats'!E:E),Groups!A:A,Groups!AU:AU)=1),
      1,
      "No"
   )
)</f>
        <v>No</v>
      </c>
      <c r="BQ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stats'!AS:AS) * 1.8) * 2) * 2.5 + 10 + I95 * 2,5)+IF(_xlfn.XLOOKUP(B95,'Base stats'!B:B,'Base stats'!AH:AH)=1,50,0)</f>
        <v>85</v>
      </c>
      <c r="BR95" s="8">
        <f t="shared" si="12"/>
        <v>0.65</v>
      </c>
      <c r="BS95" s="8" t="str">
        <f>_xlfn.XLOOKUP(B95,'Base stats'!B:B,'Base stats'!AD:AD)</f>
        <v>No</v>
      </c>
      <c r="BT95" s="2" t="str">
        <f>IF(AND(J95&lt;=0.95,OR(_xlfn.XLOOKUP(B95,'Base stats'!B:B,'Base stats'!AH:AH)=1,_xlfn.XLOOKUP(B95,'Base stats'!B:B,'Base stats'!Y:Y)="Carnivore",_xlfn.XLOOKUP(B95,'Base stats'!B:B,'Base stats'!Y:Y)="Omnivore",BD95&gt;0.1)),"true","false")</f>
        <v>false</v>
      </c>
      <c r="BU95" s="2" t="str">
        <f>IF(_xlfn.XLOOKUP(B95,'Base stats'!B:B,'Base stats'!AF:AF)=1,"true","false")</f>
        <v>false</v>
      </c>
      <c r="BV95" s="25" t="str">
        <f>IF(E95="BaseInsect","AnimalInsect",
IF(J95&gt;0.95,"AnimalExotic",
_xlfn.TEXTJOIN(", ",TRUE,
IF(OR(_xlfn.XLOOKUP(B95,'Base stats'!B:B,'Base stats'!AJ:AJ)=1,AND(_xlfn.XLOOKUP(B95,'Base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stats'!AH:AH)=1,AND(BH95&lt;&gt;"None",BQ95&gt;=60),ISNUMBER(SEARCH("Attack target",BO95))),"AnimalFighter","")
)))</f>
        <v>AnimalCommon</v>
      </c>
      <c r="BW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),_xlfn.XLOOKUP(B95,B:B,BW:BW))</f>
        <v>Glowforest</v>
      </c>
      <c r="BX95" s="25" t="str">
        <f>IF(_xlfn.XLOOKUP(B95,'Base stats'!B:B,'Base stats'!AG:AG)=1,"true","false")</f>
        <v>false</v>
      </c>
      <c r="BY95" s="25">
        <f>IF(_xlfn.XLOOKUP(B95,'Base stats'!B:B,'Base stats'!N:N)=1,"No",MAX(0.01,MIN(MROUND(IF(OR(_xlfn.XLOOKUP(B95,'Base stats'!B:B,'Base stats'!AJ:AJ)=1,AND(BI95="True",CB95="False")),POWER(10,3.47*LOG10(_xlfn.XLOOKUP(B95,'Base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stats'!AH:AH)=1),0.5,1)/100,0.025),1)))</f>
        <v>0.2</v>
      </c>
      <c r="BZ95" s="25" t="str">
        <f>IF(P95="Standard","No",MAX(0.01,IF(_xlfn.XLOOKUP(B95,'Base stats'!B:B,'Base stats'!N:N)=0,MROUND(BY95*P95,0.05),MIN(1,MAX(0.025,MROUND(IF(OR(CB95="true",AND(BI95="false",BN95="false")),POWER(10,4.15*LOG10(_xlfn.XLOOKUP(B95,'Base stats'!B:B,'Base stats'!C:C)*1000)^-0.73),POWER(10,3.47*LOG10(_xlfn.XLOOKUP(B95,'Base stats'!B:B,'Base stats'!C:C)*1000)^-0.96))*IF(_xlfn.XLOOKUP(B95,'Base stats'!B:B,'Base stats'!AH:AH)=1,0.5,1)/100,0.025))))))</f>
        <v>No</v>
      </c>
      <c r="CA95" s="25" t="str">
        <f>IF(_xlfn.XLOOKUP(_xlfn.XLOOKUP(B95,'Base stats'!B:B,'Base stats'!E:E),Groups!A:A,Groups!AJ:AJ)="Mammal","True","False")</f>
        <v>True</v>
      </c>
      <c r="CB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C95" s="25" t="str">
        <f t="shared" si="13"/>
        <v>False</v>
      </c>
      <c r="CD95" s="25" t="str">
        <f>IF(_xlfn.XLOOKUP(_xlfn.XLOOKUP(B95,'Base stats'!B:B,'Base stats'!E:E),Groups!A:A,Groups!AX:AX),"True","False")</f>
        <v>False</v>
      </c>
      <c r="CE95" s="25" t="str">
        <f>IF(_xlfn.XLOOKUP(_xlfn.XLOOKUP(B95,'Base stats'!B:B,'Base stats'!E:E),Groups!A:A,Groups!AY:AY),"True","False")</f>
        <v>False</v>
      </c>
      <c r="CF95" s="25" t="str">
        <f>IF(_xlfn.XLOOKUP(_xlfn.XLOOKUP(B95,'Base stats'!B:B,'Base stats'!E:E),Groups!A:A,Groups!AW:AW),"True","False")</f>
        <v>False</v>
      </c>
      <c r="CG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H95" s="25" t="str">
        <f>IF(_xlfn.XLOOKUP(_xlfn.XLOOKUP(B95,'Base stats'!B:B,'Base stats'!E:E),Groups!A:A,Groups!BB:BB),"True","False")</f>
        <v>True</v>
      </c>
      <c r="CI95" s="25" t="str">
        <f>IF(_xlfn.XLOOKUP(_xlfn.XLOOKUP(B95,'Base stats'!B:B,'Base stats'!E:E),Groups!A:A,Groups!BA:BA),"True","False")</f>
        <v>False</v>
      </c>
    </row>
    <row r="96" spans="1:87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stats'!AI:AI)=0,BH96="None",_xlfn.XLOOKUP(_xlfn.XLOOKUP(B96,'Base stats'!B:B,'Base stats'!E:E),Groups!A:A,Groups!B:B)=0), (18 + BQ96 * 2.7) * 0.5,
    IF(AND(_xlfn.XLOOKUP(B96,'Base stats'!B:B,'Base stats'!AI:AI)=0,OR(AO96&lt;0.55,AND(BH96="Intermediate",_xlfn.XLOOKUP(_xlfn.XLOOKUP(B96,'Base stats'!B:B,'Base stats'!E:E),Groups!A:A,Groups!B:B)&lt;2))), (18 + BQ96 * 2.7),
      IF(OR(BH96="Advanced",_xlfn.XLOOKUP(B96,'Base stats'!B:B,'Base stats'!AI:AI)=1,_xlfn.XLOOKUP(_xlfn.XLOOKUP(B96,'Base stats'!B:B,'Base stats'!E:E),Groups!A:A,Groups!B:B)=2), (18 + BQ96 * 2.7) + 250, (18 + BQ96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IF(_xlfn.XLOOKUP(B96,'Base stats'!B:B,'Base stats'!AI:AI)=1,0.99,MIN(MROUND((1-0.6282*EXP(-0.459*AO96))*_xlfn.XLOOKUP(_xlfn.XLOOKUP(B96,'Base stats'!B:B,'Base stats'!E:E),Groups!A:A,Groups!C:C)*IF(_xlfn.XLOOKUP(B96,'Base stats'!B:B,'Base stats'!O:O)=1,0.5,IF(_xlfn.XLOOKUP(B96,'Base stats'!B:B,'Base stats'!O:O)=2,0,1)),0.05),0.985))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W96)),ISNUMBER(SEARCH("IceSheet",BW96))),-50,IF(OR(ISNUMBER(SEARCH("GlacialPlain",BW96)),ISNUMBER(SEARCH("Tundra",BW96))),-40,IF(OR(ISNUMBER(SEARCH("Alpine",BW96)),ISNUMBER(SEARCH("BorealForest",BW96)),ISNUMBER(SEARCH("ColdBog",BW96))),-30,IF(OR(ISNUMBER(SEARCH("TemperateForest",BW96)),ISNUMBER(SEARCH("TemperateSwamp",BW96))),-20,IF(_xlfn.XLOOKUP(_xlfn.XLOOKUP(B96,'Base stats'!B:B,'Base stats'!E:E),Groups!A:A,Groups!F:F)=1,-15,IF(OR(ISNUMBER(SEARCH("Desert",BW96)),ISNUMBER(SEARCH("ExtremeDesert",BW96))),-10,IF(OR(ISNUMBER(SEARCH("Grasslands",BW96)),ISNUMBER(SEARCH("TropicalRainforest",BW96)),ISNUMBER(SEARCH("TropicalSwamp",BW96))),10,0)))))))-IF(CB96="False",MIN(IFERROR(MAX(MROUND(LOG10(_xlfn.XLOOKUP(B96,'Base stats'!B:B,'Base stats'!C:C)^(2/3))*10,5),5),5),30))-_xlfn.XLOOKUP(B96,'Base stats'!B:B,'Base stats'!P:P)+IF(CB96="True",5,0)</f>
        <v>-55</v>
      </c>
      <c r="M96" s="2">
        <f>IF(OR(_xlfn.XLOOKUP(_xlfn.XLOOKUP(B96,'Base stats'!B:B,'Base stats'!E:E),Groups!A:A,Groups!G:G)=2,ISNUMBER(SEARCH("Desert",BW96)),ISNUMBER(SEARCH("ExtremeDesert",BW96)),ISNUMBER(SEARCH("LavaField",BW96))),50,IF(ISNUMBER(SEARCH("Grasslands",BW96)),45,IF(OR(_xlfn.XLOOKUP(_xlfn.XLOOKUP(B96,'Base stats'!B:B,'Base stats'!E:E),Groups!A:A,Groups!G:G)=1,ISNUMBER(SEARCH("TropicalRainforest",BW96)),ISNUMBER(SEARCH("TropicalSwamp",BW96))),40,IF(OR(ISNUMBER(SEARCH("TemperateForest",BW96)),ISNUMBER(SEARCH("TemperateSwamp",BW96))),35,IF(OR(ISNUMBER(SEARCH("Alpine",BW96)),ISNUMBER(SEARCH("BorealForest",BW96)),ISNUMBER(SEARCH("ColdBog",BW96))),30,IF(ISNUMBER(OR(ISNUMBER(SEARCH("GlacialPlain",BW96)),SEARCH("Tundra",BW96))),25,IF(OR(ISNUMBER(SEARCH("SeaIce",BW96)),ISNUMBER(SEARCH("IceSheet",BW96)),ISNUMBER(SEARCH("TropicalSwamp",BW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stats'!AO:AO))*(AO96^0.5)+(_xlfn.XLOOKUP(B96,'Base stats'!B:B,'Base stats'!AO:AO)/1000)^(2/3)+_xlfn.XLOOKUP(B96,'Base stats'!B:B,'Base stats'!AX:AX)/2)+0.5,0.5)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stats'!AP:AP))*(AO96^0.5)+(_xlfn.XLOOKUP(B96,'Base stats'!B:B,'Base stats'!AP:AP)/1000)^(2/3)+_xlfn.XLOOKUP(B96,'Base stats'!B:B,'Base stats'!AX:AX))+_xlfn.XLOOKUP(B96,'Base stats'!B:B,'Base stats'!AV:AV)+0.5,0.5))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stats'!AR:AR))*(AO96^0.5)+(_xlfn.XLOOKUP(B96,'Base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stats'!AQ:AQ)="No","No",MROUND((LOG10(_xlfn.XLOOKUP(B96,'Base stats'!B:B,'Base stats'!AQ:AQ))*(AO96^0.75)+(_xlfn.XLOOKUP(B96,'Base stats'!B:B,'Base stats'!AQ:AQ)/1000)^(2/3)+_xlfn.XLOOKUP(B96,'Base stats'!B:B,'Base stats'!AU:AU)+_xlfn.XLOOKUP(B96,'Base stats'!B:B,'Base stats'!AX:AX))+0.5,0.5))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stats'!AP:AP))*(AO96^0.75)+(_xlfn.XLOOKUP(B96,'Base stats'!B:B,'Base stats'!AP:AP)/1000)^(2/3)+_xlfn.XLOOKUP(B96,'Base stats'!B:B,'Base stats'!AV:AV)+_xlfn.XLOOKUP(B96,'Base stats'!B:B,'Base stats'!AX:AX))+0.5,0.5))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MAX(0.01,MROUND(IF(CB96="True",0.196*(AO96*100*1000)^0.889,IF(_xlfn.XLOOKUP(_xlfn.XLOOKUP(B96,'Base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stats'!AE:AE)</f>
        <v>Leather_Plain</v>
      </c>
      <c r="BB96" s="23" t="str">
        <f>_xlfn.XLOOKUP(_xlfn.XLOOKUP(B96,'Base stats'!B:B,'Base stats'!E:E),Groups!A:A,Groups!AL:AL)</f>
        <v>QuadrupedAnimalWithHooves</v>
      </c>
      <c r="BC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D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E96" s="2" t="str">
        <f>IF(J96&gt;0.3,"No",_xlfn.XLOOKUP(_xlfn.XLOOKUP(Animals!B96,'Base stats'!B:B,'Base stats'!E:E),Groups!A:A,Groups!AP:AP))</f>
        <v>No</v>
      </c>
      <c r="BF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+ 24*(1-IF(BE96="No",0,BE96)) + 16/3, 12),"No")</f>
        <v>No</v>
      </c>
      <c r="BG96" s="2">
        <f>IF(AND(_xlfn.XLOOKUP(_xlfn.XLOOKUP(B96,'Base stats'!B:B,'Base stats'!E:E),Groups!A:A,Groups!AQ:AQ)=1,AO96&lt;=0.35),8,12)</f>
        <v>12</v>
      </c>
      <c r="BH96" s="2" t="str">
        <f>IF(_xlfn.XLOOKUP(_xlfn.XLOOKUP(B96,'Base stats'!B:B,'Base stats'!E:E),Groups!A:A,Groups!D:D)=0,_xlfn.XLOOKUP(_xlfn.XLOOKUP(B96,'Base stats'!B:B,'Base stats'!E:E),Groups!A:A,Groups!AR:AR),"None")</f>
        <v>None</v>
      </c>
      <c r="BI96" s="2" t="str">
        <f>IF(AND(_xlfn.XLOOKUP(_xlfn.XLOOKUP(B96,'Base stats'!B:B,'Base stats'!E:E),Groups!A:A,Groups!AS:AS)=1,OR('Base stats'!Y96="Carnivore",'Base stats'!Y96="Omnivore")),"true","false")</f>
        <v>false</v>
      </c>
      <c r="BJ96" s="2" t="str">
        <f>IF(BI96="true",MROUND(IF(AND(AO96&gt;0.5,OR(_xlfn.XLOOKUP(_xlfn.XLOOKUP(B96,'Base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K96" s="2">
        <f t="shared" si="10"/>
        <v>0</v>
      </c>
      <c r="BL96" s="25" t="str">
        <f>IF(_xlfn.XLOOKUP(B96,'Base stats'!B:B,'Base stats'!AK:AK)="Standard","No",MROUND((_xlfn.XLOOKUP(B96,'Base stats'!B:B,'Base stats'!AK:AK)/3.6)/I96,0.1))</f>
        <v>No</v>
      </c>
      <c r="BM96" s="25" t="str">
        <f t="shared" si="11"/>
        <v>false</v>
      </c>
      <c r="BN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O96" s="25" t="str" cm="1">
        <f t="array" ref="BO96">IF(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 = "",
  "No",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
)</f>
        <v>No</v>
      </c>
      <c r="BP96" s="25" t="str">
        <f>IF(
   AND(
      'Base stats'!AK96="Standard",_xlfn.XLOOKUP(_xlfn.XLOOKUP(B96,'Base stats'!B:B,'Base stats'!E:E),Groups!A:A,Groups!AU:AU)=0,
      OR(
      BN96="True"
      )
   ),
   10,
   IF(
       OR(BL96&lt;&gt;"No",_xlfn.XLOOKUP(_xlfn.XLOOKUP(B96,'Base stats'!B:B,'Base stats'!E:E),Groups!A:A,Groups!AU:AU)=1),
      1,
      "No"
   )
)</f>
        <v>No</v>
      </c>
      <c r="BQ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stats'!AS:AS) * 1.8) * 2) * 2.5 + 10 + I96 * 2,5)+IF(_xlfn.XLOOKUP(B96,'Base stats'!B:B,'Base stats'!AH:AH)=1,50,0)</f>
        <v>190</v>
      </c>
      <c r="BR96" s="8">
        <f t="shared" si="12"/>
        <v>1.4500000000000002</v>
      </c>
      <c r="BS96" s="8" t="str">
        <f>_xlfn.XLOOKUP(B96,'Base stats'!B:B,'Base stats'!AD:AD)</f>
        <v>No</v>
      </c>
      <c r="BT96" s="2" t="str">
        <f>IF(AND(J96&lt;=0.95,OR(_xlfn.XLOOKUP(B96,'Base stats'!B:B,'Base stats'!AH:AH)=1,_xlfn.XLOOKUP(B96,'Base stats'!B:B,'Base stats'!Y:Y)="Carnivore",_xlfn.XLOOKUP(B96,'Base stats'!B:B,'Base stats'!Y:Y)="Omnivore",BD96&gt;0.1)),"true","false")</f>
        <v>false</v>
      </c>
      <c r="BU96" s="2" t="str">
        <f>IF(_xlfn.XLOOKUP(B96,'Base stats'!B:B,'Base stats'!AF:AF)=1,"true","false")</f>
        <v>false</v>
      </c>
      <c r="BV96" s="25" t="str">
        <f>IF(E96="BaseInsect","AnimalInsect",
IF(J96&gt;0.95,"AnimalExotic",
_xlfn.TEXTJOIN(", ",TRUE,
IF(OR(_xlfn.XLOOKUP(B96,'Base stats'!B:B,'Base stats'!AJ:AJ)=1,AND(_xlfn.XLOOKUP(B96,'Base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stats'!AH:AH)=1,AND(BH96&lt;&gt;"None",BQ96&gt;=60),ISNUMBER(SEARCH("Attack target",BO96))),"AnimalFighter","")
)))</f>
        <v>AnimalCommon</v>
      </c>
      <c r="BW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),_xlfn.XLOOKUP(B96,B:B,BW:BW))</f>
        <v>Tundra BorealForest ColdBog TemperateForest TemperateSwamp GlacialPlain</v>
      </c>
      <c r="BX96" s="25" t="str">
        <f>IF(_xlfn.XLOOKUP(B96,'Base stats'!B:B,'Base stats'!AG:AG)=1,"true","false")</f>
        <v>false</v>
      </c>
      <c r="BY96" s="25">
        <f>IF(_xlfn.XLOOKUP(B96,'Base stats'!B:B,'Base stats'!N:N)=1,"No",MAX(0.01,MIN(MROUND(IF(OR(_xlfn.XLOOKUP(B96,'Base stats'!B:B,'Base stats'!AJ:AJ)=1,AND(BI96="True",CB96="False")),POWER(10,3.47*LOG10(_xlfn.XLOOKUP(B96,'Base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stats'!AH:AH)=1),0.5,1)/100,0.025),1)))</f>
        <v>0.15000000000000002</v>
      </c>
      <c r="BZ96" s="25" t="str">
        <f>IF(P96="Standard","No",MAX(0.01,IF(_xlfn.XLOOKUP(B96,'Base stats'!B:B,'Base stats'!N:N)=0,MROUND(BY96*P96,0.05),MIN(1,MAX(0.025,MROUND(IF(OR(CB96="true",AND(BI96="false",BN96="false")),POWER(10,4.15*LOG10(_xlfn.XLOOKUP(B96,'Base stats'!B:B,'Base stats'!C:C)*1000)^-0.73),POWER(10,3.47*LOG10(_xlfn.XLOOKUP(B96,'Base stats'!B:B,'Base stats'!C:C)*1000)^-0.96))*IF(_xlfn.XLOOKUP(B96,'Base stats'!B:B,'Base stats'!AH:AH)=1,0.5,1)/100,0.025))))))</f>
        <v>No</v>
      </c>
      <c r="CA96" s="25" t="str">
        <f>IF(_xlfn.XLOOKUP(_xlfn.XLOOKUP(B96,'Base stats'!B:B,'Base stats'!E:E),Groups!A:A,Groups!AJ:AJ)="Mammal","True","False")</f>
        <v>True</v>
      </c>
      <c r="CB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C96" s="25" t="str">
        <f t="shared" si="13"/>
        <v>False</v>
      </c>
      <c r="CD96" s="25" t="str">
        <f>IF(_xlfn.XLOOKUP(_xlfn.XLOOKUP(B96,'Base stats'!B:B,'Base stats'!E:E),Groups!A:A,Groups!AX:AX),"True","False")</f>
        <v>False</v>
      </c>
      <c r="CE96" s="25" t="str">
        <f>IF(_xlfn.XLOOKUP(_xlfn.XLOOKUP(B96,'Base stats'!B:B,'Base stats'!E:E),Groups!A:A,Groups!AY:AY),"True","False")</f>
        <v>False</v>
      </c>
      <c r="CF96" s="25" t="str">
        <f>IF(_xlfn.XLOOKUP(_xlfn.XLOOKUP(B96,'Base stats'!B:B,'Base stats'!E:E),Groups!A:A,Groups!AW:AW),"True","False")</f>
        <v>False</v>
      </c>
      <c r="CG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H96" s="25" t="str">
        <f>IF(_xlfn.XLOOKUP(_xlfn.XLOOKUP(B96,'Base stats'!B:B,'Base stats'!E:E),Groups!A:A,Groups!BB:BB),"True","False")</f>
        <v>True</v>
      </c>
      <c r="CI96" s="25" t="str">
        <f>IF(_xlfn.XLOOKUP(_xlfn.XLOOKUP(B96,'Base stats'!B:B,'Base stats'!E:E),Groups!A:A,Groups!BA:BA),"True","False")</f>
        <v>False</v>
      </c>
    </row>
    <row r="97" spans="1:87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stats'!AI:AI)=0,BH97="None",_xlfn.XLOOKUP(_xlfn.XLOOKUP(B97,'Base stats'!B:B,'Base stats'!E:E),Groups!A:A,Groups!B:B)=0), (18 + BQ97 * 2.7) * 0.5,
    IF(AND(_xlfn.XLOOKUP(B97,'Base stats'!B:B,'Base stats'!AI:AI)=0,OR(AO97&lt;0.55,AND(BH97="Intermediate",_xlfn.XLOOKUP(_xlfn.XLOOKUP(B97,'Base stats'!B:B,'Base stats'!E:E),Groups!A:A,Groups!B:B)&lt;2))), (18 + BQ97 * 2.7),
      IF(OR(BH97="Advanced",_xlfn.XLOOKUP(B97,'Base stats'!B:B,'Base stats'!AI:AI)=1,_xlfn.XLOOKUP(_xlfn.XLOOKUP(B97,'Base stats'!B:B,'Base stats'!E:E),Groups!A:A,Groups!B:B)=2), (18 + BQ97 * 2.7) + 250, (18 + BQ97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IF(_xlfn.XLOOKUP(B97,'Base stats'!B:B,'Base stats'!AI:AI)=1,0.99,MIN(MROUND((1-0.6282*EXP(-0.459*AO97))*_xlfn.XLOOKUP(_xlfn.XLOOKUP(B97,'Base stats'!B:B,'Base stats'!E:E),Groups!A:A,Groups!C:C)*IF(_xlfn.XLOOKUP(B97,'Base stats'!B:B,'Base stats'!O:O)=1,0.5,IF(_xlfn.XLOOKUP(B97,'Base stats'!B:B,'Base stats'!O:O)=2,0,1)),0.05),0.985))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W97)),ISNUMBER(SEARCH("IceSheet",BW97))),-50,IF(OR(ISNUMBER(SEARCH("GlacialPlain",BW97)),ISNUMBER(SEARCH("Tundra",BW97))),-40,IF(OR(ISNUMBER(SEARCH("Alpine",BW97)),ISNUMBER(SEARCH("BorealForest",BW97)),ISNUMBER(SEARCH("ColdBog",BW97))),-30,IF(OR(ISNUMBER(SEARCH("TemperateForest",BW97)),ISNUMBER(SEARCH("TemperateSwamp",BW97))),-20,IF(_xlfn.XLOOKUP(_xlfn.XLOOKUP(B97,'Base stats'!B:B,'Base stats'!E:E),Groups!A:A,Groups!F:F)=1,-15,IF(OR(ISNUMBER(SEARCH("Desert",BW97)),ISNUMBER(SEARCH("ExtremeDesert",BW97))),-10,IF(OR(ISNUMBER(SEARCH("Grasslands",BW97)),ISNUMBER(SEARCH("TropicalRainforest",BW97)),ISNUMBER(SEARCH("TropicalSwamp",BW97))),10,0)))))))-IF(CB97="False",MIN(IFERROR(MAX(MROUND(LOG10(_xlfn.XLOOKUP(B97,'Base stats'!B:B,'Base stats'!C:C)^(2/3))*10,5),5),5),30))-_xlfn.XLOOKUP(B97,'Base stats'!B:B,'Base stats'!P:P)+IF(CB97="True",5,0)</f>
        <v>-55</v>
      </c>
      <c r="M97" s="2">
        <f>IF(OR(_xlfn.XLOOKUP(_xlfn.XLOOKUP(B97,'Base stats'!B:B,'Base stats'!E:E),Groups!A:A,Groups!G:G)=2,ISNUMBER(SEARCH("Desert",BW97)),ISNUMBER(SEARCH("ExtremeDesert",BW97)),ISNUMBER(SEARCH("LavaField",BW97))),50,IF(ISNUMBER(SEARCH("Grasslands",BW97)),45,IF(OR(_xlfn.XLOOKUP(_xlfn.XLOOKUP(B97,'Base stats'!B:B,'Base stats'!E:E),Groups!A:A,Groups!G:G)=1,ISNUMBER(SEARCH("TropicalRainforest",BW97)),ISNUMBER(SEARCH("TropicalSwamp",BW97))),40,IF(OR(ISNUMBER(SEARCH("TemperateForest",BW97)),ISNUMBER(SEARCH("TemperateSwamp",BW97))),35,IF(OR(ISNUMBER(SEARCH("Alpine",BW97)),ISNUMBER(SEARCH("BorealForest",BW97)),ISNUMBER(SEARCH("ColdBog",BW97))),30,IF(ISNUMBER(OR(ISNUMBER(SEARCH("GlacialPlain",BW97)),SEARCH("Tundra",BW97))),25,IF(OR(ISNUMBER(SEARCH("SeaIce",BW97)),ISNUMBER(SEARCH("IceSheet",BW97)),ISNUMBER(SEARCH("TropicalSwamp",BW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stats'!AO:AO))*(AO97^0.5)+(_xlfn.XLOOKUP(B97,'Base stats'!B:B,'Base stats'!AO:AO)/1000)^(2/3)+_xlfn.XLOOKUP(B97,'Base stats'!B:B,'Base stats'!AX:AX)/2)+0.5,0.5)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stats'!AP:AP))*(AO97^0.5)+(_xlfn.XLOOKUP(B97,'Base stats'!B:B,'Base stats'!AP:AP)/1000)^(2/3)+_xlfn.XLOOKUP(B97,'Base stats'!B:B,'Base stats'!AX:AX))+_xlfn.XLOOKUP(B97,'Base stats'!B:B,'Base stats'!AV:AV)+0.5,0.5))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stats'!AR:AR))*(AO97^0.5)+(_xlfn.XLOOKUP(B97,'Base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stats'!AQ:AQ)="No","No",MROUND((LOG10(_xlfn.XLOOKUP(B97,'Base stats'!B:B,'Base stats'!AQ:AQ))*(AO97^0.75)+(_xlfn.XLOOKUP(B97,'Base stats'!B:B,'Base stats'!AQ:AQ)/1000)^(2/3)+_xlfn.XLOOKUP(B97,'Base stats'!B:B,'Base stats'!AU:AU)+_xlfn.XLOOKUP(B97,'Base stats'!B:B,'Base stats'!AX:AX))+0.5,0.5))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stats'!AP:AP))*(AO97^0.75)+(_xlfn.XLOOKUP(B97,'Base stats'!B:B,'Base stats'!AP:AP)/1000)^(2/3)+_xlfn.XLOOKUP(B97,'Base stats'!B:B,'Base stats'!AV:AV)+_xlfn.XLOOKUP(B97,'Base stats'!B:B,'Base stats'!AX:AX))+0.5,0.5))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MAX(0.01,MROUND(IF(CB97="True",0.196*(AO97*100*1000)^0.889,IF(_xlfn.XLOOKUP(_xlfn.XLOOKUP(B97,'Base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stats'!AE:AE)</f>
        <v>Leather_Plain</v>
      </c>
      <c r="BB97" s="23" t="str">
        <f>_xlfn.XLOOKUP(_xlfn.XLOOKUP(B97,'Base stats'!B:B,'Base stats'!E:E),Groups!A:A,Groups!AL:AL)</f>
        <v>QuadrupedAnimalWithHooves</v>
      </c>
      <c r="BC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D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E97" s="2" t="str">
        <f>IF(J97&gt;0.3,"No",_xlfn.XLOOKUP(_xlfn.XLOOKUP(Animals!B97,'Base stats'!B:B,'Base stats'!E:E),Groups!A:A,Groups!AP:AP))</f>
        <v>No</v>
      </c>
      <c r="BF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+ 24*(1-IF(BE97="No",0,BE97)) + 16/3, 12),"No")</f>
        <v>No</v>
      </c>
      <c r="BG97" s="2">
        <f>IF(AND(_xlfn.XLOOKUP(_xlfn.XLOOKUP(B97,'Base stats'!B:B,'Base stats'!E:E),Groups!A:A,Groups!AQ:AQ)=1,AO97&lt;=0.35),8,12)</f>
        <v>12</v>
      </c>
      <c r="BH97" s="2" t="str">
        <f>IF(_xlfn.XLOOKUP(_xlfn.XLOOKUP(B97,'Base stats'!B:B,'Base stats'!E:E),Groups!A:A,Groups!D:D)=0,_xlfn.XLOOKUP(_xlfn.XLOOKUP(B97,'Base stats'!B:B,'Base stats'!E:E),Groups!A:A,Groups!AR:AR),"None")</f>
        <v>None</v>
      </c>
      <c r="BI97" s="2" t="str">
        <f>IF(AND(_xlfn.XLOOKUP(_xlfn.XLOOKUP(B97,'Base stats'!B:B,'Base stats'!E:E),Groups!A:A,Groups!AS:AS)=1,OR('Base stats'!Y97="Carnivore",'Base stats'!Y97="Omnivore")),"true","false")</f>
        <v>false</v>
      </c>
      <c r="BJ97" s="2" t="str">
        <f>IF(BI97="true",MROUND(IF(AND(AO97&gt;0.5,OR(_xlfn.XLOOKUP(_xlfn.XLOOKUP(B97,'Base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K97" s="2">
        <f t="shared" si="10"/>
        <v>0</v>
      </c>
      <c r="BL97" s="25" t="str">
        <f>IF(_xlfn.XLOOKUP(B97,'Base stats'!B:B,'Base stats'!AK:AK)="Standard","No",MROUND((_xlfn.XLOOKUP(B97,'Base stats'!B:B,'Base stats'!AK:AK)/3.6)/I97,0.1))</f>
        <v>No</v>
      </c>
      <c r="BM97" s="25" t="str">
        <f t="shared" si="11"/>
        <v>false</v>
      </c>
      <c r="BN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O97" s="25" t="str" cm="1">
        <f t="array" ref="BO97">IF(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 = "",
  "No",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
)</f>
        <v>No</v>
      </c>
      <c r="BP97" s="25" t="str">
        <f>IF(
   AND(
      'Base stats'!AK97="Standard",_xlfn.XLOOKUP(_xlfn.XLOOKUP(B97,'Base stats'!B:B,'Base stats'!E:E),Groups!A:A,Groups!AU:AU)=0,
      OR(
      BN97="True"
      )
   ),
   10,
   IF(
       OR(BL97&lt;&gt;"No",_xlfn.XLOOKUP(_xlfn.XLOOKUP(B97,'Base stats'!B:B,'Base stats'!E:E),Groups!A:A,Groups!AU:AU)=1),
      1,
      "No"
   )
)</f>
        <v>No</v>
      </c>
      <c r="BQ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stats'!AS:AS) * 1.8) * 2) * 2.5 + 10 + I97 * 2,5)+IF(_xlfn.XLOOKUP(B97,'Base stats'!B:B,'Base stats'!AH:AH)=1,50,0)</f>
        <v>150</v>
      </c>
      <c r="BR97" s="8">
        <f t="shared" si="12"/>
        <v>1.2000000000000002</v>
      </c>
      <c r="BS97" s="8" t="str">
        <f>_xlfn.XLOOKUP(B97,'Base stats'!B:B,'Base stats'!AD:AD)</f>
        <v>3~10</v>
      </c>
      <c r="BT97" s="2" t="str">
        <f>IF(AND(J97&lt;=0.95,OR(_xlfn.XLOOKUP(B97,'Base stats'!B:B,'Base stats'!AH:AH)=1,_xlfn.XLOOKUP(B97,'Base stats'!B:B,'Base stats'!Y:Y)="Carnivore",_xlfn.XLOOKUP(B97,'Base stats'!B:B,'Base stats'!Y:Y)="Omnivore",BD97&gt;0.1)),"true","false")</f>
        <v>false</v>
      </c>
      <c r="BU97" s="2" t="str">
        <f>IF(_xlfn.XLOOKUP(B97,'Base stats'!B:B,'Base stats'!AF:AF)=1,"true","false")</f>
        <v>false</v>
      </c>
      <c r="BV97" s="25" t="str">
        <f>IF(E97="BaseInsect","AnimalInsect",
IF(J97&gt;0.95,"AnimalExotic",
_xlfn.TEXTJOIN(", ",TRUE,
IF(OR(_xlfn.XLOOKUP(B97,'Base stats'!B:B,'Base stats'!AJ:AJ)=1,AND(_xlfn.XLOOKUP(B97,'Base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stats'!AH:AH)=1,AND(BH97&lt;&gt;"None",BQ97&gt;=60),ISNUMBER(SEARCH("Attack target",BO97))),"AnimalFighter","")
)))</f>
        <v>AnimalCommon</v>
      </c>
      <c r="BW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),_xlfn.XLOOKUP(B97,B:B,BW:BW))</f>
        <v>Tundra GlacialPlain</v>
      </c>
      <c r="BX97" s="25" t="str">
        <f>IF(_xlfn.XLOOKUP(B97,'Base stats'!B:B,'Base stats'!AG:AG)=1,"true","false")</f>
        <v>false</v>
      </c>
      <c r="BY97" s="25">
        <f>IF(_xlfn.XLOOKUP(B97,'Base stats'!B:B,'Base stats'!N:N)=1,"No",MAX(0.01,MIN(MROUND(IF(OR(_xlfn.XLOOKUP(B97,'Base stats'!B:B,'Base stats'!AJ:AJ)=1,AND(BI97="True",CB97="False")),POWER(10,3.47*LOG10(_xlfn.XLOOKUP(B97,'Base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stats'!AH:AH)=1),0.5,1)/100,0.025),1)))</f>
        <v>0.15000000000000002</v>
      </c>
      <c r="BZ97" s="25" t="str">
        <f>IF(P97="Standard","No",MAX(0.01,IF(_xlfn.XLOOKUP(B97,'Base stats'!B:B,'Base stats'!N:N)=0,MROUND(BY97*P97,0.05),MIN(1,MAX(0.025,MROUND(IF(OR(CB97="true",AND(BI97="false",BN97="false")),POWER(10,4.15*LOG10(_xlfn.XLOOKUP(B97,'Base stats'!B:B,'Base stats'!C:C)*1000)^-0.73),POWER(10,3.47*LOG10(_xlfn.XLOOKUP(B97,'Base stats'!B:B,'Base stats'!C:C)*1000)^-0.96))*IF(_xlfn.XLOOKUP(B97,'Base stats'!B:B,'Base stats'!AH:AH)=1,0.5,1)/100,0.025))))))</f>
        <v>No</v>
      </c>
      <c r="CA97" s="25" t="str">
        <f>IF(_xlfn.XLOOKUP(_xlfn.XLOOKUP(B97,'Base stats'!B:B,'Base stats'!E:E),Groups!A:A,Groups!AJ:AJ)="Mammal","True","False")</f>
        <v>True</v>
      </c>
      <c r="CB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C97" s="25" t="str">
        <f t="shared" si="13"/>
        <v>False</v>
      </c>
      <c r="CD97" s="25" t="str">
        <f>IF(_xlfn.XLOOKUP(_xlfn.XLOOKUP(B97,'Base stats'!B:B,'Base stats'!E:E),Groups!A:A,Groups!AX:AX),"True","False")</f>
        <v>False</v>
      </c>
      <c r="CE97" s="25" t="str">
        <f>IF(_xlfn.XLOOKUP(_xlfn.XLOOKUP(B97,'Base stats'!B:B,'Base stats'!E:E),Groups!A:A,Groups!AY:AY),"True","False")</f>
        <v>False</v>
      </c>
      <c r="CF97" s="25" t="str">
        <f>IF(_xlfn.XLOOKUP(_xlfn.XLOOKUP(B97,'Base stats'!B:B,'Base stats'!E:E),Groups!A:A,Groups!AW:AW),"True","False")</f>
        <v>False</v>
      </c>
      <c r="CG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H97" s="25" t="str">
        <f>IF(_xlfn.XLOOKUP(_xlfn.XLOOKUP(B97,'Base stats'!B:B,'Base stats'!E:E),Groups!A:A,Groups!BB:BB),"True","False")</f>
        <v>True</v>
      </c>
      <c r="CI97" s="25" t="str">
        <f>IF(_xlfn.XLOOKUP(_xlfn.XLOOKUP(B97,'Base stats'!B:B,'Base stats'!E:E),Groups!A:A,Groups!BA:BA),"True","False")</f>
        <v>False</v>
      </c>
    </row>
    <row r="98" spans="1:87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stats'!AI:AI)=0,BH98="None",_xlfn.XLOOKUP(_xlfn.XLOOKUP(B98,'Base stats'!B:B,'Base stats'!E:E),Groups!A:A,Groups!B:B)=0), (18 + BQ98 * 2.7) * 0.5,
    IF(AND(_xlfn.XLOOKUP(B98,'Base stats'!B:B,'Base stats'!AI:AI)=0,OR(AO98&lt;0.55,AND(BH98="Intermediate",_xlfn.XLOOKUP(_xlfn.XLOOKUP(B98,'Base stats'!B:B,'Base stats'!E:E),Groups!A:A,Groups!B:B)&lt;2))), (18 + BQ98 * 2.7),
      IF(OR(BH98="Advanced",_xlfn.XLOOKUP(B98,'Base stats'!B:B,'Base stats'!AI:AI)=1,_xlfn.XLOOKUP(_xlfn.XLOOKUP(B98,'Base stats'!B:B,'Base stats'!E:E),Groups!A:A,Groups!B:B)=2), (18 + BQ98 * 2.7) + 250, (18 + BQ98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IF(_xlfn.XLOOKUP(B98,'Base stats'!B:B,'Base stats'!AI:AI)=1,0.99,MIN(MROUND((1-0.6282*EXP(-0.459*AO98))*_xlfn.XLOOKUP(_xlfn.XLOOKUP(B98,'Base stats'!B:B,'Base stats'!E:E),Groups!A:A,Groups!C:C)*IF(_xlfn.XLOOKUP(B98,'Base stats'!B:B,'Base stats'!O:O)=1,0.5,IF(_xlfn.XLOOKUP(B98,'Base stats'!B:B,'Base stats'!O:O)=2,0,1)),0.05),0.985))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W98)),ISNUMBER(SEARCH("IceSheet",BW98))),-50,IF(OR(ISNUMBER(SEARCH("GlacialPlain",BW98)),ISNUMBER(SEARCH("Tundra",BW98))),-40,IF(OR(ISNUMBER(SEARCH("Alpine",BW98)),ISNUMBER(SEARCH("BorealForest",BW98)),ISNUMBER(SEARCH("ColdBog",BW98))),-30,IF(OR(ISNUMBER(SEARCH("TemperateForest",BW98)),ISNUMBER(SEARCH("TemperateSwamp",BW98))),-20,IF(_xlfn.XLOOKUP(_xlfn.XLOOKUP(B98,'Base stats'!B:B,'Base stats'!E:E),Groups!A:A,Groups!F:F)=1,-15,IF(OR(ISNUMBER(SEARCH("Desert",BW98)),ISNUMBER(SEARCH("ExtremeDesert",BW98))),-10,IF(OR(ISNUMBER(SEARCH("Grasslands",BW98)),ISNUMBER(SEARCH("TropicalRainforest",BW98)),ISNUMBER(SEARCH("TropicalSwamp",BW98))),10,0)))))))-IF(CB98="False",MIN(IFERROR(MAX(MROUND(LOG10(_xlfn.XLOOKUP(B98,'Base stats'!B:B,'Base stats'!C:C)^(2/3))*10,5),5),5),30))-_xlfn.XLOOKUP(B98,'Base stats'!B:B,'Base stats'!P:P)+IF(CB98="True",5,0)</f>
        <v>5</v>
      </c>
      <c r="M98" s="2">
        <f>IF(OR(_xlfn.XLOOKUP(_xlfn.XLOOKUP(B98,'Base stats'!B:B,'Base stats'!E:E),Groups!A:A,Groups!G:G)=2,ISNUMBER(SEARCH("Desert",BW98)),ISNUMBER(SEARCH("ExtremeDesert",BW98)),ISNUMBER(SEARCH("LavaField",BW98))),50,IF(ISNUMBER(SEARCH("Grasslands",BW98)),45,IF(OR(_xlfn.XLOOKUP(_xlfn.XLOOKUP(B98,'Base stats'!B:B,'Base stats'!E:E),Groups!A:A,Groups!G:G)=1,ISNUMBER(SEARCH("TropicalRainforest",BW98)),ISNUMBER(SEARCH("TropicalSwamp",BW98))),40,IF(OR(ISNUMBER(SEARCH("TemperateForest",BW98)),ISNUMBER(SEARCH("TemperateSwamp",BW98))),35,IF(OR(ISNUMBER(SEARCH("Alpine",BW98)),ISNUMBER(SEARCH("BorealForest",BW98)),ISNUMBER(SEARCH("ColdBog",BW98))),30,IF(ISNUMBER(OR(ISNUMBER(SEARCH("GlacialPlain",BW98)),SEARCH("Tundra",BW98))),25,IF(OR(ISNUMBER(SEARCH("SeaIce",BW98)),ISNUMBER(SEARCH("IceSheet",BW98)),ISNUMBER(SEARCH("TropicalSwamp",BW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stats'!AO:AO))*(AO98^0.5)+(_xlfn.XLOOKUP(B98,'Base stats'!B:B,'Base stats'!AO:AO)/1000)^(2/3)+_xlfn.XLOOKUP(B98,'Base stats'!B:B,'Base stats'!AX:AX)/2)+0.5,0.5)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stats'!AP:AP))*(AO98^0.5)+(_xlfn.XLOOKUP(B98,'Base stats'!B:B,'Base stats'!AP:AP)/1000)^(2/3)+_xlfn.XLOOKUP(B98,'Base stats'!B:B,'Base stats'!AX:AX))+_xlfn.XLOOKUP(B98,'Base stats'!B:B,'Base stats'!AV:AV)+0.5,0.5))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stats'!AR:AR))*(AO98^0.5)+(_xlfn.XLOOKUP(B98,'Base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stats'!AQ:AQ)="No","No",MROUND((LOG10(_xlfn.XLOOKUP(B98,'Base stats'!B:B,'Base stats'!AQ:AQ))*(AO98^0.75)+(_xlfn.XLOOKUP(B98,'Base stats'!B:B,'Base stats'!AQ:AQ)/1000)^(2/3)+_xlfn.XLOOKUP(B98,'Base stats'!B:B,'Base stats'!AU:AU)+_xlfn.XLOOKUP(B98,'Base stats'!B:B,'Base stats'!AX:AX))+0.5,0.5))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stats'!AP:AP))*(AO98^0.75)+(_xlfn.XLOOKUP(B98,'Base stats'!B:B,'Base stats'!AP:AP)/1000)^(2/3)+_xlfn.XLOOKUP(B98,'Base stats'!B:B,'Base stats'!AV:AV)+_xlfn.XLOOKUP(B98,'Base stats'!B:B,'Base stats'!AX:AX))+0.5,0.5))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MAX(0.01,MROUND(IF(CB98="True",0.196*(AO98*100*1000)^0.889,IF(_xlfn.XLOOKUP(_xlfn.XLOOKUP(B98,'Base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stats'!AE:AE)</f>
        <v>No</v>
      </c>
      <c r="BB98" s="23" t="str">
        <f>_xlfn.XLOOKUP(_xlfn.XLOOKUP(B98,'Base stats'!B:B,'Base stats'!E:E),Groups!A:A,Groups!AL:AL)</f>
        <v>Snail</v>
      </c>
      <c r="BC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D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E98" s="2" t="str">
        <f>IF(J98&gt;0.3,"No",_xlfn.XLOOKUP(_xlfn.XLOOKUP(Animals!B98,'Base stats'!B:B,'Base stats'!E:E),Groups!A:A,Groups!AP:AP))</f>
        <v>No</v>
      </c>
      <c r="BF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+ 24*(1-IF(BE98="No",0,BE98)) + 16/3, 12),"No")</f>
        <v>No</v>
      </c>
      <c r="BG98" s="2">
        <f>IF(AND(_xlfn.XLOOKUP(_xlfn.XLOOKUP(B98,'Base stats'!B:B,'Base stats'!E:E),Groups!A:A,Groups!AQ:AQ)=1,AO98&lt;=0.35),8,12)</f>
        <v>12</v>
      </c>
      <c r="BH98" s="2" t="str">
        <f>IF(_xlfn.XLOOKUP(_xlfn.XLOOKUP(B98,'Base stats'!B:B,'Base stats'!E:E),Groups!A:A,Groups!D:D)=0,_xlfn.XLOOKUP(_xlfn.XLOOKUP(B98,'Base stats'!B:B,'Base stats'!E:E),Groups!A:A,Groups!AR:AR),"None")</f>
        <v>None</v>
      </c>
      <c r="BI98" s="2" t="str">
        <f>IF(AND(_xlfn.XLOOKUP(_xlfn.XLOOKUP(B98,'Base stats'!B:B,'Base stats'!E:E),Groups!A:A,Groups!AS:AS)=1,OR('Base stats'!Y98="Carnivore",'Base stats'!Y98="Omnivore")),"true","false")</f>
        <v>false</v>
      </c>
      <c r="BJ98" s="2" t="str">
        <f>IF(BI98="true",MROUND(IF(AND(AO98&gt;0.5,OR(_xlfn.XLOOKUP(_xlfn.XLOOKUP(B98,'Base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K98" s="2">
        <f t="shared" si="10"/>
        <v>0</v>
      </c>
      <c r="BL98" s="25" t="str">
        <f>IF(_xlfn.XLOOKUP(B98,'Base stats'!B:B,'Base stats'!AK:AK)="Standard","No",MROUND((_xlfn.XLOOKUP(B98,'Base stats'!B:B,'Base stats'!AK:AK)/3.6)/I98,0.1))</f>
        <v>No</v>
      </c>
      <c r="BM98" s="25" t="str">
        <f t="shared" si="11"/>
        <v>false</v>
      </c>
      <c r="BN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O98" s="25" t="str" cm="1">
        <f t="array" ref="BO98">IF(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 = "",
  "No",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
)</f>
        <v>No</v>
      </c>
      <c r="BP98" s="25" t="str">
        <f>IF(
   AND(
      'Base stats'!AK98="Standard",_xlfn.XLOOKUP(_xlfn.XLOOKUP(B98,'Base stats'!B:B,'Base stats'!E:E),Groups!A:A,Groups!AU:AU)=0,
      OR(
      BN98="True"
      )
   ),
   10,
   IF(
       OR(BL98&lt;&gt;"No",_xlfn.XLOOKUP(_xlfn.XLOOKUP(B98,'Base stats'!B:B,'Base stats'!E:E),Groups!A:A,Groups!AU:AU)=1),
      1,
      "No"
   )
)</f>
        <v>No</v>
      </c>
      <c r="BQ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stats'!AS:AS) * 1.8) * 2) * 2.5 + 10 + I98 * 2,5)+IF(_xlfn.XLOOKUP(B98,'Base stats'!B:B,'Base stats'!AH:AH)=1,50,0)</f>
        <v>65</v>
      </c>
      <c r="BR98" s="8">
        <f t="shared" si="12"/>
        <v>0.25</v>
      </c>
      <c r="BS98" s="8" t="str">
        <f>_xlfn.XLOOKUP(B98,'Base stats'!B:B,'Base stats'!AD:AD)</f>
        <v>No</v>
      </c>
      <c r="BT98" s="2" t="str">
        <f>IF(AND(J98&lt;=0.95,OR(_xlfn.XLOOKUP(B98,'Base stats'!B:B,'Base stats'!AH:AH)=1,_xlfn.XLOOKUP(B98,'Base stats'!B:B,'Base stats'!Y:Y)="Carnivore",_xlfn.XLOOKUP(B98,'Base stats'!B:B,'Base stats'!Y:Y)="Omnivore",BD98&gt;0.1)),"true","false")</f>
        <v>false</v>
      </c>
      <c r="BU98" s="2" t="str">
        <f>IF(_xlfn.XLOOKUP(B98,'Base stats'!B:B,'Base stats'!AF:AF)=1,"true","false")</f>
        <v>false</v>
      </c>
      <c r="BV98" s="25" t="str">
        <f>IF(E98="BaseInsect","AnimalInsect",
IF(J98&gt;0.95,"AnimalExotic",
_xlfn.TEXTJOIN(", ",TRUE,
IF(OR(_xlfn.XLOOKUP(B98,'Base stats'!B:B,'Base stats'!AJ:AJ)=1,AND(_xlfn.XLOOKUP(B98,'Base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stats'!AH:AH)=1,AND(BH98&lt;&gt;"None",BQ98&gt;=60),ISNUMBER(SEARCH("Attack target",BO98))),"AnimalFighter","")
)))</f>
        <v>AnimalCommon</v>
      </c>
      <c r="BW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),_xlfn.XLOOKUP(B98,B:B,BW:BW))</f>
        <v/>
      </c>
      <c r="BX98" s="25" t="str">
        <f>IF(_xlfn.XLOOKUP(B98,'Base stats'!B:B,'Base stats'!AG:AG)=1,"true","false")</f>
        <v>false</v>
      </c>
      <c r="BY98" s="25">
        <f>IF(_xlfn.XLOOKUP(B98,'Base stats'!B:B,'Base stats'!N:N)=1,"No",MAX(0.01,MIN(MROUND(IF(OR(_xlfn.XLOOKUP(B98,'Base stats'!B:B,'Base stats'!AJ:AJ)=1,AND(BI98="True",CB98="False")),POWER(10,3.47*LOG10(_xlfn.XLOOKUP(B98,'Base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stats'!AH:AH)=1),0.5,1)/100,0.025),1)))</f>
        <v>0.22500000000000001</v>
      </c>
      <c r="BZ98" s="25" t="str">
        <f>IF(P98="Standard","No",MAX(0.01,IF(_xlfn.XLOOKUP(B98,'Base stats'!B:B,'Base stats'!N:N)=0,MROUND(BY98*P98,0.05),MIN(1,MAX(0.025,MROUND(IF(OR(CB98="true",AND(BI98="false",BN98="false")),POWER(10,4.15*LOG10(_xlfn.XLOOKUP(B98,'Base stats'!B:B,'Base stats'!C:C)*1000)^-0.73),POWER(10,3.47*LOG10(_xlfn.XLOOKUP(B98,'Base stats'!B:B,'Base stats'!C:C)*1000)^-0.96))*IF(_xlfn.XLOOKUP(B98,'Base stats'!B:B,'Base stats'!AH:AH)=1,0.5,1)/100,0.025))))))</f>
        <v>No</v>
      </c>
      <c r="CA98" s="25" t="str">
        <f>IF(_xlfn.XLOOKUP(_xlfn.XLOOKUP(B98,'Base stats'!B:B,'Base stats'!E:E),Groups!A:A,Groups!AJ:AJ)="Mammal","True","False")</f>
        <v>False</v>
      </c>
      <c r="CB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C98" s="25" t="str">
        <f t="shared" si="13"/>
        <v>False</v>
      </c>
      <c r="CD98" s="25" t="str">
        <f>IF(_xlfn.XLOOKUP(_xlfn.XLOOKUP(B98,'Base stats'!B:B,'Base stats'!E:E),Groups!A:A,Groups!AX:AX),"True","False")</f>
        <v>False</v>
      </c>
      <c r="CE98" s="25" t="str">
        <f>IF(_xlfn.XLOOKUP(_xlfn.XLOOKUP(B98,'Base stats'!B:B,'Base stats'!E:E),Groups!A:A,Groups!AY:AY),"True","False")</f>
        <v>False</v>
      </c>
      <c r="CF98" s="25" t="str">
        <f>IF(_xlfn.XLOOKUP(_xlfn.XLOOKUP(B98,'Base stats'!B:B,'Base stats'!E:E),Groups!A:A,Groups!AW:AW),"True","False")</f>
        <v>False</v>
      </c>
      <c r="CG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H98" s="25" t="str">
        <f>IF(_xlfn.XLOOKUP(_xlfn.XLOOKUP(B98,'Base stats'!B:B,'Base stats'!E:E),Groups!A:A,Groups!BB:BB),"True","False")</f>
        <v>False</v>
      </c>
      <c r="CI98" s="25" t="str">
        <f>IF(_xlfn.XLOOKUP(_xlfn.XLOOKUP(B98,'Base stats'!B:B,'Base stats'!E:E),Groups!A:A,Groups!BA:BA),"True","False")</f>
        <v>False</v>
      </c>
    </row>
    <row r="99" spans="1:87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stats'!AI:AI)=0,BH99="None",_xlfn.XLOOKUP(_xlfn.XLOOKUP(B99,'Base stats'!B:B,'Base stats'!E:E),Groups!A:A,Groups!B:B)=0), (18 + BQ99 * 2.7) * 0.5,
    IF(AND(_xlfn.XLOOKUP(B99,'Base stats'!B:B,'Base stats'!AI:AI)=0,OR(AO99&lt;0.55,AND(BH99="Intermediate",_xlfn.XLOOKUP(_xlfn.XLOOKUP(B99,'Base stats'!B:B,'Base stats'!E:E),Groups!A:A,Groups!B:B)&lt;2))), (18 + BQ99 * 2.7),
      IF(OR(BH99="Advanced",_xlfn.XLOOKUP(B99,'Base stats'!B:B,'Base stats'!AI:AI)=1,_xlfn.XLOOKUP(_xlfn.XLOOKUP(B99,'Base stats'!B:B,'Base stats'!E:E),Groups!A:A,Groups!B:B)=2), (18 + BQ99 * 2.7) + 250, (18 + BQ99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IF(_xlfn.XLOOKUP(B99,'Base stats'!B:B,'Base stats'!AI:AI)=1,0.99,MIN(MROUND((1-0.6282*EXP(-0.459*AO99))*_xlfn.XLOOKUP(_xlfn.XLOOKUP(B99,'Base stats'!B:B,'Base stats'!E:E),Groups!A:A,Groups!C:C)*IF(_xlfn.XLOOKUP(B99,'Base stats'!B:B,'Base stats'!O:O)=1,0.5,IF(_xlfn.XLOOKUP(B99,'Base stats'!B:B,'Base stats'!O:O)=2,0,1)),0.05),0.985))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W99)),ISNUMBER(SEARCH("IceSheet",BW99))),-50,IF(OR(ISNUMBER(SEARCH("GlacialPlain",BW99)),ISNUMBER(SEARCH("Tundra",BW99))),-40,IF(OR(ISNUMBER(SEARCH("Alpine",BW99)),ISNUMBER(SEARCH("BorealForest",BW99)),ISNUMBER(SEARCH("ColdBog",BW99))),-30,IF(OR(ISNUMBER(SEARCH("TemperateForest",BW99)),ISNUMBER(SEARCH("TemperateSwamp",BW99))),-20,IF(_xlfn.XLOOKUP(_xlfn.XLOOKUP(B99,'Base stats'!B:B,'Base stats'!E:E),Groups!A:A,Groups!F:F)=1,-15,IF(OR(ISNUMBER(SEARCH("Desert",BW99)),ISNUMBER(SEARCH("ExtremeDesert",BW99))),-10,IF(OR(ISNUMBER(SEARCH("Grasslands",BW99)),ISNUMBER(SEARCH("TropicalRainforest",BW99)),ISNUMBER(SEARCH("TropicalSwamp",BW99))),10,0)))))))-IF(CB99="False",MIN(IFERROR(MAX(MROUND(LOG10(_xlfn.XLOOKUP(B99,'Base stats'!B:B,'Base stats'!C:C)^(2/3))*10,5),5),5),30))-_xlfn.XLOOKUP(B99,'Base stats'!B:B,'Base stats'!P:P)+IF(CB99="True",5,0)</f>
        <v>-25</v>
      </c>
      <c r="M99" s="2">
        <f>IF(OR(_xlfn.XLOOKUP(_xlfn.XLOOKUP(B99,'Base stats'!B:B,'Base stats'!E:E),Groups!A:A,Groups!G:G)=2,ISNUMBER(SEARCH("Desert",BW99)),ISNUMBER(SEARCH("ExtremeDesert",BW99)),ISNUMBER(SEARCH("LavaField",BW99))),50,IF(ISNUMBER(SEARCH("Grasslands",BW99)),45,IF(OR(_xlfn.XLOOKUP(_xlfn.XLOOKUP(B99,'Base stats'!B:B,'Base stats'!E:E),Groups!A:A,Groups!G:G)=1,ISNUMBER(SEARCH("TropicalRainforest",BW99)),ISNUMBER(SEARCH("TropicalSwamp",BW99))),40,IF(OR(ISNUMBER(SEARCH("TemperateForest",BW99)),ISNUMBER(SEARCH("TemperateSwamp",BW99))),35,IF(OR(ISNUMBER(SEARCH("Alpine",BW99)),ISNUMBER(SEARCH("BorealForest",BW99)),ISNUMBER(SEARCH("ColdBog",BW99))),30,IF(ISNUMBER(OR(ISNUMBER(SEARCH("GlacialPlain",BW99)),SEARCH("Tundra",BW99))),25,IF(OR(ISNUMBER(SEARCH("SeaIce",BW99)),ISNUMBER(SEARCH("IceSheet",BW99)),ISNUMBER(SEARCH("TropicalSwamp",BW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stats'!AO:AO))*(AO99^0.5)+(_xlfn.XLOOKUP(B99,'Base stats'!B:B,'Base stats'!AO:AO)/1000)^(2/3)+_xlfn.XLOOKUP(B99,'Base stats'!B:B,'Base stats'!AX:AX)/2)+0.5,0.5)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stats'!AP:AP))*(AO99^0.5)+(_xlfn.XLOOKUP(B99,'Base stats'!B:B,'Base stats'!AP:AP)/1000)^(2/3)+_xlfn.XLOOKUP(B99,'Base stats'!B:B,'Base stats'!AX:AX))+_xlfn.XLOOKUP(B99,'Base stats'!B:B,'Base stats'!AV:AV)+0.5,0.5))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stats'!AR:AR))*(AO99^0.5)+(_xlfn.XLOOKUP(B99,'Base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stats'!AQ:AQ)="No","No",MROUND((LOG10(_xlfn.XLOOKUP(B99,'Base stats'!B:B,'Base stats'!AQ:AQ))*(AO99^0.75)+(_xlfn.XLOOKUP(B99,'Base stats'!B:B,'Base stats'!AQ:AQ)/1000)^(2/3)+_xlfn.XLOOKUP(B99,'Base stats'!B:B,'Base stats'!AU:AU)+_xlfn.XLOOKUP(B99,'Base stats'!B:B,'Base stats'!AX:AX))+0.5,0.5))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stats'!AP:AP))*(AO99^0.75)+(_xlfn.XLOOKUP(B99,'Base stats'!B:B,'Base stats'!AP:AP)/1000)^(2/3)+_xlfn.XLOOKUP(B99,'Base stats'!B:B,'Base stats'!AV:AV)+_xlfn.XLOOKUP(B99,'Base stats'!B:B,'Base stats'!AX:AX))+0.5,0.5))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MAX(0.01,MROUND(IF(CB99="True",0.196*(AO99*100*1000)^0.889,IF(_xlfn.XLOOKUP(_xlfn.XLOOKUP(B99,'Base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stats'!AE:AE)</f>
        <v>Leather_Dog</v>
      </c>
      <c r="BB99" s="23" t="str">
        <f>_xlfn.XLOOKUP(_xlfn.XLOOKUP(B99,'Base stats'!B:B,'Base stats'!E:E),Groups!A:A,Groups!AL:AL)</f>
        <v>QuadrupedAnimalWithPawsAndTail</v>
      </c>
      <c r="BC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D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E99" s="2" t="str">
        <f>IF(J99&gt;0.3,"No",_xlfn.XLOOKUP(_xlfn.XLOOKUP(Animals!B99,'Base stats'!B:B,'Base stats'!E:E),Groups!A:A,Groups!AP:AP))</f>
        <v>No</v>
      </c>
      <c r="BF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+ 24*(1-IF(BE99="No",0,BE99)) + 16/3, 12),"No")</f>
        <v>No</v>
      </c>
      <c r="BG99" s="2">
        <f>IF(AND(_xlfn.XLOOKUP(_xlfn.XLOOKUP(B99,'Base stats'!B:B,'Base stats'!E:E),Groups!A:A,Groups!AQ:AQ)=1,AO99&lt;=0.35),8,12)</f>
        <v>12</v>
      </c>
      <c r="BH99" s="2" t="str">
        <f>IF(_xlfn.XLOOKUP(_xlfn.XLOOKUP(B99,'Base stats'!B:B,'Base stats'!E:E),Groups!A:A,Groups!D:D)=0,_xlfn.XLOOKUP(_xlfn.XLOOKUP(B99,'Base stats'!B:B,'Base stats'!E:E),Groups!A:A,Groups!AR:AR),"None")</f>
        <v>Advanced</v>
      </c>
      <c r="BI99" s="2" t="str">
        <f>IF(AND(_xlfn.XLOOKUP(_xlfn.XLOOKUP(B99,'Base stats'!B:B,'Base stats'!E:E),Groups!A:A,Groups!AS:AS)=1,OR('Base stats'!Y99="Carnivore",'Base stats'!Y99="Omnivore")),"true","false")</f>
        <v>true</v>
      </c>
      <c r="BJ99" s="2">
        <f>IF(BI99="true",MROUND(IF(AND(AO99&gt;0.5,OR(_xlfn.XLOOKUP(_xlfn.XLOOKUP(B99,'Base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K99" s="2">
        <f t="shared" si="10"/>
        <v>1</v>
      </c>
      <c r="BL99" s="25" t="str">
        <f>IF(_xlfn.XLOOKUP(B99,'Base stats'!B:B,'Base stats'!AK:AK)="Standard","No",MROUND((_xlfn.XLOOKUP(B99,'Base stats'!B:B,'Base stats'!AK:AK)/3.6)/I99,0.1))</f>
        <v>No</v>
      </c>
      <c r="BM99" s="25" t="str">
        <f t="shared" si="11"/>
        <v>false</v>
      </c>
      <c r="BN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O99" s="25" t="str" cm="1">
        <f t="array" ref="BO99">IF(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 = "",
  "No",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
)</f>
        <v>AttackTarget, Forage</v>
      </c>
      <c r="BP99" s="25" t="str">
        <f>IF(
   AND(
      'Base stats'!AK99="Standard",_xlfn.XLOOKUP(_xlfn.XLOOKUP(B99,'Base stats'!B:B,'Base stats'!E:E),Groups!A:A,Groups!AU:AU)=0,
      OR(
      BN99="True"
      )
   ),
   10,
   IF(
       OR(BL99&lt;&gt;"No",_xlfn.XLOOKUP(_xlfn.XLOOKUP(B99,'Base stats'!B:B,'Base stats'!E:E),Groups!A:A,Groups!AU:AU)=1),
      1,
      "No"
   )
)</f>
        <v>No</v>
      </c>
      <c r="BQ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stats'!AS:AS) * 1.8) * 2) * 2.5 + 10 + I99 * 2,5)+IF(_xlfn.XLOOKUP(B99,'Base stats'!B:B,'Base stats'!AH:AH)=1,50,0)</f>
        <v>95</v>
      </c>
      <c r="BR99" s="8">
        <f t="shared" si="12"/>
        <v>0.55000000000000004</v>
      </c>
      <c r="BS99" s="8" t="str">
        <f>_xlfn.XLOOKUP(B99,'Base stats'!B:B,'Base stats'!AD:AD)</f>
        <v>3~8</v>
      </c>
      <c r="BT99" s="2" t="str">
        <f>IF(AND(J99&lt;=0.95,OR(_xlfn.XLOOKUP(B99,'Base stats'!B:B,'Base stats'!AH:AH)=1,_xlfn.XLOOKUP(B99,'Base stats'!B:B,'Base stats'!Y:Y)="Carnivore",_xlfn.XLOOKUP(B99,'Base stats'!B:B,'Base stats'!Y:Y)="Omnivore",BD99&gt;0.1)),"true","false")</f>
        <v>true</v>
      </c>
      <c r="BU99" s="2" t="str">
        <f>IF(_xlfn.XLOOKUP(B99,'Base stats'!B:B,'Base stats'!AF:AF)=1,"true","false")</f>
        <v>false</v>
      </c>
      <c r="BV99" s="25" t="str">
        <f>IF(E99="BaseInsect","AnimalInsect",
IF(J99&gt;0.95,"AnimalExotic",
_xlfn.TEXTJOIN(", ",TRUE,
IF(OR(_xlfn.XLOOKUP(B99,'Base stats'!B:B,'Base stats'!AJ:AJ)=1,AND(_xlfn.XLOOKUP(B99,'Base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stats'!AH:AH)=1,AND(BH99&lt;&gt;"None",BQ99&gt;=60),ISNUMBER(SEARCH("Attack target",BO99))),"AnimalFighter","")
)))</f>
        <v>AnimalCommon, AnimalFighter</v>
      </c>
      <c r="BW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),_xlfn.XLOOKUP(B99,B:B,BW:BW))</f>
        <v>Scarlands</v>
      </c>
      <c r="BX99" s="25" t="str">
        <f>IF(_xlfn.XLOOKUP(B99,'Base stats'!B:B,'Base stats'!AG:AG)=1,"true","false")</f>
        <v>false</v>
      </c>
      <c r="BY99" s="25">
        <f>IF(_xlfn.XLOOKUP(B99,'Base stats'!B:B,'Base stats'!N:N)=1,"No",MAX(0.01,MIN(MROUND(IF(OR(_xlfn.XLOOKUP(B99,'Base stats'!B:B,'Base stats'!AJ:AJ)=1,AND(BI99="True",CB99="False")),POWER(10,3.47*LOG10(_xlfn.XLOOKUP(B99,'Base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stats'!AH:AH)=1),0.5,1)/100,0.025),1)))</f>
        <v>0.05</v>
      </c>
      <c r="BZ99" s="25">
        <f>IF(P99="Standard","No",MAX(0.01,IF(_xlfn.XLOOKUP(B99,'Base stats'!B:B,'Base stats'!N:N)=0,MROUND(BY99*P99,0.05),MIN(1,MAX(0.025,MROUND(IF(OR(CB99="true",AND(BI99="false",BN99="false")),POWER(10,4.15*LOG10(_xlfn.XLOOKUP(B99,'Base stats'!B:B,'Base stats'!C:C)*1000)^-0.73),POWER(10,3.47*LOG10(_xlfn.XLOOKUP(B99,'Base stats'!B:B,'Base stats'!C:C)*1000)^-0.96))*IF(_xlfn.XLOOKUP(B99,'Base stats'!B:B,'Base stats'!AH:AH)=1,0.5,1)/100,0.025))))))</f>
        <v>0.05</v>
      </c>
      <c r="CA99" s="25" t="str">
        <f>IF(_xlfn.XLOOKUP(_xlfn.XLOOKUP(B99,'Base stats'!B:B,'Base stats'!E:E),Groups!A:A,Groups!AJ:AJ)="Mammal","True","False")</f>
        <v>True</v>
      </c>
      <c r="CB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C99" s="25" t="str">
        <f t="shared" si="13"/>
        <v>False</v>
      </c>
      <c r="CD99" s="25" t="str">
        <f>IF(_xlfn.XLOOKUP(_xlfn.XLOOKUP(B99,'Base stats'!B:B,'Base stats'!E:E),Groups!A:A,Groups!AX:AX),"True","False")</f>
        <v>False</v>
      </c>
      <c r="CE99" s="25" t="str">
        <f>IF(_xlfn.XLOOKUP(_xlfn.XLOOKUP(B99,'Base stats'!B:B,'Base stats'!E:E),Groups!A:A,Groups!AY:AY),"True","False")</f>
        <v>False</v>
      </c>
      <c r="CF99" s="25" t="str">
        <f>IF(_xlfn.XLOOKUP(_xlfn.XLOOKUP(B99,'Base stats'!B:B,'Base stats'!E:E),Groups!A:A,Groups!AW:AW),"True","False")</f>
        <v>False</v>
      </c>
      <c r="CG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H99" s="25" t="str">
        <f>IF(_xlfn.XLOOKUP(_xlfn.XLOOKUP(B99,'Base stats'!B:B,'Base stats'!E:E),Groups!A:A,Groups!BB:BB),"True","False")</f>
        <v>True</v>
      </c>
      <c r="CI99" s="25" t="str">
        <f>IF(_xlfn.XLOOKUP(_xlfn.XLOOKUP(B99,'Base stats'!B:B,'Base stats'!E:E),Groups!A:A,Groups!BA:BA),"True","False")</f>
        <v>False</v>
      </c>
    </row>
    <row r="100" spans="1:87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stats'!AI:AI)=0,BH100="None",_xlfn.XLOOKUP(_xlfn.XLOOKUP(B100,'Base stats'!B:B,'Base stats'!E:E),Groups!A:A,Groups!B:B)=0), (18 + BQ100 * 2.7) * 0.5,
    IF(AND(_xlfn.XLOOKUP(B100,'Base stats'!B:B,'Base stats'!AI:AI)=0,OR(AO100&lt;0.55,AND(BH100="Intermediate",_xlfn.XLOOKUP(_xlfn.XLOOKUP(B100,'Base stats'!B:B,'Base stats'!E:E),Groups!A:A,Groups!B:B)&lt;2))), (18 + BQ100 * 2.7),
      IF(OR(BH100="Advanced",_xlfn.XLOOKUP(B100,'Base stats'!B:B,'Base stats'!AI:AI)=1,_xlfn.XLOOKUP(_xlfn.XLOOKUP(B100,'Base stats'!B:B,'Base stats'!E:E),Groups!A:A,Groups!B:B)=2), (18 + BQ100 * 2.7) + 250, (18 + BQ100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IF(_xlfn.XLOOKUP(B100,'Base stats'!B:B,'Base stats'!AI:AI)=1,0.99,MIN(MROUND((1-0.6282*EXP(-0.459*AO100))*_xlfn.XLOOKUP(_xlfn.XLOOKUP(B100,'Base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W100)),ISNUMBER(SEARCH("IceSheet",BW100))),-50,IF(OR(ISNUMBER(SEARCH("GlacialPlain",BW100)),ISNUMBER(SEARCH("Tundra",BW100))),-40,IF(OR(ISNUMBER(SEARCH("Alpine",BW100)),ISNUMBER(SEARCH("BorealForest",BW100)),ISNUMBER(SEARCH("ColdBog",BW100))),-30,IF(OR(ISNUMBER(SEARCH("TemperateForest",BW100)),ISNUMBER(SEARCH("TemperateSwamp",BW100))),-20,IF(_xlfn.XLOOKUP(_xlfn.XLOOKUP(B100,'Base stats'!B:B,'Base stats'!E:E),Groups!A:A,Groups!F:F)=1,-15,IF(OR(ISNUMBER(SEARCH("Desert",BW100)),ISNUMBER(SEARCH("ExtremeDesert",BW100))),-10,IF(OR(ISNUMBER(SEARCH("Grasslands",BW100)),ISNUMBER(SEARCH("TropicalRainforest",BW100)),ISNUMBER(SEARCH("TropicalSwamp",BW100))),10,0)))))))-IF(CB100="False",MIN(IFERROR(MAX(MROUND(LOG10(_xlfn.XLOOKUP(B100,'Base stats'!B:B,'Base stats'!C:C)^(2/3))*10,5),5),5),30))-_xlfn.XLOOKUP(B100,'Base stats'!B:B,'Base stats'!P:P)+IF(CB100="True",5,0)</f>
        <v>-50</v>
      </c>
      <c r="M100" s="2">
        <f>IF(OR(_xlfn.XLOOKUP(_xlfn.XLOOKUP(B100,'Base stats'!B:B,'Base stats'!E:E),Groups!A:A,Groups!G:G)=2,ISNUMBER(SEARCH("Desert",BW100)),ISNUMBER(SEARCH("ExtremeDesert",BW100)),ISNUMBER(SEARCH("LavaField",BW100))),50,IF(ISNUMBER(SEARCH("Grasslands",BW100)),45,IF(OR(_xlfn.XLOOKUP(_xlfn.XLOOKUP(B100,'Base stats'!B:B,'Base stats'!E:E),Groups!A:A,Groups!G:G)=1,ISNUMBER(SEARCH("TropicalRainforest",BW100)),ISNUMBER(SEARCH("TropicalSwamp",BW100))),40,IF(OR(ISNUMBER(SEARCH("TemperateForest",BW100)),ISNUMBER(SEARCH("TemperateSwamp",BW100))),35,IF(OR(ISNUMBER(SEARCH("Alpine",BW100)),ISNUMBER(SEARCH("BorealForest",BW100)),ISNUMBER(SEARCH("ColdBog",BW100))),30,IF(ISNUMBER(OR(ISNUMBER(SEARCH("GlacialPlain",BW100)),SEARCH("Tundra",BW100))),25,IF(OR(ISNUMBER(SEARCH("SeaIce",BW100)),ISNUMBER(SEARCH("IceSheet",BW100)),ISNUMBER(SEARCH("TropicalSwamp",BW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stats'!AO:AO))*(AO100^0.5)+(_xlfn.XLOOKUP(B100,'Base stats'!B:B,'Base stats'!AO:AO)/1000)^(2/3)+_xlfn.XLOOKUP(B100,'Base stats'!B:B,'Base stats'!AX:AX)/2)+0.5,0.5)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stats'!AP:AP))*(AO100^0.5)+(_xlfn.XLOOKUP(B100,'Base stats'!B:B,'Base stats'!AP:AP)/1000)^(2/3)+_xlfn.XLOOKUP(B100,'Base stats'!B:B,'Base stats'!AX:AX))+_xlfn.XLOOKUP(B100,'Base stats'!B:B,'Base stats'!AV:AV)+0.5,0.5))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stats'!AR:AR))*(AO100^0.5)+(_xlfn.XLOOKUP(B100,'Base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stats'!AQ:AQ)="No","No",MROUND((LOG10(_xlfn.XLOOKUP(B100,'Base stats'!B:B,'Base stats'!AQ:AQ))*(AO100^0.75)+(_xlfn.XLOOKUP(B100,'Base stats'!B:B,'Base stats'!AQ:AQ)/1000)^(2/3)+_xlfn.XLOOKUP(B100,'Base stats'!B:B,'Base stats'!AU:AU)+_xlfn.XLOOKUP(B100,'Base stats'!B:B,'Base stats'!AX:AX))+0.5,0.5))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stats'!AP:AP))*(AO100^0.75)+(_xlfn.XLOOKUP(B100,'Base stats'!B:B,'Base stats'!AP:AP)/1000)^(2/3)+_xlfn.XLOOKUP(B100,'Base stats'!B:B,'Base stats'!AV:AV)+_xlfn.XLOOKUP(B100,'Base stats'!B:B,'Base stats'!AX:AX))+0.5,0.5))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MAX(0.01,MROUND(IF(CB100="True",0.196*(AO100*100*1000)^0.889,IF(_xlfn.XLOOKUP(_xlfn.XLOOKUP(B100,'Base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stats'!AE:AE)</f>
        <v>Leather_Wolf</v>
      </c>
      <c r="BB100" s="23" t="str">
        <f>_xlfn.XLOOKUP(_xlfn.XLOOKUP(B100,'Base stats'!B:B,'Base stats'!E:E),Groups!A:A,Groups!AL:AL)</f>
        <v>QuadrupedAnimalWithPawsAndTail</v>
      </c>
      <c r="BC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D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E100" s="2" t="str">
        <f>IF(J100&gt;0.3,"No",_xlfn.XLOOKUP(_xlfn.XLOOKUP(Animals!B100,'Base stats'!B:B,'Base stats'!E:E),Groups!A:A,Groups!AP:AP))</f>
        <v>No</v>
      </c>
      <c r="BF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+ 24*(1-IF(BE100="No",0,BE100)) + 16/3, 12),"No")</f>
        <v>No</v>
      </c>
      <c r="BG100" s="2">
        <f>IF(AND(_xlfn.XLOOKUP(_xlfn.XLOOKUP(B100,'Base stats'!B:B,'Base stats'!E:E),Groups!A:A,Groups!AQ:AQ)=1,AO100&lt;=0.35),8,12)</f>
        <v>12</v>
      </c>
      <c r="BH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I100" s="2" t="str">
        <f>IF(AND(_xlfn.XLOOKUP(_xlfn.XLOOKUP(B100,'Base stats'!B:B,'Base stats'!E:E),Groups!A:A,Groups!AS:AS)=1,OR('Base stats'!Y100="Carnivore",'Base stats'!Y100="Omnivore")),"true","false")</f>
        <v>true</v>
      </c>
      <c r="BJ100" s="2">
        <f>IF(BI100="true",MROUND(IF(AND(AO100&gt;0.5,OR(_xlfn.XLOOKUP(_xlfn.XLOOKUP(B100,'Base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K100" s="2">
        <f t="shared" si="10"/>
        <v>1</v>
      </c>
      <c r="BL100" s="25" t="str">
        <f>IF(_xlfn.XLOOKUP(B100,'Base stats'!B:B,'Base stats'!AK:AK)="Standard","No",MROUND((_xlfn.XLOOKUP(B100,'Base stats'!B:B,'Base stats'!AK:AK)/3.6)/I100,0.1))</f>
        <v>No</v>
      </c>
      <c r="BM100" s="25" t="str">
        <f t="shared" si="11"/>
        <v>false</v>
      </c>
      <c r="BN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O100" s="25" t="str" cm="1">
        <f t="array" ref="BO100">IF(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 = "",
  "No",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
)</f>
        <v>AttackTarget</v>
      </c>
      <c r="BP100" s="25" t="str">
        <f>IF(
   AND(
      'Base stats'!AK100="Standard",_xlfn.XLOOKUP(_xlfn.XLOOKUP(B100,'Base stats'!B:B,'Base stats'!E:E),Groups!A:A,Groups!AU:AU)=0,
      OR(
      BN100="True"
      )
   ),
   10,
   IF(
       OR(BL100&lt;&gt;"No",_xlfn.XLOOKUP(_xlfn.XLOOKUP(B100,'Base stats'!B:B,'Base stats'!E:E),Groups!A:A,Groups!AU:AU)=1),
      1,
      "No"
   )
)</f>
        <v>No</v>
      </c>
      <c r="BQ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stats'!AS:AS) * 1.8) * 2) * 2.5 + 10 + I100 * 2,5)+IF(_xlfn.XLOOKUP(B100,'Base stats'!B:B,'Base stats'!AH:AH)=1,50,0)</f>
        <v>115</v>
      </c>
      <c r="BR100" s="8">
        <f t="shared" si="12"/>
        <v>0.65</v>
      </c>
      <c r="BS100" s="8" t="str">
        <f>_xlfn.XLOOKUP(B100,'Base stats'!B:B,'Base stats'!AD:AD)</f>
        <v>2~6</v>
      </c>
      <c r="BT100" s="2" t="str">
        <f>IF(AND(J100&lt;=0.95,OR(_xlfn.XLOOKUP(B100,'Base stats'!B:B,'Base stats'!AH:AH)=1,_xlfn.XLOOKUP(B100,'Base stats'!B:B,'Base stats'!Y:Y)="Carnivore",_xlfn.XLOOKUP(B100,'Base stats'!B:B,'Base stats'!Y:Y)="Omnivore",BD100&gt;0.1)),"true","false")</f>
        <v>true</v>
      </c>
      <c r="BU100" s="2" t="str">
        <f>IF(_xlfn.XLOOKUP(B100,'Base stats'!B:B,'Base stats'!AF:AF)=1,"true","false")</f>
        <v>false</v>
      </c>
      <c r="BV100" s="25" t="str">
        <f>IF(E100="BaseInsect","AnimalInsect",
IF(J100&gt;0.95,"AnimalExotic",
_xlfn.TEXTJOIN(", ",TRUE,
IF(OR(_xlfn.XLOOKUP(B100,'Base stats'!B:B,'Base stats'!AJ:AJ)=1,AND(_xlfn.XLOOKUP(B100,'Base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stats'!AH:AH)=1,AND(BH100&lt;&gt;"None",BQ100&gt;=60),ISNUMBER(SEARCH("Attack target",BO100))),"AnimalFighter","")
)))</f>
        <v>AnimalCommon, AnimalFighter</v>
      </c>
      <c r="BW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),_xlfn.XLOOKUP(B100,B:B,BW:BW))</f>
        <v>GlacialPlain</v>
      </c>
      <c r="BX100" s="25" t="str">
        <f>IF(_xlfn.XLOOKUP(B100,'Base stats'!B:B,'Base stats'!AG:AG)=1,"true","false")</f>
        <v>false</v>
      </c>
      <c r="BY100" s="25">
        <f>IF(_xlfn.XLOOKUP(B100,'Base stats'!B:B,'Base stats'!N:N)=1,"No",MAX(0.01,MIN(MROUND(IF(OR(_xlfn.XLOOKUP(B100,'Base stats'!B:B,'Base stats'!AJ:AJ)=1,AND(BI100="True",CB100="False")),POWER(10,3.47*LOG10(_xlfn.XLOOKUP(B100,'Base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stats'!AH:AH)=1),0.5,1)/100,0.025),1)))</f>
        <v>0.05</v>
      </c>
      <c r="BZ100" s="25" t="str">
        <f>IF(P100="Standard","No",MAX(0.01,IF(_xlfn.XLOOKUP(B100,'Base stats'!B:B,'Base stats'!N:N)=0,MROUND(BY100*P100,0.05),MIN(1,MAX(0.025,MROUND(IF(OR(CB100="true",AND(BI100="false",BN100="false")),POWER(10,4.15*LOG10(_xlfn.XLOOKUP(B100,'Base stats'!B:B,'Base stats'!C:C)*1000)^-0.73),POWER(10,3.47*LOG10(_xlfn.XLOOKUP(B100,'Base stats'!B:B,'Base stats'!C:C)*1000)^-0.96))*IF(_xlfn.XLOOKUP(B100,'Base stats'!B:B,'Base stats'!AH:AH)=1,0.5,1)/100,0.025))))))</f>
        <v>No</v>
      </c>
      <c r="CA100" s="25" t="str">
        <f>IF(_xlfn.XLOOKUP(_xlfn.XLOOKUP(B100,'Base stats'!B:B,'Base stats'!E:E),Groups!A:A,Groups!AJ:AJ)="Mammal","True","False")</f>
        <v>True</v>
      </c>
      <c r="CB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C100" s="25" t="str">
        <f t="shared" si="13"/>
        <v>False</v>
      </c>
      <c r="CD100" s="25" t="str">
        <f>IF(_xlfn.XLOOKUP(_xlfn.XLOOKUP(B100,'Base stats'!B:B,'Base stats'!E:E),Groups!A:A,Groups!AX:AX),"True","False")</f>
        <v>False</v>
      </c>
      <c r="CE100" s="25" t="str">
        <f>IF(_xlfn.XLOOKUP(_xlfn.XLOOKUP(B100,'Base stats'!B:B,'Base stats'!E:E),Groups!A:A,Groups!AY:AY),"True","False")</f>
        <v>False</v>
      </c>
      <c r="CF100" s="25" t="str">
        <f>IF(_xlfn.XLOOKUP(_xlfn.XLOOKUP(B100,'Base stats'!B:B,'Base stats'!E:E),Groups!A:A,Groups!AW:AW),"True","False")</f>
        <v>False</v>
      </c>
      <c r="CG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H100" s="25" t="str">
        <f>IF(_xlfn.XLOOKUP(_xlfn.XLOOKUP(B100,'Base stats'!B:B,'Base stats'!E:E),Groups!A:A,Groups!BB:BB),"True","False")</f>
        <v>True</v>
      </c>
      <c r="CI100" s="25" t="str">
        <f>IF(_xlfn.XLOOKUP(_xlfn.XLOOKUP(B100,'Base stats'!B:B,'Base stats'!E:E),Groups!A:A,Groups!BA:BA),"True","False")</f>
        <v>False</v>
      </c>
    </row>
    <row r="101" spans="1:87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stats'!AI:AI)=0,BH101="None",_xlfn.XLOOKUP(_xlfn.XLOOKUP(B101,'Base stats'!B:B,'Base stats'!E:E),Groups!A:A,Groups!B:B)=0), (18 + BQ101 * 2.7) * 0.5,
    IF(AND(_xlfn.XLOOKUP(B101,'Base stats'!B:B,'Base stats'!AI:AI)=0,OR(AO101&lt;0.55,AND(BH101="Intermediate",_xlfn.XLOOKUP(_xlfn.XLOOKUP(B101,'Base stats'!B:B,'Base stats'!E:E),Groups!A:A,Groups!B:B)&lt;2))), (18 + BQ101 * 2.7),
      IF(OR(BH101="Advanced",_xlfn.XLOOKUP(B101,'Base stats'!B:B,'Base stats'!AI:AI)=1,_xlfn.XLOOKUP(_xlfn.XLOOKUP(B101,'Base stats'!B:B,'Base stats'!E:E),Groups!A:A,Groups!B:B)=2), (18 + BQ101 * 2.7) + 250, (18 + BQ101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IF(_xlfn.XLOOKUP(B101,'Base stats'!B:B,'Base stats'!AI:AI)=1,0.99,MIN(MROUND((1-0.6282*EXP(-0.459*AO101))*_xlfn.XLOOKUP(_xlfn.XLOOKUP(B101,'Base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W101)),ISNUMBER(SEARCH("IceSheet",BW101))),-50,IF(OR(ISNUMBER(SEARCH("GlacialPlain",BW101)),ISNUMBER(SEARCH("Tundra",BW101))),-40,IF(OR(ISNUMBER(SEARCH("Alpine",BW101)),ISNUMBER(SEARCH("BorealForest",BW101)),ISNUMBER(SEARCH("ColdBog",BW101))),-30,IF(OR(ISNUMBER(SEARCH("TemperateForest",BW101)),ISNUMBER(SEARCH("TemperateSwamp",BW101))),-20,IF(_xlfn.XLOOKUP(_xlfn.XLOOKUP(B101,'Base stats'!B:B,'Base stats'!E:E),Groups!A:A,Groups!F:F)=1,-15,IF(OR(ISNUMBER(SEARCH("Desert",BW101)),ISNUMBER(SEARCH("ExtremeDesert",BW101))),-10,IF(OR(ISNUMBER(SEARCH("Grasslands",BW101)),ISNUMBER(SEARCH("TropicalRainforest",BW101)),ISNUMBER(SEARCH("TropicalSwamp",BW101))),10,0)))))))-IF(CB101="False",MIN(IFERROR(MAX(MROUND(LOG10(_xlfn.XLOOKUP(B101,'Base stats'!B:B,'Base stats'!C:C)^(2/3))*10,5),5),5),30))-_xlfn.XLOOKUP(B101,'Base stats'!B:B,'Base stats'!P:P)+IF(CB101="True",5,0)</f>
        <v>-5</v>
      </c>
      <c r="M101" s="2">
        <f>IF(OR(_xlfn.XLOOKUP(_xlfn.XLOOKUP(B101,'Base stats'!B:B,'Base stats'!E:E),Groups!A:A,Groups!G:G)=2,ISNUMBER(SEARCH("Desert",BW101)),ISNUMBER(SEARCH("ExtremeDesert",BW101)),ISNUMBER(SEARCH("LavaField",BW101))),50,IF(ISNUMBER(SEARCH("Grasslands",BW101)),45,IF(OR(_xlfn.XLOOKUP(_xlfn.XLOOKUP(B101,'Base stats'!B:B,'Base stats'!E:E),Groups!A:A,Groups!G:G)=1,ISNUMBER(SEARCH("TropicalRainforest",BW101)),ISNUMBER(SEARCH("TropicalSwamp",BW101))),40,IF(OR(ISNUMBER(SEARCH("TemperateForest",BW101)),ISNUMBER(SEARCH("TemperateSwamp",BW101))),35,IF(OR(ISNUMBER(SEARCH("Alpine",BW101)),ISNUMBER(SEARCH("BorealForest",BW101)),ISNUMBER(SEARCH("ColdBog",BW101))),30,IF(ISNUMBER(OR(ISNUMBER(SEARCH("GlacialPlain",BW101)),SEARCH("Tundra",BW101))),25,IF(OR(ISNUMBER(SEARCH("SeaIce",BW101)),ISNUMBER(SEARCH("IceSheet",BW101)),ISNUMBER(SEARCH("TropicalSwamp",BW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stats'!AO:AO))*(AO101^0.5)+(_xlfn.XLOOKUP(B101,'Base stats'!B:B,'Base stats'!AO:AO)/1000)^(2/3)+_xlfn.XLOOKUP(B101,'Base stats'!B:B,'Base stats'!AX:AX)/2)+0.5,0.5)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stats'!AP:AP))*(AO101^0.5)+(_xlfn.XLOOKUP(B101,'Base stats'!B:B,'Base stats'!AP:AP)/1000)^(2/3)+_xlfn.XLOOKUP(B101,'Base stats'!B:B,'Base stats'!AX:AX))+_xlfn.XLOOKUP(B101,'Base stats'!B:B,'Base stats'!AV:AV)+0.5,0.5))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stats'!AR:AR))*(AO101^0.5)+(_xlfn.XLOOKUP(B101,'Base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stats'!AQ:AQ)="No","No",MROUND((LOG10(_xlfn.XLOOKUP(B101,'Base stats'!B:B,'Base stats'!AQ:AQ))*(AO101^0.75)+(_xlfn.XLOOKUP(B101,'Base stats'!B:B,'Base stats'!AQ:AQ)/1000)^(2/3)+_xlfn.XLOOKUP(B101,'Base stats'!B:B,'Base stats'!AU:AU)+_xlfn.XLOOKUP(B101,'Base stats'!B:B,'Base stats'!AX:AX))+0.5,0.5))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stats'!AP:AP))*(AO101^0.75)+(_xlfn.XLOOKUP(B101,'Base stats'!B:B,'Base stats'!AP:AP)/1000)^(2/3)+_xlfn.XLOOKUP(B101,'Base stats'!B:B,'Base stats'!AV:AV)+_xlfn.XLOOKUP(B101,'Base stats'!B:B,'Base stats'!AX:AX))+0.5,0.5))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MAX(0.01,MROUND(IF(CB101="True",0.196*(AO101*100*1000)^0.889,IF(_xlfn.XLOOKUP(_xlfn.XLOOKUP(B101,'Base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stats'!AE:AE)</f>
        <v>No</v>
      </c>
      <c r="BB101" s="23" t="str">
        <f>_xlfn.XLOOKUP(_xlfn.XLOOKUP(B101,'Base stats'!B:B,'Base stats'!E:E),Groups!A:A,Groups!AL:AL)</f>
        <v>Crab</v>
      </c>
      <c r="BC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D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E101" s="2" t="str">
        <f>IF(J101&gt;0.3,"No",_xlfn.XLOOKUP(_xlfn.XLOOKUP(Animals!B101,'Base stats'!B:B,'Base stats'!E:E),Groups!A:A,Groups!AP:AP))</f>
        <v>No</v>
      </c>
      <c r="BF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+ 24*(1-IF(BE101="No",0,BE101)) + 16/3, 12),"No")</f>
        <v>No</v>
      </c>
      <c r="BG101" s="2">
        <f>IF(AND(_xlfn.XLOOKUP(_xlfn.XLOOKUP(B101,'Base stats'!B:B,'Base stats'!E:E),Groups!A:A,Groups!AQ:AQ)=1,AO101&lt;=0.35),8,12)</f>
        <v>12</v>
      </c>
      <c r="BH101" s="2" t="str">
        <f>IF(_xlfn.XLOOKUP(_xlfn.XLOOKUP(B101,'Base stats'!B:B,'Base stats'!E:E),Groups!A:A,Groups!D:D)=0,_xlfn.XLOOKUP(_xlfn.XLOOKUP(B101,'Base stats'!B:B,'Base stats'!E:E),Groups!A:A,Groups!AR:AR),"None")</f>
        <v>None</v>
      </c>
      <c r="BI101" s="2" t="str">
        <f>IF(AND(_xlfn.XLOOKUP(_xlfn.XLOOKUP(B101,'Base stats'!B:B,'Base stats'!E:E),Groups!A:A,Groups!AS:AS)=1,OR('Base stats'!Y101="Carnivore",'Base stats'!Y101="Omnivore")),"true","false")</f>
        <v>false</v>
      </c>
      <c r="BJ101" s="2" t="str">
        <f>IF(BI101="true",MROUND(IF(AND(AO101&gt;0.5,OR(_xlfn.XLOOKUP(_xlfn.XLOOKUP(B101,'Base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K101" s="2">
        <f t="shared" si="10"/>
        <v>0</v>
      </c>
      <c r="BL101" s="25" t="str">
        <f>IF(_xlfn.XLOOKUP(B101,'Base stats'!B:B,'Base stats'!AK:AK)="Standard","No",MROUND((_xlfn.XLOOKUP(B101,'Base stats'!B:B,'Base stats'!AK:AK)/3.6)/I101,0.1))</f>
        <v>No</v>
      </c>
      <c r="BM101" s="25" t="str">
        <f t="shared" si="11"/>
        <v>true</v>
      </c>
      <c r="BN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O101" s="25" t="str" cm="1">
        <f t="array" ref="BO101">IF(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 = "",
  "No",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
)</f>
        <v>No</v>
      </c>
      <c r="BP101" s="25">
        <f>IF(
   AND(
      'Base stats'!AK101="Standard",_xlfn.XLOOKUP(_xlfn.XLOOKUP(B101,'Base stats'!B:B,'Base stats'!E:E),Groups!A:A,Groups!AU:AU)=0,
      OR(
      BN101="True"
      )
   ),
   10,
   IF(
       OR(BL101&lt;&gt;"No",_xlfn.XLOOKUP(_xlfn.XLOOKUP(B101,'Base stats'!B:B,'Base stats'!E:E),Groups!A:A,Groups!AU:AU)=1),
      1,
      "No"
   )
)</f>
        <v>1</v>
      </c>
      <c r="BQ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stats'!AS:AS) * 1.8) * 2) * 2.5 + 10 + I101 * 2,5)+IF(_xlfn.XLOOKUP(B101,'Base stats'!B:B,'Base stats'!AH:AH)=1,50,0)</f>
        <v>25</v>
      </c>
      <c r="BR101" s="8">
        <f t="shared" si="12"/>
        <v>0.05</v>
      </c>
      <c r="BS101" s="8" t="str">
        <f>_xlfn.XLOOKUP(B101,'Base stats'!B:B,'Base stats'!AD:AD)</f>
        <v>No</v>
      </c>
      <c r="BT101" s="2" t="str">
        <f>IF(AND(J101&lt;=0.95,OR(_xlfn.XLOOKUP(B101,'Base stats'!B:B,'Base stats'!AH:AH)=1,_xlfn.XLOOKUP(B101,'Base stats'!B:B,'Base stats'!Y:Y)="Carnivore",_xlfn.XLOOKUP(B101,'Base stats'!B:B,'Base stats'!Y:Y)="Omnivore",BD101&gt;0.1)),"true","false")</f>
        <v>false</v>
      </c>
      <c r="BU101" s="2" t="str">
        <f>IF(_xlfn.XLOOKUP(B101,'Base stats'!B:B,'Base stats'!AF:AF)=1,"true","false")</f>
        <v>false</v>
      </c>
      <c r="BV101" s="25" t="str">
        <f>IF(E101="BaseInsect","AnimalInsect",
IF(J101&gt;0.95,"AnimalExotic",
_xlfn.TEXTJOIN(", ",TRUE,
IF(OR(_xlfn.XLOOKUP(B101,'Base stats'!B:B,'Base stats'!AJ:AJ)=1,AND(_xlfn.XLOOKUP(B101,'Base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stats'!AH:AH)=1,AND(BH101&lt;&gt;"None",BQ101&gt;=60),ISNUMBER(SEARCH("Attack target",BO101))),"AnimalFighter","")
)))</f>
        <v>AnimalCommon</v>
      </c>
      <c r="BW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),_xlfn.XLOOKUP(B101,B:B,BW:BW))</f>
        <v>TemperateForest TemperateSwamp AridShrubland Desert ExtremeDesert TropicalRainforest TropicalSwamp Grasslands Glowforest LavaField Scarlands</v>
      </c>
      <c r="BX101" s="25" t="str">
        <f>IF(_xlfn.XLOOKUP(B101,'Base stats'!B:B,'Base stats'!AG:AG)=1,"true","false")</f>
        <v>true</v>
      </c>
      <c r="BY101" s="25">
        <f>IF(_xlfn.XLOOKUP(B101,'Base stats'!B:B,'Base stats'!N:N)=1,"No",MAX(0.01,MIN(MROUND(IF(OR(_xlfn.XLOOKUP(B101,'Base stats'!B:B,'Base stats'!AJ:AJ)=1,AND(BI101="True",CB101="False")),POWER(10,3.47*LOG10(_xlfn.XLOOKUP(B101,'Base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stats'!AH:AH)=1),0.5,1)/100,0.025),1)))</f>
        <v>1</v>
      </c>
      <c r="BZ101" s="25" t="str">
        <f>IF(P101="Standard","No",MAX(0.01,IF(_xlfn.XLOOKUP(B101,'Base stats'!B:B,'Base stats'!N:N)=0,MROUND(BY101*P101,0.05),MIN(1,MAX(0.025,MROUND(IF(OR(CB101="true",AND(BI101="false",BN101="false")),POWER(10,4.15*LOG10(_xlfn.XLOOKUP(B101,'Base stats'!B:B,'Base stats'!C:C)*1000)^-0.73),POWER(10,3.47*LOG10(_xlfn.XLOOKUP(B101,'Base stats'!B:B,'Base stats'!C:C)*1000)^-0.96))*IF(_xlfn.XLOOKUP(B101,'Base stats'!B:B,'Base stats'!AH:AH)=1,0.5,1)/100,0.025))))))</f>
        <v>No</v>
      </c>
      <c r="CA101" s="25" t="str">
        <f>IF(_xlfn.XLOOKUP(_xlfn.XLOOKUP(B101,'Base stats'!B:B,'Base stats'!E:E),Groups!A:A,Groups!AJ:AJ)="Mammal","True","False")</f>
        <v>False</v>
      </c>
      <c r="CB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C101" s="25" t="str">
        <f t="shared" si="13"/>
        <v>False</v>
      </c>
      <c r="CD101" s="25" t="str">
        <f>IF(_xlfn.XLOOKUP(_xlfn.XLOOKUP(B101,'Base stats'!B:B,'Base stats'!E:E),Groups!A:A,Groups!AX:AX),"True","False")</f>
        <v>False</v>
      </c>
      <c r="CE101" s="25" t="str">
        <f>IF(_xlfn.XLOOKUP(_xlfn.XLOOKUP(B101,'Base stats'!B:B,'Base stats'!E:E),Groups!A:A,Groups!AY:AY),"True","False")</f>
        <v>False</v>
      </c>
      <c r="CF101" s="25" t="str">
        <f>IF(_xlfn.XLOOKUP(_xlfn.XLOOKUP(B101,'Base stats'!B:B,'Base stats'!E:E),Groups!A:A,Groups!AW:AW),"True","False")</f>
        <v>False</v>
      </c>
      <c r="CG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H101" s="25" t="str">
        <f>IF(_xlfn.XLOOKUP(_xlfn.XLOOKUP(B101,'Base stats'!B:B,'Base stats'!E:E),Groups!A:A,Groups!BB:BB),"True","False")</f>
        <v>False</v>
      </c>
      <c r="CI101" s="25" t="str">
        <f>IF(_xlfn.XLOOKUP(_xlfn.XLOOKUP(B101,'Base stats'!B:B,'Base stats'!E:E),Groups!A:A,Groups!BA:BA),"True","False")</f>
        <v>False</v>
      </c>
    </row>
    <row r="102" spans="1:87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stats'!AI:AI)=0,BH102="None",_xlfn.XLOOKUP(_xlfn.XLOOKUP(B102,'Base stats'!B:B,'Base stats'!E:E),Groups!A:A,Groups!B:B)=0), (18 + BQ102 * 2.7) * 0.5,
    IF(AND(_xlfn.XLOOKUP(B102,'Base stats'!B:B,'Base stats'!AI:AI)=0,OR(AO102&lt;0.55,AND(BH102="Intermediate",_xlfn.XLOOKUP(_xlfn.XLOOKUP(B102,'Base stats'!B:B,'Base stats'!E:E),Groups!A:A,Groups!B:B)&lt;2))), (18 + BQ102 * 2.7),
      IF(OR(BH102="Advanced",_xlfn.XLOOKUP(B102,'Base stats'!B:B,'Base stats'!AI:AI)=1,_xlfn.XLOOKUP(_xlfn.XLOOKUP(B102,'Base stats'!B:B,'Base stats'!E:E),Groups!A:A,Groups!B:B)=2), (18 + BQ102 * 2.7) + 250, (18 + BQ102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IF(_xlfn.XLOOKUP(B102,'Base stats'!B:B,'Base stats'!AI:AI)=1,0.99,MIN(MROUND((1-0.6282*EXP(-0.459*AO102))*_xlfn.XLOOKUP(_xlfn.XLOOKUP(B102,'Base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W102)),ISNUMBER(SEARCH("IceSheet",BW102))),-50,IF(OR(ISNUMBER(SEARCH("GlacialPlain",BW102)),ISNUMBER(SEARCH("Tundra",BW102))),-40,IF(OR(ISNUMBER(SEARCH("Alpine",BW102)),ISNUMBER(SEARCH("BorealForest",BW102)),ISNUMBER(SEARCH("ColdBog",BW102))),-30,IF(OR(ISNUMBER(SEARCH("TemperateForest",BW102)),ISNUMBER(SEARCH("TemperateSwamp",BW102))),-20,IF(_xlfn.XLOOKUP(_xlfn.XLOOKUP(B102,'Base stats'!B:B,'Base stats'!E:E),Groups!A:A,Groups!F:F)=1,-15,IF(OR(ISNUMBER(SEARCH("Desert",BW102)),ISNUMBER(SEARCH("ExtremeDesert",BW102))),-10,IF(OR(ISNUMBER(SEARCH("Grasslands",BW102)),ISNUMBER(SEARCH("TropicalRainforest",BW102)),ISNUMBER(SEARCH("TropicalSwamp",BW102))),10,0)))))))-IF(CB102="False",MIN(IFERROR(MAX(MROUND(LOG10(_xlfn.XLOOKUP(B102,'Base stats'!B:B,'Base stats'!C:C)^(2/3))*10,5),5),5),30))-_xlfn.XLOOKUP(B102,'Base stats'!B:B,'Base stats'!P:P)+IF(CB102="True",5,0)</f>
        <v>-5</v>
      </c>
      <c r="M102" s="2">
        <f>IF(OR(_xlfn.XLOOKUP(_xlfn.XLOOKUP(B102,'Base stats'!B:B,'Base stats'!E:E),Groups!A:A,Groups!G:G)=2,ISNUMBER(SEARCH("Desert",BW102)),ISNUMBER(SEARCH("ExtremeDesert",BW102)),ISNUMBER(SEARCH("LavaField",BW102))),50,IF(ISNUMBER(SEARCH("Grasslands",BW102)),45,IF(OR(_xlfn.XLOOKUP(_xlfn.XLOOKUP(B102,'Base stats'!B:B,'Base stats'!E:E),Groups!A:A,Groups!G:G)=1,ISNUMBER(SEARCH("TropicalRainforest",BW102)),ISNUMBER(SEARCH("TropicalSwamp",BW102))),40,IF(OR(ISNUMBER(SEARCH("TemperateForest",BW102)),ISNUMBER(SEARCH("TemperateSwamp",BW102))),35,IF(OR(ISNUMBER(SEARCH("Alpine",BW102)),ISNUMBER(SEARCH("BorealForest",BW102)),ISNUMBER(SEARCH("ColdBog",BW102))),30,IF(ISNUMBER(OR(ISNUMBER(SEARCH("GlacialPlain",BW102)),SEARCH("Tundra",BW102))),25,IF(OR(ISNUMBER(SEARCH("SeaIce",BW102)),ISNUMBER(SEARCH("IceSheet",BW102)),ISNUMBER(SEARCH("TropicalSwamp",BW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stats'!AO:AO))*(AO102^0.5)+(_xlfn.XLOOKUP(B102,'Base stats'!B:B,'Base stats'!AO:AO)/1000)^(2/3)+_xlfn.XLOOKUP(B102,'Base stats'!B:B,'Base stats'!AX:AX)/2)+0.5,0.5)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stats'!AP:AP))*(AO102^0.5)+(_xlfn.XLOOKUP(B102,'Base stats'!B:B,'Base stats'!AP:AP)/1000)^(2/3)+_xlfn.XLOOKUP(B102,'Base stats'!B:B,'Base stats'!AX:AX))+_xlfn.XLOOKUP(B102,'Base stats'!B:B,'Base stats'!AV:AV)+0.5,0.5))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stats'!AR:AR))*(AO102^0.5)+(_xlfn.XLOOKUP(B102,'Base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stats'!AQ:AQ)="No","No",MROUND((LOG10(_xlfn.XLOOKUP(B102,'Base stats'!B:B,'Base stats'!AQ:AQ))*(AO102^0.75)+(_xlfn.XLOOKUP(B102,'Base stats'!B:B,'Base stats'!AQ:AQ)/1000)^(2/3)+_xlfn.XLOOKUP(B102,'Base stats'!B:B,'Base stats'!AU:AU)+_xlfn.XLOOKUP(B102,'Base stats'!B:B,'Base stats'!AX:AX))+0.5,0.5))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stats'!AP:AP))*(AO102^0.75)+(_xlfn.XLOOKUP(B102,'Base stats'!B:B,'Base stats'!AP:AP)/1000)^(2/3)+_xlfn.XLOOKUP(B102,'Base stats'!B:B,'Base stats'!AV:AV)+_xlfn.XLOOKUP(B102,'Base stats'!B:B,'Base stats'!AX:AX))+0.5,0.5))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MAX(0.01,MROUND(IF(CB102="True",0.196*(AO102*100*1000)^0.889,IF(_xlfn.XLOOKUP(_xlfn.XLOOKUP(B102,'Base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stats'!AE:AE)</f>
        <v>No</v>
      </c>
      <c r="BB102" s="23" t="str">
        <f>_xlfn.XLOOKUP(_xlfn.XLOOKUP(B102,'Base stats'!B:B,'Base stats'!E:E),Groups!A:A,Groups!AL:AL)</f>
        <v>Crab</v>
      </c>
      <c r="BC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D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E102" s="2" t="str">
        <f>IF(J102&gt;0.3,"No",_xlfn.XLOOKUP(_xlfn.XLOOKUP(Animals!B102,'Base stats'!B:B,'Base stats'!E:E),Groups!A:A,Groups!AP:AP))</f>
        <v>No</v>
      </c>
      <c r="BF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+ 24*(1-IF(BE102="No",0,BE102)) + 16/3, 12),"No")</f>
        <v>No</v>
      </c>
      <c r="BG102" s="2">
        <f>IF(AND(_xlfn.XLOOKUP(_xlfn.XLOOKUP(B102,'Base stats'!B:B,'Base stats'!E:E),Groups!A:A,Groups!AQ:AQ)=1,AO102&lt;=0.35),8,12)</f>
        <v>12</v>
      </c>
      <c r="BH102" s="2" t="str">
        <f>IF(_xlfn.XLOOKUP(_xlfn.XLOOKUP(B102,'Base stats'!B:B,'Base stats'!E:E),Groups!A:A,Groups!D:D)=0,_xlfn.XLOOKUP(_xlfn.XLOOKUP(B102,'Base stats'!B:B,'Base stats'!E:E),Groups!A:A,Groups!AR:AR),"None")</f>
        <v>None</v>
      </c>
      <c r="BI102" s="2" t="str">
        <f>IF(AND(_xlfn.XLOOKUP(_xlfn.XLOOKUP(B102,'Base stats'!B:B,'Base stats'!E:E),Groups!A:A,Groups!AS:AS)=1,OR('Base stats'!Y102="Carnivore",'Base stats'!Y102="Omnivore")),"true","false")</f>
        <v>false</v>
      </c>
      <c r="BJ102" s="2" t="str">
        <f>IF(BI102="true",MROUND(IF(AND(AO102&gt;0.5,OR(_xlfn.XLOOKUP(_xlfn.XLOOKUP(B102,'Base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K102" s="2">
        <f t="shared" si="10"/>
        <v>0</v>
      </c>
      <c r="BL102" s="25" t="str">
        <f>IF(_xlfn.XLOOKUP(B102,'Base stats'!B:B,'Base stats'!AK:AK)="Standard","No",MROUND((_xlfn.XLOOKUP(B102,'Base stats'!B:B,'Base stats'!AK:AK)/3.6)/I102,0.1))</f>
        <v>No</v>
      </c>
      <c r="BM102" s="25" t="str">
        <f t="shared" si="11"/>
        <v>true</v>
      </c>
      <c r="BN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O102" s="25" t="str" cm="1">
        <f t="array" ref="BO102">IF(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 = "",
  "No",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
)</f>
        <v>No</v>
      </c>
      <c r="BP102" s="25">
        <f>IF(
   AND(
      'Base stats'!AK102="Standard",_xlfn.XLOOKUP(_xlfn.XLOOKUP(B102,'Base stats'!B:B,'Base stats'!E:E),Groups!A:A,Groups!AU:AU)=0,
      OR(
      BN102="True"
      )
   ),
   10,
   IF(
       OR(BL102&lt;&gt;"No",_xlfn.XLOOKUP(_xlfn.XLOOKUP(B102,'Base stats'!B:B,'Base stats'!E:E),Groups!A:A,Groups!AU:AU)=1),
      1,
      "No"
   )
)</f>
        <v>1</v>
      </c>
      <c r="BQ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stats'!AS:AS) * 1.8) * 2) * 2.5 + 10 + I102 * 2,5)+IF(_xlfn.XLOOKUP(B102,'Base stats'!B:B,'Base stats'!AH:AH)=1,50,0)</f>
        <v>25</v>
      </c>
      <c r="BR102" s="8">
        <f t="shared" si="12"/>
        <v>0.05</v>
      </c>
      <c r="BS102" s="8" t="str">
        <f>_xlfn.XLOOKUP(B102,'Base stats'!B:B,'Base stats'!AD:AD)</f>
        <v>No</v>
      </c>
      <c r="BT102" s="2" t="str">
        <f>IF(AND(J102&lt;=0.95,OR(_xlfn.XLOOKUP(B102,'Base stats'!B:B,'Base stats'!AH:AH)=1,_xlfn.XLOOKUP(B102,'Base stats'!B:B,'Base stats'!Y:Y)="Carnivore",_xlfn.XLOOKUP(B102,'Base stats'!B:B,'Base stats'!Y:Y)="Omnivore",BD102&gt;0.1)),"true","false")</f>
        <v>false</v>
      </c>
      <c r="BU102" s="2" t="str">
        <f>IF(_xlfn.XLOOKUP(B102,'Base stats'!B:B,'Base stats'!AF:AF)=1,"true","false")</f>
        <v>false</v>
      </c>
      <c r="BV102" s="25" t="str">
        <f>IF(E102="BaseInsect","AnimalInsect",
IF(J102&gt;0.95,"AnimalExotic",
_xlfn.TEXTJOIN(", ",TRUE,
IF(OR(_xlfn.XLOOKUP(B102,'Base stats'!B:B,'Base stats'!AJ:AJ)=1,AND(_xlfn.XLOOKUP(B102,'Base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stats'!AH:AH)=1,AND(BH102&lt;&gt;"None",BQ102&gt;=60),ISNUMBER(SEARCH("Attack target",BO102))),"AnimalFighter","")
)))</f>
        <v>AnimalCommon</v>
      </c>
      <c r="BW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),_xlfn.XLOOKUP(B102,B:B,BW:BW))</f>
        <v>AridShrubland Desert ExtremeDesert TropicalRainforest TropicalSwamp Grasslands Glowforest LavaField</v>
      </c>
      <c r="BX102" s="25" t="str">
        <f>IF(_xlfn.XLOOKUP(B102,'Base stats'!B:B,'Base stats'!AG:AG)=1,"true","false")</f>
        <v>true</v>
      </c>
      <c r="BY102" s="25">
        <f>IF(_xlfn.XLOOKUP(B102,'Base stats'!B:B,'Base stats'!N:N)=1,"No",MAX(0.01,MIN(MROUND(IF(OR(_xlfn.XLOOKUP(B102,'Base stats'!B:B,'Base stats'!AJ:AJ)=1,AND(BI102="True",CB102="False")),POWER(10,3.47*LOG10(_xlfn.XLOOKUP(B102,'Base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stats'!AH:AH)=1),0.5,1)/100,0.025),1)))</f>
        <v>1</v>
      </c>
      <c r="BZ102" s="25" t="str">
        <f>IF(P102="Standard","No",MAX(0.01,IF(_xlfn.XLOOKUP(B102,'Base stats'!B:B,'Base stats'!N:N)=0,MROUND(BY102*P102,0.05),MIN(1,MAX(0.025,MROUND(IF(OR(CB102="true",AND(BI102="false",BN102="false")),POWER(10,4.15*LOG10(_xlfn.XLOOKUP(B102,'Base stats'!B:B,'Base stats'!C:C)*1000)^-0.73),POWER(10,3.47*LOG10(_xlfn.XLOOKUP(B102,'Base stats'!B:B,'Base stats'!C:C)*1000)^-0.96))*IF(_xlfn.XLOOKUP(B102,'Base stats'!B:B,'Base stats'!AH:AH)=1,0.5,1)/100,0.025))))))</f>
        <v>No</v>
      </c>
      <c r="CA102" s="25" t="str">
        <f>IF(_xlfn.XLOOKUP(_xlfn.XLOOKUP(B102,'Base stats'!B:B,'Base stats'!E:E),Groups!A:A,Groups!AJ:AJ)="Mammal","True","False")</f>
        <v>False</v>
      </c>
      <c r="CB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C102" s="25" t="str">
        <f t="shared" si="13"/>
        <v>False</v>
      </c>
      <c r="CD102" s="25" t="str">
        <f>IF(_xlfn.XLOOKUP(_xlfn.XLOOKUP(B102,'Base stats'!B:B,'Base stats'!E:E),Groups!A:A,Groups!AX:AX),"True","False")</f>
        <v>False</v>
      </c>
      <c r="CE102" s="25" t="str">
        <f>IF(_xlfn.XLOOKUP(_xlfn.XLOOKUP(B102,'Base stats'!B:B,'Base stats'!E:E),Groups!A:A,Groups!AY:AY),"True","False")</f>
        <v>False</v>
      </c>
      <c r="CF102" s="25" t="str">
        <f>IF(_xlfn.XLOOKUP(_xlfn.XLOOKUP(B102,'Base stats'!B:B,'Base stats'!E:E),Groups!A:A,Groups!AW:AW),"True","False")</f>
        <v>False</v>
      </c>
      <c r="CG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H102" s="25" t="str">
        <f>IF(_xlfn.XLOOKUP(_xlfn.XLOOKUP(B102,'Base stats'!B:B,'Base stats'!E:E),Groups!A:A,Groups!BB:BB),"True","False")</f>
        <v>False</v>
      </c>
      <c r="CI102" s="25" t="str">
        <f>IF(_xlfn.XLOOKUP(_xlfn.XLOOKUP(B102,'Base stats'!B:B,'Base stats'!E:E),Groups!A:A,Groups!BA:BA),"True","False")</f>
        <v>False</v>
      </c>
    </row>
    <row r="103" spans="1:87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stats'!AI:AI)=0,BH103="None",_xlfn.XLOOKUP(_xlfn.XLOOKUP(B103,'Base stats'!B:B,'Base stats'!E:E),Groups!A:A,Groups!B:B)=0), (18 + BQ103 * 2.7) * 0.5,
    IF(AND(_xlfn.XLOOKUP(B103,'Base stats'!B:B,'Base stats'!AI:AI)=0,OR(AO103&lt;0.55,AND(BH103="Intermediate",_xlfn.XLOOKUP(_xlfn.XLOOKUP(B103,'Base stats'!B:B,'Base stats'!E:E),Groups!A:A,Groups!B:B)&lt;2))), (18 + BQ103 * 2.7),
      IF(OR(BH103="Advanced",_xlfn.XLOOKUP(B103,'Base stats'!B:B,'Base stats'!AI:AI)=1,_xlfn.XLOOKUP(_xlfn.XLOOKUP(B103,'Base stats'!B:B,'Base stats'!E:E),Groups!A:A,Groups!B:B)=2), (18 + BQ103 * 2.7) + 250, (18 + BQ103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IF(_xlfn.XLOOKUP(B103,'Base stats'!B:B,'Base stats'!AI:AI)=1,0.99,MIN(MROUND((1-0.6282*EXP(-0.459*AO103))*_xlfn.XLOOKUP(_xlfn.XLOOKUP(B103,'Base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W103)),ISNUMBER(SEARCH("IceSheet",BW103))),-50,IF(OR(ISNUMBER(SEARCH("GlacialPlain",BW103)),ISNUMBER(SEARCH("Tundra",BW103))),-40,IF(OR(ISNUMBER(SEARCH("Alpine",BW103)),ISNUMBER(SEARCH("BorealForest",BW103)),ISNUMBER(SEARCH("ColdBog",BW103))),-30,IF(OR(ISNUMBER(SEARCH("TemperateForest",BW103)),ISNUMBER(SEARCH("TemperateSwamp",BW103))),-20,IF(_xlfn.XLOOKUP(_xlfn.XLOOKUP(B103,'Base stats'!B:B,'Base stats'!E:E),Groups!A:A,Groups!F:F)=1,-15,IF(OR(ISNUMBER(SEARCH("Desert",BW103)),ISNUMBER(SEARCH("ExtremeDesert",BW103))),-10,IF(OR(ISNUMBER(SEARCH("Grasslands",BW103)),ISNUMBER(SEARCH("TropicalRainforest",BW103)),ISNUMBER(SEARCH("TropicalSwamp",BW103))),10,0)))))))-IF(CB103="False",MIN(IFERROR(MAX(MROUND(LOG10(_xlfn.XLOOKUP(B103,'Base stats'!B:B,'Base stats'!C:C)^(2/3))*10,5),5),5),30))-_xlfn.XLOOKUP(B103,'Base stats'!B:B,'Base stats'!P:P)+IF(CB103="True",5,0)</f>
        <v>5</v>
      </c>
      <c r="M103" s="2">
        <f>IF(OR(_xlfn.XLOOKUP(_xlfn.XLOOKUP(B103,'Base stats'!B:B,'Base stats'!E:E),Groups!A:A,Groups!G:G)=2,ISNUMBER(SEARCH("Desert",BW103)),ISNUMBER(SEARCH("ExtremeDesert",BW103)),ISNUMBER(SEARCH("LavaField",BW103))),50,IF(ISNUMBER(SEARCH("Grasslands",BW103)),45,IF(OR(_xlfn.XLOOKUP(_xlfn.XLOOKUP(B103,'Base stats'!B:B,'Base stats'!E:E),Groups!A:A,Groups!G:G)=1,ISNUMBER(SEARCH("TropicalRainforest",BW103)),ISNUMBER(SEARCH("TropicalSwamp",BW103))),40,IF(OR(ISNUMBER(SEARCH("TemperateForest",BW103)),ISNUMBER(SEARCH("TemperateSwamp",BW103))),35,IF(OR(ISNUMBER(SEARCH("Alpine",BW103)),ISNUMBER(SEARCH("BorealForest",BW103)),ISNUMBER(SEARCH("ColdBog",BW103))),30,IF(ISNUMBER(OR(ISNUMBER(SEARCH("GlacialPlain",BW103)),SEARCH("Tundra",BW103))),25,IF(OR(ISNUMBER(SEARCH("SeaIce",BW103)),ISNUMBER(SEARCH("IceSheet",BW103)),ISNUMBER(SEARCH("TropicalSwamp",BW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stats'!AO:AO))*(AO103^0.5)+(_xlfn.XLOOKUP(B103,'Base stats'!B:B,'Base stats'!AO:AO)/1000)^(2/3)+_xlfn.XLOOKUP(B103,'Base stats'!B:B,'Base stats'!AX:AX)/2)+0.5,0.5)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stats'!AP:AP))*(AO103^0.5)+(_xlfn.XLOOKUP(B103,'Base stats'!B:B,'Base stats'!AP:AP)/1000)^(2/3)+_xlfn.XLOOKUP(B103,'Base stats'!B:B,'Base stats'!AX:AX))+_xlfn.XLOOKUP(B103,'Base stats'!B:B,'Base stats'!AV:AV)+0.5,0.5))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stats'!AR:AR))*(AO103^0.5)+(_xlfn.XLOOKUP(B103,'Base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stats'!AQ:AQ)="No","No",MROUND((LOG10(_xlfn.XLOOKUP(B103,'Base stats'!B:B,'Base stats'!AQ:AQ))*(AO103^0.75)+(_xlfn.XLOOKUP(B103,'Base stats'!B:B,'Base stats'!AQ:AQ)/1000)^(2/3)+_xlfn.XLOOKUP(B103,'Base stats'!B:B,'Base stats'!AU:AU)+_xlfn.XLOOKUP(B103,'Base stats'!B:B,'Base stats'!AX:AX))+0.5,0.5))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stats'!AP:AP))*(AO103^0.75)+(_xlfn.XLOOKUP(B103,'Base stats'!B:B,'Base stats'!AP:AP)/1000)^(2/3)+_xlfn.XLOOKUP(B103,'Base stats'!B:B,'Base stats'!AV:AV)+_xlfn.XLOOKUP(B103,'Base stats'!B:B,'Base stats'!AX:AX))+0.5,0.5))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MAX(0.01,MROUND(IF(CB103="True",0.196*(AO103*100*1000)^0.889,IF(_xlfn.XLOOKUP(_xlfn.XLOOKUP(B103,'Base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stats'!AE:AE)</f>
        <v>No</v>
      </c>
      <c r="BB103" s="23" t="str">
        <f>_xlfn.XLOOKUP(_xlfn.XLOOKUP(B103,'Base stats'!B:B,'Base stats'!E:E),Groups!A:A,Groups!AL:AL)</f>
        <v>BeetleLike</v>
      </c>
      <c r="BC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D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E103" s="2" t="str">
        <f>IF(J103&gt;0.3,"No",_xlfn.XLOOKUP(_xlfn.XLOOKUP(Animals!B103,'Base stats'!B:B,'Base stats'!E:E),Groups!A:A,Groups!AP:AP))</f>
        <v>No</v>
      </c>
      <c r="BF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+ 24*(1-IF(BE103="No",0,BE103)) + 16/3, 12),"No")</f>
        <v>No</v>
      </c>
      <c r="BG103" s="2">
        <f>IF(AND(_xlfn.XLOOKUP(_xlfn.XLOOKUP(B103,'Base stats'!B:B,'Base stats'!E:E),Groups!A:A,Groups!AQ:AQ)=1,AO103&lt;=0.35),8,12)</f>
        <v>12</v>
      </c>
      <c r="BH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I103" s="2" t="str">
        <f>IF(AND(_xlfn.XLOOKUP(_xlfn.XLOOKUP(B103,'Base stats'!B:B,'Base stats'!E:E),Groups!A:A,Groups!AS:AS)=1,OR('Base stats'!Y103="Carnivore",'Base stats'!Y103="Omnivore")),"true","false")</f>
        <v>true</v>
      </c>
      <c r="BJ103" s="2">
        <f>IF(BI103="true",MROUND(IF(AND(AO103&gt;0.5,OR(_xlfn.XLOOKUP(_xlfn.XLOOKUP(B103,'Base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K103" s="2">
        <f t="shared" si="10"/>
        <v>1</v>
      </c>
      <c r="BL103" s="25" t="str">
        <f>IF(_xlfn.XLOOKUP(B103,'Base stats'!B:B,'Base stats'!AK:AK)="Standard","No",MROUND((_xlfn.XLOOKUP(B103,'Base stats'!B:B,'Base stats'!AK:AK)/3.6)/I103,0.1))</f>
        <v>No</v>
      </c>
      <c r="BM103" s="25" t="str">
        <f t="shared" si="11"/>
        <v>false</v>
      </c>
      <c r="BN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O103" s="25" t="str" cm="1">
        <f t="array" ref="BO103">IF(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 = "",
  "No",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
)</f>
        <v>AttackTarget, Forage</v>
      </c>
      <c r="BP103" s="25" t="str">
        <f>IF(
   AND(
      'Base stats'!AK103="Standard",_xlfn.XLOOKUP(_xlfn.XLOOKUP(B103,'Base stats'!B:B,'Base stats'!E:E),Groups!A:A,Groups!AU:AU)=0,
      OR(
      BN103="True"
      )
   ),
   10,
   IF(
       OR(BL103&lt;&gt;"No",_xlfn.XLOOKUP(_xlfn.XLOOKUP(B103,'Base stats'!B:B,'Base stats'!E:E),Groups!A:A,Groups!AU:AU)=1),
      1,
      "No"
   )
)</f>
        <v>No</v>
      </c>
      <c r="BQ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stats'!AS:AS) * 1.8) * 2) * 2.5 + 10 + I103 * 2,5)+IF(_xlfn.XLOOKUP(B103,'Base stats'!B:B,'Base stats'!AH:AH)=1,50,0)</f>
        <v>90</v>
      </c>
      <c r="BR103" s="8">
        <f t="shared" si="12"/>
        <v>0.2</v>
      </c>
      <c r="BS103" s="8" t="str">
        <f>_xlfn.XLOOKUP(B103,'Base stats'!B:B,'Base stats'!AD:AD)</f>
        <v>No</v>
      </c>
      <c r="BT103" s="2" t="str">
        <f>IF(AND(J103&lt;=0.95,OR(_xlfn.XLOOKUP(B103,'Base stats'!B:B,'Base stats'!AH:AH)=1,_xlfn.XLOOKUP(B103,'Base stats'!B:B,'Base stats'!Y:Y)="Carnivore",_xlfn.XLOOKUP(B103,'Base stats'!B:B,'Base stats'!Y:Y)="Omnivore",BD103&gt;0.1)),"true","false")</f>
        <v>true</v>
      </c>
      <c r="BU103" s="2" t="str">
        <f>IF(_xlfn.XLOOKUP(B103,'Base stats'!B:B,'Base stats'!AF:AF)=1,"true","false")</f>
        <v>false</v>
      </c>
      <c r="BV103" s="25" t="str">
        <f>IF(E103="BaseInsect","AnimalInsect",
IF(J103&gt;0.95,"AnimalExotic",
_xlfn.TEXTJOIN(", ",TRUE,
IF(OR(_xlfn.XLOOKUP(B103,'Base stats'!B:B,'Base stats'!AJ:AJ)=1,AND(_xlfn.XLOOKUP(B103,'Base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stats'!AH:AH)=1,AND(BH103&lt;&gt;"None",BQ103&gt;=60),ISNUMBER(SEARCH("Attack target",BO103))),"AnimalFighter","")
)))</f>
        <v>AnimalInsect</v>
      </c>
      <c r="BW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),_xlfn.XLOOKUP(B103,B:B,BW:BW))</f>
        <v/>
      </c>
      <c r="BX103" s="25" t="str">
        <f>IF(_xlfn.XLOOKUP(B103,'Base stats'!B:B,'Base stats'!AG:AG)=1,"true","false")</f>
        <v>false</v>
      </c>
      <c r="BY103" s="25">
        <f>IF(_xlfn.XLOOKUP(B103,'Base stats'!B:B,'Base stats'!N:N)=1,"No",MAX(0.01,MIN(MROUND(IF(OR(_xlfn.XLOOKUP(B103,'Base stats'!B:B,'Base stats'!AJ:AJ)=1,AND(BI103="True",CB103="False")),POWER(10,3.47*LOG10(_xlfn.XLOOKUP(B103,'Base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stats'!AH:AH)=1),0.5,1)/100,0.025),1)))</f>
        <v>0.25</v>
      </c>
      <c r="BZ103" s="25">
        <f>IF(P103="Standard","No",MAX(0.01,IF(_xlfn.XLOOKUP(B103,'Base stats'!B:B,'Base stats'!N:N)=0,MROUND(BY103*P103,0.05),MIN(1,MAX(0.025,MROUND(IF(OR(CB103="true",AND(BI103="false",BN103="false")),POWER(10,4.15*LOG10(_xlfn.XLOOKUP(B103,'Base stats'!B:B,'Base stats'!C:C)*1000)^-0.73),POWER(10,3.47*LOG10(_xlfn.XLOOKUP(B103,'Base stats'!B:B,'Base stats'!C:C)*1000)^-0.96))*IF(_xlfn.XLOOKUP(B103,'Base stats'!B:B,'Base stats'!AH:AH)=1,0.5,1)/100,0.025))))))</f>
        <v>0.25</v>
      </c>
      <c r="CA103" s="25" t="str">
        <f>IF(_xlfn.XLOOKUP(_xlfn.XLOOKUP(B103,'Base stats'!B:B,'Base stats'!E:E),Groups!A:A,Groups!AJ:AJ)="Mammal","True","False")</f>
        <v>False</v>
      </c>
      <c r="CB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C103" s="25" t="str">
        <f t="shared" si="13"/>
        <v>False</v>
      </c>
      <c r="CD103" s="25" t="str">
        <f>IF(_xlfn.XLOOKUP(_xlfn.XLOOKUP(B103,'Base stats'!B:B,'Base stats'!E:E),Groups!A:A,Groups!AX:AX),"True","False")</f>
        <v>False</v>
      </c>
      <c r="CE103" s="25" t="str">
        <f>IF(_xlfn.XLOOKUP(_xlfn.XLOOKUP(B103,'Base stats'!B:B,'Base stats'!E:E),Groups!A:A,Groups!AY:AY),"True","False")</f>
        <v>False</v>
      </c>
      <c r="CF103" s="25" t="str">
        <f>IF(_xlfn.XLOOKUP(_xlfn.XLOOKUP(B103,'Base stats'!B:B,'Base stats'!E:E),Groups!A:A,Groups!AW:AW),"True","False")</f>
        <v>False</v>
      </c>
      <c r="CG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H103" s="25" t="str">
        <f>IF(_xlfn.XLOOKUP(_xlfn.XLOOKUP(B103,'Base stats'!B:B,'Base stats'!E:E),Groups!A:A,Groups!BB:BB),"True","False")</f>
        <v>False</v>
      </c>
      <c r="CI103" s="25" t="str">
        <f>IF(_xlfn.XLOOKUP(_xlfn.XLOOKUP(B103,'Base stats'!B:B,'Base stats'!E:E),Groups!A:A,Groups!BA:BA),"True","False")</f>
        <v>False</v>
      </c>
    </row>
    <row r="104" spans="1:87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stats'!AI:AI)=0,BH104="None",_xlfn.XLOOKUP(_xlfn.XLOOKUP(B104,'Base stats'!B:B,'Base stats'!E:E),Groups!A:A,Groups!B:B)=0), (18 + BQ104 * 2.7) * 0.5,
    IF(AND(_xlfn.XLOOKUP(B104,'Base stats'!B:B,'Base stats'!AI:AI)=0,OR(AO104&lt;0.55,AND(BH104="Intermediate",_xlfn.XLOOKUP(_xlfn.XLOOKUP(B104,'Base stats'!B:B,'Base stats'!E:E),Groups!A:A,Groups!B:B)&lt;2))), (18 + BQ104 * 2.7),
      IF(OR(BH104="Advanced",_xlfn.XLOOKUP(B104,'Base stats'!B:B,'Base stats'!AI:AI)=1,_xlfn.XLOOKUP(_xlfn.XLOOKUP(B104,'Base stats'!B:B,'Base stats'!E:E),Groups!A:A,Groups!B:B)=2), (18 + BQ104 * 2.7) + 250, (18 + BQ104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IF(_xlfn.XLOOKUP(B104,'Base stats'!B:B,'Base stats'!AI:AI)=1,0.99,MIN(MROUND((1-0.6282*EXP(-0.459*AO104))*_xlfn.XLOOKUP(_xlfn.XLOOKUP(B104,'Base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W104)),ISNUMBER(SEARCH("IceSheet",BW104))),-50,IF(OR(ISNUMBER(SEARCH("GlacialPlain",BW104)),ISNUMBER(SEARCH("Tundra",BW104))),-40,IF(OR(ISNUMBER(SEARCH("Alpine",BW104)),ISNUMBER(SEARCH("BorealForest",BW104)),ISNUMBER(SEARCH("ColdBog",BW104))),-30,IF(OR(ISNUMBER(SEARCH("TemperateForest",BW104)),ISNUMBER(SEARCH("TemperateSwamp",BW104))),-20,IF(_xlfn.XLOOKUP(_xlfn.XLOOKUP(B104,'Base stats'!B:B,'Base stats'!E:E),Groups!A:A,Groups!F:F)=1,-15,IF(OR(ISNUMBER(SEARCH("Desert",BW104)),ISNUMBER(SEARCH("ExtremeDesert",BW104))),-10,IF(OR(ISNUMBER(SEARCH("Grasslands",BW104)),ISNUMBER(SEARCH("TropicalRainforest",BW104)),ISNUMBER(SEARCH("TropicalSwamp",BW104))),10,0)))))))-IF(CB104="False",MIN(IFERROR(MAX(MROUND(LOG10(_xlfn.XLOOKUP(B104,'Base stats'!B:B,'Base stats'!C:C)^(2/3))*10,5),5),5),30))-_xlfn.XLOOKUP(B104,'Base stats'!B:B,'Base stats'!P:P)+IF(CB104="True",5,0)</f>
        <v>5</v>
      </c>
      <c r="M104" s="2">
        <f>IF(OR(_xlfn.XLOOKUP(_xlfn.XLOOKUP(B104,'Base stats'!B:B,'Base stats'!E:E),Groups!A:A,Groups!G:G)=2,ISNUMBER(SEARCH("Desert",BW104)),ISNUMBER(SEARCH("ExtremeDesert",BW104)),ISNUMBER(SEARCH("LavaField",BW104))),50,IF(ISNUMBER(SEARCH("Grasslands",BW104)),45,IF(OR(_xlfn.XLOOKUP(_xlfn.XLOOKUP(B104,'Base stats'!B:B,'Base stats'!E:E),Groups!A:A,Groups!G:G)=1,ISNUMBER(SEARCH("TropicalRainforest",BW104)),ISNUMBER(SEARCH("TropicalSwamp",BW104))),40,IF(OR(ISNUMBER(SEARCH("TemperateForest",BW104)),ISNUMBER(SEARCH("TemperateSwamp",BW104))),35,IF(OR(ISNUMBER(SEARCH("Alpine",BW104)),ISNUMBER(SEARCH("BorealForest",BW104)),ISNUMBER(SEARCH("ColdBog",BW104))),30,IF(ISNUMBER(OR(ISNUMBER(SEARCH("GlacialPlain",BW104)),SEARCH("Tundra",BW104))),25,IF(OR(ISNUMBER(SEARCH("SeaIce",BW104)),ISNUMBER(SEARCH("IceSheet",BW104)),ISNUMBER(SEARCH("TropicalSwamp",BW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stats'!AO:AO))*(AO104^0.5)+(_xlfn.XLOOKUP(B104,'Base stats'!B:B,'Base stats'!AO:AO)/1000)^(2/3)+_xlfn.XLOOKUP(B104,'Base stats'!B:B,'Base stats'!AX:AX)/2)+0.5,0.5)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stats'!AP:AP))*(AO104^0.5)+(_xlfn.XLOOKUP(B104,'Base stats'!B:B,'Base stats'!AP:AP)/1000)^(2/3)+_xlfn.XLOOKUP(B104,'Base stats'!B:B,'Base stats'!AX:AX))+_xlfn.XLOOKUP(B104,'Base stats'!B:B,'Base stats'!AV:AV)+0.5,0.5))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stats'!AR:AR))*(AO104^0.5)+(_xlfn.XLOOKUP(B104,'Base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stats'!AQ:AQ)="No","No",MROUND((LOG10(_xlfn.XLOOKUP(B104,'Base stats'!B:B,'Base stats'!AQ:AQ))*(AO104^0.75)+(_xlfn.XLOOKUP(B104,'Base stats'!B:B,'Base stats'!AQ:AQ)/1000)^(2/3)+_xlfn.XLOOKUP(B104,'Base stats'!B:B,'Base stats'!AU:AU)+_xlfn.XLOOKUP(B104,'Base stats'!B:B,'Base stats'!AX:AX))+0.5,0.5))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stats'!AP:AP))*(AO104^0.75)+(_xlfn.XLOOKUP(B104,'Base stats'!B:B,'Base stats'!AP:AP)/1000)^(2/3)+_xlfn.XLOOKUP(B104,'Base stats'!B:B,'Base stats'!AV:AV)+_xlfn.XLOOKUP(B104,'Base stats'!B:B,'Base stats'!AX:AX))+0.5,0.5))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MAX(0.01,MROUND(IF(CB104="True",0.196*(AO104*100*1000)^0.889,IF(_xlfn.XLOOKUP(_xlfn.XLOOKUP(B104,'Base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stats'!AE:AE)</f>
        <v>No</v>
      </c>
      <c r="BB104" s="23" t="str">
        <f>_xlfn.XLOOKUP(_xlfn.XLOOKUP(B104,'Base stats'!B:B,'Base stats'!E:E),Groups!A:A,Groups!AL:AL)</f>
        <v>BeetleLikeWithClaw</v>
      </c>
      <c r="BC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D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E104" s="2" t="str">
        <f>IF(J104&gt;0.3,"No",_xlfn.XLOOKUP(_xlfn.XLOOKUP(Animals!B104,'Base stats'!B:B,'Base stats'!E:E),Groups!A:A,Groups!AP:AP))</f>
        <v>No</v>
      </c>
      <c r="BF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+ 24*(1-IF(BE104="No",0,BE104)) + 16/3, 12),"No")</f>
        <v>No</v>
      </c>
      <c r="BG104" s="2">
        <f>IF(AND(_xlfn.XLOOKUP(_xlfn.XLOOKUP(B104,'Base stats'!B:B,'Base stats'!E:E),Groups!A:A,Groups!AQ:AQ)=1,AO104&lt;=0.35),8,12)</f>
        <v>12</v>
      </c>
      <c r="BH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I104" s="2" t="str">
        <f>IF(AND(_xlfn.XLOOKUP(_xlfn.XLOOKUP(B104,'Base stats'!B:B,'Base stats'!E:E),Groups!A:A,Groups!AS:AS)=1,OR('Base stats'!Y104="Carnivore",'Base stats'!Y104="Omnivore")),"true","false")</f>
        <v>true</v>
      </c>
      <c r="BJ104" s="2">
        <f>IF(BI104="true",MROUND(IF(AND(AO104&gt;0.5,OR(_xlfn.XLOOKUP(_xlfn.XLOOKUP(B104,'Base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K104" s="2">
        <f t="shared" si="10"/>
        <v>1</v>
      </c>
      <c r="BL104" s="25" t="str">
        <f>IF(_xlfn.XLOOKUP(B104,'Base stats'!B:B,'Base stats'!AK:AK)="Standard","No",MROUND((_xlfn.XLOOKUP(B104,'Base stats'!B:B,'Base stats'!AK:AK)/3.6)/I104,0.1))</f>
        <v>No</v>
      </c>
      <c r="BM104" s="25" t="str">
        <f t="shared" si="11"/>
        <v>false</v>
      </c>
      <c r="BN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O104" s="25" t="str" cm="1">
        <f t="array" ref="BO104">IF(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 = "",
  "No",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
)</f>
        <v>AttackTarget, Dig</v>
      </c>
      <c r="BP104" s="25" t="str">
        <f>IF(
   AND(
      'Base stats'!AK104="Standard",_xlfn.XLOOKUP(_xlfn.XLOOKUP(B104,'Base stats'!B:B,'Base stats'!E:E),Groups!A:A,Groups!AU:AU)=0,
      OR(
      BN104="True"
      )
   ),
   10,
   IF(
       OR(BL104&lt;&gt;"No",_xlfn.XLOOKUP(_xlfn.XLOOKUP(B104,'Base stats'!B:B,'Base stats'!E:E),Groups!A:A,Groups!AU:AU)=1),
      1,
      "No"
   )
)</f>
        <v>No</v>
      </c>
      <c r="BQ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stats'!AS:AS) * 1.8) * 2) * 2.5 + 10 + I104 * 2,5)+IF(_xlfn.XLOOKUP(B104,'Base stats'!B:B,'Base stats'!AH:AH)=1,50,0)</f>
        <v>185</v>
      </c>
      <c r="BR104" s="8">
        <f t="shared" si="12"/>
        <v>0.45</v>
      </c>
      <c r="BS104" s="8" t="str">
        <f>_xlfn.XLOOKUP(B104,'Base stats'!B:B,'Base stats'!AD:AD)</f>
        <v>No</v>
      </c>
      <c r="BT104" s="2" t="str">
        <f>IF(AND(J104&lt;=0.95,OR(_xlfn.XLOOKUP(B104,'Base stats'!B:B,'Base stats'!AH:AH)=1,_xlfn.XLOOKUP(B104,'Base stats'!B:B,'Base stats'!Y:Y)="Carnivore",_xlfn.XLOOKUP(B104,'Base stats'!B:B,'Base stats'!Y:Y)="Omnivore",BD104&gt;0.1)),"true","false")</f>
        <v>true</v>
      </c>
      <c r="BU104" s="2" t="str">
        <f>IF(_xlfn.XLOOKUP(B104,'Base stats'!B:B,'Base stats'!AF:AF)=1,"true","false")</f>
        <v>false</v>
      </c>
      <c r="BV104" s="25" t="str">
        <f>IF(E104="BaseInsect","AnimalInsect",
IF(J104&gt;0.95,"AnimalExotic",
_xlfn.TEXTJOIN(", ",TRUE,
IF(OR(_xlfn.XLOOKUP(B104,'Base stats'!B:B,'Base stats'!AJ:AJ)=1,AND(_xlfn.XLOOKUP(B104,'Base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stats'!AH:AH)=1,AND(BH104&lt;&gt;"None",BQ104&gt;=60),ISNUMBER(SEARCH("Attack target",BO104))),"AnimalFighter","")
)))</f>
        <v>AnimalInsect</v>
      </c>
      <c r="BW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),_xlfn.XLOOKUP(B104,B:B,BW:BW))</f>
        <v/>
      </c>
      <c r="BX104" s="25" t="str">
        <f>IF(_xlfn.XLOOKUP(B104,'Base stats'!B:B,'Base stats'!AG:AG)=1,"true","false")</f>
        <v>false</v>
      </c>
      <c r="BY104" s="25">
        <f>IF(_xlfn.XLOOKUP(B104,'Base stats'!B:B,'Base stats'!N:N)=1,"No",MAX(0.01,MIN(MROUND(IF(OR(_xlfn.XLOOKUP(B104,'Base stats'!B:B,'Base stats'!AJ:AJ)=1,AND(BI104="True",CB104="False")),POWER(10,3.47*LOG10(_xlfn.XLOOKUP(B104,'Base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stats'!AH:AH)=1),0.5,1)/100,0.025),1)))</f>
        <v>0.17500000000000002</v>
      </c>
      <c r="BZ104" s="25">
        <f>IF(P104="Standard","No",MAX(0.01,IF(_xlfn.XLOOKUP(B104,'Base stats'!B:B,'Base stats'!N:N)=0,MROUND(BY104*P104,0.05),MIN(1,MAX(0.025,MROUND(IF(OR(CB104="true",AND(BI104="false",BN104="false")),POWER(10,4.15*LOG10(_xlfn.XLOOKUP(B104,'Base stats'!B:B,'Base stats'!C:C)*1000)^-0.73),POWER(10,3.47*LOG10(_xlfn.XLOOKUP(B104,'Base stats'!B:B,'Base stats'!C:C)*1000)^-0.96))*IF(_xlfn.XLOOKUP(B104,'Base stats'!B:B,'Base stats'!AH:AH)=1,0.5,1)/100,0.025))))))</f>
        <v>0.2</v>
      </c>
      <c r="CA104" s="25" t="str">
        <f>IF(_xlfn.XLOOKUP(_xlfn.XLOOKUP(B104,'Base stats'!B:B,'Base stats'!E:E),Groups!A:A,Groups!AJ:AJ)="Mammal","True","False")</f>
        <v>False</v>
      </c>
      <c r="CB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C104" s="25" t="str">
        <f t="shared" si="13"/>
        <v>False</v>
      </c>
      <c r="CD104" s="25" t="str">
        <f>IF(_xlfn.XLOOKUP(_xlfn.XLOOKUP(B104,'Base stats'!B:B,'Base stats'!E:E),Groups!A:A,Groups!AX:AX),"True","False")</f>
        <v>False</v>
      </c>
      <c r="CE104" s="25" t="str">
        <f>IF(_xlfn.XLOOKUP(_xlfn.XLOOKUP(B104,'Base stats'!B:B,'Base stats'!E:E),Groups!A:A,Groups!AY:AY),"True","False")</f>
        <v>False</v>
      </c>
      <c r="CF104" s="25" t="str">
        <f>IF(_xlfn.XLOOKUP(_xlfn.XLOOKUP(B104,'Base stats'!B:B,'Base stats'!E:E),Groups!A:A,Groups!AW:AW),"True","False")</f>
        <v>False</v>
      </c>
      <c r="CG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H104" s="25" t="str">
        <f>IF(_xlfn.XLOOKUP(_xlfn.XLOOKUP(B104,'Base stats'!B:B,'Base stats'!E:E),Groups!A:A,Groups!BB:BB),"True","False")</f>
        <v>False</v>
      </c>
      <c r="CI104" s="25" t="str">
        <f>IF(_xlfn.XLOOKUP(_xlfn.XLOOKUP(B104,'Base stats'!B:B,'Base stats'!E:E),Groups!A:A,Groups!BA:BA),"True","False")</f>
        <v>False</v>
      </c>
    </row>
    <row r="105" spans="1:87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stats'!AI:AI)=0,BH105="None",_xlfn.XLOOKUP(_xlfn.XLOOKUP(B105,'Base stats'!B:B,'Base stats'!E:E),Groups!A:A,Groups!B:B)=0), (18 + BQ105 * 2.7) * 0.5,
    IF(AND(_xlfn.XLOOKUP(B105,'Base stats'!B:B,'Base stats'!AI:AI)=0,OR(AO105&lt;0.55,AND(BH105="Intermediate",_xlfn.XLOOKUP(_xlfn.XLOOKUP(B105,'Base stats'!B:B,'Base stats'!E:E),Groups!A:A,Groups!B:B)&lt;2))), (18 + BQ105 * 2.7),
      IF(OR(BH105="Advanced",_xlfn.XLOOKUP(B105,'Base stats'!B:B,'Base stats'!AI:AI)=1,_xlfn.XLOOKUP(_xlfn.XLOOKUP(B105,'Base stats'!B:B,'Base stats'!E:E),Groups!A:A,Groups!B:B)=2), (18 + BQ105 * 2.7) + 250, (18 + BQ105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IF(_xlfn.XLOOKUP(B105,'Base stats'!B:B,'Base stats'!AI:AI)=1,0.99,MIN(MROUND((1-0.6282*EXP(-0.459*AO105))*_xlfn.XLOOKUP(_xlfn.XLOOKUP(B105,'Base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W105)),ISNUMBER(SEARCH("IceSheet",BW105))),-50,IF(OR(ISNUMBER(SEARCH("GlacialPlain",BW105)),ISNUMBER(SEARCH("Tundra",BW105))),-40,IF(OR(ISNUMBER(SEARCH("Alpine",BW105)),ISNUMBER(SEARCH("BorealForest",BW105)),ISNUMBER(SEARCH("ColdBog",BW105))),-30,IF(OR(ISNUMBER(SEARCH("TemperateForest",BW105)),ISNUMBER(SEARCH("TemperateSwamp",BW105))),-20,IF(_xlfn.XLOOKUP(_xlfn.XLOOKUP(B105,'Base stats'!B:B,'Base stats'!E:E),Groups!A:A,Groups!F:F)=1,-15,IF(OR(ISNUMBER(SEARCH("Desert",BW105)),ISNUMBER(SEARCH("ExtremeDesert",BW105))),-10,IF(OR(ISNUMBER(SEARCH("Grasslands",BW105)),ISNUMBER(SEARCH("TropicalRainforest",BW105)),ISNUMBER(SEARCH("TropicalSwamp",BW105))),10,0)))))))-IF(CB105="False",MIN(IFERROR(MAX(MROUND(LOG10(_xlfn.XLOOKUP(B105,'Base stats'!B:B,'Base stats'!C:C)^(2/3))*10,5),5),5),30))-_xlfn.XLOOKUP(B105,'Base stats'!B:B,'Base stats'!P:P)+IF(CB105="True",5,0)</f>
        <v>5</v>
      </c>
      <c r="M105" s="2">
        <f>IF(OR(_xlfn.XLOOKUP(_xlfn.XLOOKUP(B105,'Base stats'!B:B,'Base stats'!E:E),Groups!A:A,Groups!G:G)=2,ISNUMBER(SEARCH("Desert",BW105)),ISNUMBER(SEARCH("ExtremeDesert",BW105)),ISNUMBER(SEARCH("LavaField",BW105))),50,IF(ISNUMBER(SEARCH("Grasslands",BW105)),45,IF(OR(_xlfn.XLOOKUP(_xlfn.XLOOKUP(B105,'Base stats'!B:B,'Base stats'!E:E),Groups!A:A,Groups!G:G)=1,ISNUMBER(SEARCH("TropicalRainforest",BW105)),ISNUMBER(SEARCH("TropicalSwamp",BW105))),40,IF(OR(ISNUMBER(SEARCH("TemperateForest",BW105)),ISNUMBER(SEARCH("TemperateSwamp",BW105))),35,IF(OR(ISNUMBER(SEARCH("Alpine",BW105)),ISNUMBER(SEARCH("BorealForest",BW105)),ISNUMBER(SEARCH("ColdBog",BW105))),30,IF(ISNUMBER(OR(ISNUMBER(SEARCH("GlacialPlain",BW105)),SEARCH("Tundra",BW105))),25,IF(OR(ISNUMBER(SEARCH("SeaIce",BW105)),ISNUMBER(SEARCH("IceSheet",BW105)),ISNUMBER(SEARCH("TropicalSwamp",BW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stats'!AO:AO))*(AO105^0.5)+(_xlfn.XLOOKUP(B105,'Base stats'!B:B,'Base stats'!AO:AO)/1000)^(2/3)+_xlfn.XLOOKUP(B105,'Base stats'!B:B,'Base stats'!AX:AX)/2)+0.5,0.5)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stats'!AP:AP))*(AO105^0.5)+(_xlfn.XLOOKUP(B105,'Base stats'!B:B,'Base stats'!AP:AP)/1000)^(2/3)+_xlfn.XLOOKUP(B105,'Base stats'!B:B,'Base stats'!AX:AX))+_xlfn.XLOOKUP(B105,'Base stats'!B:B,'Base stats'!AV:AV)+0.5,0.5))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stats'!AR:AR))*(AO105^0.5)+(_xlfn.XLOOKUP(B105,'Base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stats'!AQ:AQ)="No","No",MROUND((LOG10(_xlfn.XLOOKUP(B105,'Base stats'!B:B,'Base stats'!AQ:AQ))*(AO105^0.75)+(_xlfn.XLOOKUP(B105,'Base stats'!B:B,'Base stats'!AQ:AQ)/1000)^(2/3)+_xlfn.XLOOKUP(B105,'Base stats'!B:B,'Base stats'!AU:AU)+_xlfn.XLOOKUP(B105,'Base stats'!B:B,'Base stats'!AX:AX))+0.5,0.5))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stats'!AP:AP))*(AO105^0.75)+(_xlfn.XLOOKUP(B105,'Base stats'!B:B,'Base stats'!AP:AP)/1000)^(2/3)+_xlfn.XLOOKUP(B105,'Base stats'!B:B,'Base stats'!AV:AV)+_xlfn.XLOOKUP(B105,'Base stats'!B:B,'Base stats'!AX:AX))+0.5,0.5))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MAX(0.01,MROUND(IF(CB105="True",0.196*(AO105*100*1000)^0.889,IF(_xlfn.XLOOKUP(_xlfn.XLOOKUP(B105,'Base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stats'!AE:AE)</f>
        <v>No</v>
      </c>
      <c r="BB105" s="23" t="str">
        <f>_xlfn.XLOOKUP(_xlfn.XLOOKUP(B105,'Base stats'!B:B,'Base stats'!E:E),Groups!A:A,Groups!AL:AL)</f>
        <v>BeetleLikeWithClaw</v>
      </c>
      <c r="BC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D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E105" s="2" t="str">
        <f>IF(J105&gt;0.3,"No",_xlfn.XLOOKUP(_xlfn.XLOOKUP(Animals!B105,'Base stats'!B:B,'Base stats'!E:E),Groups!A:A,Groups!AP:AP))</f>
        <v>No</v>
      </c>
      <c r="BF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+ 24*(1-IF(BE105="No",0,BE105)) + 16/3, 12),"No")</f>
        <v>No</v>
      </c>
      <c r="BG105" s="2">
        <f>IF(AND(_xlfn.XLOOKUP(_xlfn.XLOOKUP(B105,'Base stats'!B:B,'Base stats'!E:E),Groups!A:A,Groups!AQ:AQ)=1,AO105&lt;=0.35),8,12)</f>
        <v>12</v>
      </c>
      <c r="BH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I105" s="2" t="str">
        <f>IF(AND(_xlfn.XLOOKUP(_xlfn.XLOOKUP(B105,'Base stats'!B:B,'Base stats'!E:E),Groups!A:A,Groups!AS:AS)=1,OR('Base stats'!Y105="Carnivore",'Base stats'!Y105="Omnivore")),"true","false")</f>
        <v>true</v>
      </c>
      <c r="BJ105" s="2">
        <f>IF(BI105="true",MROUND(IF(AND(AO105&gt;0.5,OR(_xlfn.XLOOKUP(_xlfn.XLOOKUP(B105,'Base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K105" s="2">
        <f t="shared" si="10"/>
        <v>1</v>
      </c>
      <c r="BL105" s="25" t="str">
        <f>IF(_xlfn.XLOOKUP(B105,'Base stats'!B:B,'Base stats'!AK:AK)="Standard","No",MROUND((_xlfn.XLOOKUP(B105,'Base stats'!B:B,'Base stats'!AK:AK)/3.6)/I105,0.1))</f>
        <v>No</v>
      </c>
      <c r="BM105" s="25" t="str">
        <f t="shared" si="11"/>
        <v>false</v>
      </c>
      <c r="BN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O105" s="25" t="str" cm="1">
        <f t="array" ref="BO105">IF(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 = "",
  "No",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
)</f>
        <v>AttackTarget, AttackTarget</v>
      </c>
      <c r="BP105" s="25" t="str">
        <f>IF(
   AND(
      'Base stats'!AK105="Standard",_xlfn.XLOOKUP(_xlfn.XLOOKUP(B105,'Base stats'!B:B,'Base stats'!E:E),Groups!A:A,Groups!AU:AU)=0,
      OR(
      BN105="True"
      )
   ),
   10,
   IF(
       OR(BL105&lt;&gt;"No",_xlfn.XLOOKUP(_xlfn.XLOOKUP(B105,'Base stats'!B:B,'Base stats'!E:E),Groups!A:A,Groups!AU:AU)=1),
      1,
      "No"
   )
)</f>
        <v>No</v>
      </c>
      <c r="BQ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stats'!AS:AS) * 1.8) * 2) * 2.5 + 10 + I105 * 2,5)+IF(_xlfn.XLOOKUP(B105,'Base stats'!B:B,'Base stats'!AH:AH)=1,50,0)</f>
        <v>285</v>
      </c>
      <c r="BR105" s="8">
        <f t="shared" si="12"/>
        <v>0.65</v>
      </c>
      <c r="BS105" s="8" t="str">
        <f>_xlfn.XLOOKUP(B105,'Base stats'!B:B,'Base stats'!AD:AD)</f>
        <v>No</v>
      </c>
      <c r="BT105" s="2" t="str">
        <f>IF(AND(J105&lt;=0.95,OR(_xlfn.XLOOKUP(B105,'Base stats'!B:B,'Base stats'!AH:AH)=1,_xlfn.XLOOKUP(B105,'Base stats'!B:B,'Base stats'!Y:Y)="Carnivore",_xlfn.XLOOKUP(B105,'Base stats'!B:B,'Base stats'!Y:Y)="Omnivore",BD105&gt;0.1)),"true","false")</f>
        <v>true</v>
      </c>
      <c r="BU105" s="2" t="str">
        <f>IF(_xlfn.XLOOKUP(B105,'Base stats'!B:B,'Base stats'!AF:AF)=1,"true","false")</f>
        <v>false</v>
      </c>
      <c r="BV105" s="25" t="str">
        <f>IF(E105="BaseInsect","AnimalInsect",
IF(J105&gt;0.95,"AnimalExotic",
_xlfn.TEXTJOIN(", ",TRUE,
IF(OR(_xlfn.XLOOKUP(B105,'Base stats'!B:B,'Base stats'!AJ:AJ)=1,AND(_xlfn.XLOOKUP(B105,'Base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stats'!AH:AH)=1,AND(BH105&lt;&gt;"None",BQ105&gt;=60),ISNUMBER(SEARCH("Attack target",BO105))),"AnimalFighter","")
)))</f>
        <v>AnimalInsect</v>
      </c>
      <c r="BW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),_xlfn.XLOOKUP(B105,B:B,BW:BW))</f>
        <v/>
      </c>
      <c r="BX105" s="25" t="str">
        <f>IF(_xlfn.XLOOKUP(B105,'Base stats'!B:B,'Base stats'!AG:AG)=1,"true","false")</f>
        <v>false</v>
      </c>
      <c r="BY105" s="25">
        <f>IF(_xlfn.XLOOKUP(B105,'Base stats'!B:B,'Base stats'!N:N)=1,"No",MAX(0.01,MIN(MROUND(IF(OR(_xlfn.XLOOKUP(B105,'Base stats'!B:B,'Base stats'!AJ:AJ)=1,AND(BI105="True",CB105="False")),POWER(10,3.47*LOG10(_xlfn.XLOOKUP(B105,'Base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stats'!AH:AH)=1),0.5,1)/100,0.025),1)))</f>
        <v>0.15000000000000002</v>
      </c>
      <c r="BZ105" s="25">
        <f>IF(P105="Standard","No",MAX(0.01,IF(_xlfn.XLOOKUP(B105,'Base stats'!B:B,'Base stats'!N:N)=0,MROUND(BY105*P105,0.05),MIN(1,MAX(0.025,MROUND(IF(OR(CB105="true",AND(BI105="false",BN105="false")),POWER(10,4.15*LOG10(_xlfn.XLOOKUP(B105,'Base stats'!B:B,'Base stats'!C:C)*1000)^-0.73),POWER(10,3.47*LOG10(_xlfn.XLOOKUP(B105,'Base stats'!B:B,'Base stats'!C:C)*1000)^-0.96))*IF(_xlfn.XLOOKUP(B105,'Base stats'!B:B,'Base stats'!AH:AH)=1,0.5,1)/100,0.025))))))</f>
        <v>0.15000000000000002</v>
      </c>
      <c r="CA105" s="25" t="str">
        <f>IF(_xlfn.XLOOKUP(_xlfn.XLOOKUP(B105,'Base stats'!B:B,'Base stats'!E:E),Groups!A:A,Groups!AJ:AJ)="Mammal","True","False")</f>
        <v>False</v>
      </c>
      <c r="CB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C105" s="25" t="str">
        <f t="shared" si="13"/>
        <v>False</v>
      </c>
      <c r="CD105" s="25" t="str">
        <f>IF(_xlfn.XLOOKUP(_xlfn.XLOOKUP(B105,'Base stats'!B:B,'Base stats'!E:E),Groups!A:A,Groups!AX:AX),"True","False")</f>
        <v>False</v>
      </c>
      <c r="CE105" s="25" t="str">
        <f>IF(_xlfn.XLOOKUP(_xlfn.XLOOKUP(B105,'Base stats'!B:B,'Base stats'!E:E),Groups!A:A,Groups!AY:AY),"True","False")</f>
        <v>False</v>
      </c>
      <c r="CF105" s="25" t="str">
        <f>IF(_xlfn.XLOOKUP(_xlfn.XLOOKUP(B105,'Base stats'!B:B,'Base stats'!E:E),Groups!A:A,Groups!AW:AW),"True","False")</f>
        <v>False</v>
      </c>
      <c r="CG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H105" s="25" t="str">
        <f>IF(_xlfn.XLOOKUP(_xlfn.XLOOKUP(B105,'Base stats'!B:B,'Base stats'!E:E),Groups!A:A,Groups!BB:BB),"True","False")</f>
        <v>False</v>
      </c>
      <c r="CI105" s="25" t="str">
        <f>IF(_xlfn.XLOOKUP(_xlfn.XLOOKUP(B105,'Base stats'!B:B,'Base stats'!E:E),Groups!A:A,Groups!BA:BA),"True","False")</f>
        <v>False</v>
      </c>
    </row>
    <row r="106" spans="1:87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stats'!AI:AI)=0,BH106="None",_xlfn.XLOOKUP(_xlfn.XLOOKUP(B106,'Base stats'!B:B,'Base stats'!E:E),Groups!A:A,Groups!B:B)=0), (18 + BQ106 * 2.7) * 0.5,
    IF(AND(_xlfn.XLOOKUP(B106,'Base stats'!B:B,'Base stats'!AI:AI)=0,OR(AO106&lt;0.55,AND(BH106="Intermediate",_xlfn.XLOOKUP(_xlfn.XLOOKUP(B106,'Base stats'!B:B,'Base stats'!E:E),Groups!A:A,Groups!B:B)&lt;2))), (18 + BQ106 * 2.7),
      IF(OR(BH106="Advanced",_xlfn.XLOOKUP(B106,'Base stats'!B:B,'Base stats'!AI:AI)=1,_xlfn.XLOOKUP(_xlfn.XLOOKUP(B106,'Base stats'!B:B,'Base stats'!E:E),Groups!A:A,Groups!B:B)=2), (18 + BQ106 * 2.7) + 250, (18 + BQ106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IF(_xlfn.XLOOKUP(B106,'Base stats'!B:B,'Base stats'!AI:AI)=1,0.99,MIN(MROUND((1-0.6282*EXP(-0.459*AO106))*_xlfn.XLOOKUP(_xlfn.XLOOKUP(B106,'Base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W106)),ISNUMBER(SEARCH("IceSheet",BW106))),-50,IF(OR(ISNUMBER(SEARCH("GlacialPlain",BW106)),ISNUMBER(SEARCH("Tundra",BW106))),-40,IF(OR(ISNUMBER(SEARCH("Alpine",BW106)),ISNUMBER(SEARCH("BorealForest",BW106)),ISNUMBER(SEARCH("ColdBog",BW106))),-30,IF(OR(ISNUMBER(SEARCH("TemperateForest",BW106)),ISNUMBER(SEARCH("TemperateSwamp",BW106))),-20,IF(_xlfn.XLOOKUP(_xlfn.XLOOKUP(B106,'Base stats'!B:B,'Base stats'!E:E),Groups!A:A,Groups!F:F)=1,-15,IF(OR(ISNUMBER(SEARCH("Desert",BW106)),ISNUMBER(SEARCH("ExtremeDesert",BW106))),-10,IF(OR(ISNUMBER(SEARCH("Grasslands",BW106)),ISNUMBER(SEARCH("TropicalRainforest",BW106)),ISNUMBER(SEARCH("TropicalSwamp",BW106))),10,0)))))))-IF(CB106="False",MIN(IFERROR(MAX(MROUND(LOG10(_xlfn.XLOOKUP(B106,'Base stats'!B:B,'Base stats'!C:C)^(2/3))*10,5),5),5),30))-_xlfn.XLOOKUP(B106,'Base stats'!B:B,'Base stats'!P:P)+IF(CB106="True",5,0)</f>
        <v>5</v>
      </c>
      <c r="M106" s="2">
        <f>IF(OR(_xlfn.XLOOKUP(_xlfn.XLOOKUP(B106,'Base stats'!B:B,'Base stats'!E:E),Groups!A:A,Groups!G:G)=2,ISNUMBER(SEARCH("Desert",BW106)),ISNUMBER(SEARCH("ExtremeDesert",BW106)),ISNUMBER(SEARCH("LavaField",BW106))),50,IF(ISNUMBER(SEARCH("Grasslands",BW106)),45,IF(OR(_xlfn.XLOOKUP(_xlfn.XLOOKUP(B106,'Base stats'!B:B,'Base stats'!E:E),Groups!A:A,Groups!G:G)=1,ISNUMBER(SEARCH("TropicalRainforest",BW106)),ISNUMBER(SEARCH("TropicalSwamp",BW106))),40,IF(OR(ISNUMBER(SEARCH("TemperateForest",BW106)),ISNUMBER(SEARCH("TemperateSwamp",BW106))),35,IF(OR(ISNUMBER(SEARCH("Alpine",BW106)),ISNUMBER(SEARCH("BorealForest",BW106)),ISNUMBER(SEARCH("ColdBog",BW106))),30,IF(ISNUMBER(OR(ISNUMBER(SEARCH("GlacialPlain",BW106)),SEARCH("Tundra",BW106))),25,IF(OR(ISNUMBER(SEARCH("SeaIce",BW106)),ISNUMBER(SEARCH("IceSheet",BW106)),ISNUMBER(SEARCH("TropicalSwamp",BW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stats'!AO:AO))*(AO106^0.5)+(_xlfn.XLOOKUP(B106,'Base stats'!B:B,'Base stats'!AO:AO)/1000)^(2/3)+_xlfn.XLOOKUP(B106,'Base stats'!B:B,'Base stats'!AX:AX)/2)+0.5,0.5)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stats'!AP:AP))*(AO106^0.5)+(_xlfn.XLOOKUP(B106,'Base stats'!B:B,'Base stats'!AP:AP)/1000)^(2/3)+_xlfn.XLOOKUP(B106,'Base stats'!B:B,'Base stats'!AX:AX))+_xlfn.XLOOKUP(B106,'Base stats'!B:B,'Base stats'!AV:AV)+0.5,0.5))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stats'!AR:AR))*(AO106^0.5)+(_xlfn.XLOOKUP(B106,'Base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stats'!AQ:AQ)="No","No",MROUND((LOG10(_xlfn.XLOOKUP(B106,'Base stats'!B:B,'Base stats'!AQ:AQ))*(AO106^0.75)+(_xlfn.XLOOKUP(B106,'Base stats'!B:B,'Base stats'!AQ:AQ)/1000)^(2/3)+_xlfn.XLOOKUP(B106,'Base stats'!B:B,'Base stats'!AU:AU)+_xlfn.XLOOKUP(B106,'Base stats'!B:B,'Base stats'!AX:AX))+0.5,0.5))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stats'!AP:AP))*(AO106^0.75)+(_xlfn.XLOOKUP(B106,'Base stats'!B:B,'Base stats'!AP:AP)/1000)^(2/3)+_xlfn.XLOOKUP(B106,'Base stats'!B:B,'Base stats'!AV:AV)+_xlfn.XLOOKUP(B106,'Base stats'!B:B,'Base stats'!AX:AX))+0.5,0.5))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MAX(0.01,MROUND(IF(CB106="True",0.196*(AO106*100*1000)^0.889,IF(_xlfn.XLOOKUP(_xlfn.XLOOKUP(B106,'Base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stats'!AE:AE)</f>
        <v>No</v>
      </c>
      <c r="BB106" s="23" t="str">
        <f>_xlfn.XLOOKUP(_xlfn.XLOOKUP(B106,'Base stats'!B:B,'Base stats'!E:E),Groups!A:A,Groups!AL:AL)</f>
        <v>BeetleLike</v>
      </c>
      <c r="BC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D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E106" s="2" t="str">
        <f>IF(J106&gt;0.3,"No",_xlfn.XLOOKUP(_xlfn.XLOOKUP(Animals!B106,'Base stats'!B:B,'Base stats'!E:E),Groups!A:A,Groups!AP:AP))</f>
        <v>No</v>
      </c>
      <c r="BF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+ 24*(1-IF(BE106="No",0,BE106)) + 16/3, 12),"No")</f>
        <v>No</v>
      </c>
      <c r="BG106" s="2">
        <f>IF(AND(_xlfn.XLOOKUP(_xlfn.XLOOKUP(B106,'Base stats'!B:B,'Base stats'!E:E),Groups!A:A,Groups!AQ:AQ)=1,AO106&lt;=0.35),8,12)</f>
        <v>12</v>
      </c>
      <c r="BH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I106" s="2" t="str">
        <f>IF(AND(_xlfn.XLOOKUP(_xlfn.XLOOKUP(B106,'Base stats'!B:B,'Base stats'!E:E),Groups!A:A,Groups!AS:AS)=1,OR('Base stats'!Y106="Carnivore",'Base stats'!Y106="Omnivore")),"true","false")</f>
        <v>true</v>
      </c>
      <c r="BJ106" s="2">
        <f>IF(BI106="true",MROUND(IF(AND(AO106&gt;0.5,OR(_xlfn.XLOOKUP(_xlfn.XLOOKUP(B106,'Base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K106" s="2">
        <f t="shared" si="10"/>
        <v>1</v>
      </c>
      <c r="BL106" s="25" t="str">
        <f>IF(_xlfn.XLOOKUP(B106,'Base stats'!B:B,'Base stats'!AK:AK)="Standard","No",MROUND((_xlfn.XLOOKUP(B106,'Base stats'!B:B,'Base stats'!AK:AK)/3.6)/I106,0.1))</f>
        <v>No</v>
      </c>
      <c r="BM106" s="25" t="str">
        <f t="shared" si="11"/>
        <v>false</v>
      </c>
      <c r="BN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O106" s="25" t="str" cm="1">
        <f t="array" ref="BO106">IF(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 = "",
  "No",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
)</f>
        <v>AttackTarget, EggSpew</v>
      </c>
      <c r="BP106" s="25" t="str">
        <f>IF(
   AND(
      'Base stats'!AK106="Standard",_xlfn.XLOOKUP(_xlfn.XLOOKUP(B106,'Base stats'!B:B,'Base stats'!E:E),Groups!A:A,Groups!AU:AU)=0,
      OR(
      BN106="True"
      )
   ),
   10,
   IF(
       OR(BL106&lt;&gt;"No",_xlfn.XLOOKUP(_xlfn.XLOOKUP(B106,'Base stats'!B:B,'Base stats'!E:E),Groups!A:A,Groups!AU:AU)=1),
      1,
      "No"
   )
)</f>
        <v>No</v>
      </c>
      <c r="BQ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stats'!AS:AS) * 1.8) * 2) * 2.5 + 10 + I106 * 2,5)+IF(_xlfn.XLOOKUP(B106,'Base stats'!B:B,'Base stats'!AH:AH)=1,50,0)</f>
        <v>1040</v>
      </c>
      <c r="BR106" s="8">
        <f t="shared" si="12"/>
        <v>1.8</v>
      </c>
      <c r="BS106" s="8" t="str">
        <f>_xlfn.XLOOKUP(B106,'Base stats'!B:B,'Base stats'!AD:AD)</f>
        <v>No</v>
      </c>
      <c r="BT106" s="2" t="str">
        <f>IF(AND(J106&lt;=0.95,OR(_xlfn.XLOOKUP(B106,'Base stats'!B:B,'Base stats'!AH:AH)=1,_xlfn.XLOOKUP(B106,'Base stats'!B:B,'Base stats'!Y:Y)="Carnivore",_xlfn.XLOOKUP(B106,'Base stats'!B:B,'Base stats'!Y:Y)="Omnivore",BD106&gt;0.1)),"true","false")</f>
        <v>false</v>
      </c>
      <c r="BU106" s="2" t="str">
        <f>IF(_xlfn.XLOOKUP(B106,'Base stats'!B:B,'Base stats'!AF:AF)=1,"true","false")</f>
        <v>false</v>
      </c>
      <c r="BV106" s="25" t="str">
        <f>IF(E106="BaseInsect","AnimalInsect",
IF(J106&gt;0.95,"AnimalExotic",
_xlfn.TEXTJOIN(", ",TRUE,
IF(OR(_xlfn.XLOOKUP(B106,'Base stats'!B:B,'Base stats'!AJ:AJ)=1,AND(_xlfn.XLOOKUP(B106,'Base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stats'!AH:AH)=1,AND(BH106&lt;&gt;"None",BQ106&gt;=60),ISNUMBER(SEARCH("Attack target",BO106))),"AnimalFighter","")
)))</f>
        <v>AnimalInsect</v>
      </c>
      <c r="BW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),_xlfn.XLOOKUP(B106,B:B,BW:BW))</f>
        <v/>
      </c>
      <c r="BX106" s="25" t="str">
        <f>IF(_xlfn.XLOOKUP(B106,'Base stats'!B:B,'Base stats'!AG:AG)=1,"true","false")</f>
        <v>false</v>
      </c>
      <c r="BY106" s="25">
        <f>IF(_xlfn.XLOOKUP(B106,'Base stats'!B:B,'Base stats'!N:N)=1,"No",MAX(0.01,MIN(MROUND(IF(OR(_xlfn.XLOOKUP(B106,'Base stats'!B:B,'Base stats'!AJ:AJ)=1,AND(BI106="True",CB106="False")),POWER(10,3.47*LOG10(_xlfn.XLOOKUP(B106,'Base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stats'!AH:AH)=1),0.5,1)/100,0.025),1)))</f>
        <v>2.5000000000000001E-2</v>
      </c>
      <c r="BZ106" s="25">
        <f>IF(P106="Standard","No",MAX(0.01,IF(_xlfn.XLOOKUP(B106,'Base stats'!B:B,'Base stats'!N:N)=0,MROUND(BY106*P106,0.05),MIN(1,MAX(0.025,MROUND(IF(OR(CB106="true",AND(BI106="false",BN106="false")),POWER(10,4.15*LOG10(_xlfn.XLOOKUP(B106,'Base stats'!B:B,'Base stats'!C:C)*1000)^-0.73),POWER(10,3.47*LOG10(_xlfn.XLOOKUP(B106,'Base stats'!B:B,'Base stats'!C:C)*1000)^-0.96))*IF(_xlfn.XLOOKUP(B106,'Base stats'!B:B,'Base stats'!AH:AH)=1,0.5,1)/100,0.025))))))</f>
        <v>0.05</v>
      </c>
      <c r="CA106" s="25" t="str">
        <f>IF(_xlfn.XLOOKUP(_xlfn.XLOOKUP(B106,'Base stats'!B:B,'Base stats'!E:E),Groups!A:A,Groups!AJ:AJ)="Mammal","True","False")</f>
        <v>False</v>
      </c>
      <c r="CB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C106" s="25" t="str">
        <f t="shared" si="13"/>
        <v>True</v>
      </c>
      <c r="CD106" s="25" t="str">
        <f>IF(_xlfn.XLOOKUP(_xlfn.XLOOKUP(B106,'Base stats'!B:B,'Base stats'!E:E),Groups!A:A,Groups!AX:AX),"True","False")</f>
        <v>False</v>
      </c>
      <c r="CE106" s="25" t="str">
        <f>IF(_xlfn.XLOOKUP(_xlfn.XLOOKUP(B106,'Base stats'!B:B,'Base stats'!E:E),Groups!A:A,Groups!AY:AY),"True","False")</f>
        <v>False</v>
      </c>
      <c r="CF106" s="25" t="str">
        <f>IF(_xlfn.XLOOKUP(_xlfn.XLOOKUP(B106,'Base stats'!B:B,'Base stats'!E:E),Groups!A:A,Groups!AW:AW),"True","False")</f>
        <v>False</v>
      </c>
      <c r="CG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H106" s="25" t="str">
        <f>IF(_xlfn.XLOOKUP(_xlfn.XLOOKUP(B106,'Base stats'!B:B,'Base stats'!E:E),Groups!A:A,Groups!BB:BB),"True","False")</f>
        <v>False</v>
      </c>
      <c r="CI106" s="25" t="str">
        <f>IF(_xlfn.XLOOKUP(_xlfn.XLOOKUP(B106,'Base stats'!B:B,'Base stats'!E:E),Groups!A:A,Groups!BA:BA),"True","False")</f>
        <v>False</v>
      </c>
    </row>
    <row r="107" spans="1:87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stats'!AI:AI)=0,BH107="None",_xlfn.XLOOKUP(_xlfn.XLOOKUP(B107,'Base stats'!B:B,'Base stats'!E:E),Groups!A:A,Groups!B:B)=0), (18 + BQ107 * 2.7) * 0.5,
    IF(AND(_xlfn.XLOOKUP(B107,'Base stats'!B:B,'Base stats'!AI:AI)=0,OR(AO107&lt;0.55,AND(BH107="Intermediate",_xlfn.XLOOKUP(_xlfn.XLOOKUP(B107,'Base stats'!B:B,'Base stats'!E:E),Groups!A:A,Groups!B:B)&lt;2))), (18 + BQ107 * 2.7),
      IF(OR(BH107="Advanced",_xlfn.XLOOKUP(B107,'Base stats'!B:B,'Base stats'!AI:AI)=1,_xlfn.XLOOKUP(_xlfn.XLOOKUP(B107,'Base stats'!B:B,'Base stats'!E:E),Groups!A:A,Groups!B:B)=2), (18 + BQ107 * 2.7) + 250, (18 + BQ107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IF(_xlfn.XLOOKUP(B107,'Base stats'!B:B,'Base stats'!AI:AI)=1,0.99,MIN(MROUND((1-0.6282*EXP(-0.459*AO107))*_xlfn.XLOOKUP(_xlfn.XLOOKUP(B107,'Base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W107)),ISNUMBER(SEARCH("IceSheet",BW107))),-50,IF(OR(ISNUMBER(SEARCH("GlacialPlain",BW107)),ISNUMBER(SEARCH("Tundra",BW107))),-40,IF(OR(ISNUMBER(SEARCH("Alpine",BW107)),ISNUMBER(SEARCH("BorealForest",BW107)),ISNUMBER(SEARCH("ColdBog",BW107))),-30,IF(OR(ISNUMBER(SEARCH("TemperateForest",BW107)),ISNUMBER(SEARCH("TemperateSwamp",BW107))),-20,IF(_xlfn.XLOOKUP(_xlfn.XLOOKUP(B107,'Base stats'!B:B,'Base stats'!E:E),Groups!A:A,Groups!F:F)=1,-15,IF(OR(ISNUMBER(SEARCH("Desert",BW107)),ISNUMBER(SEARCH("ExtremeDesert",BW107))),-10,IF(OR(ISNUMBER(SEARCH("Grasslands",BW107)),ISNUMBER(SEARCH("TropicalRainforest",BW107)),ISNUMBER(SEARCH("TropicalSwamp",BW107))),10,0)))))))-IF(CB107="False",MIN(IFERROR(MAX(MROUND(LOG10(_xlfn.XLOOKUP(B107,'Base stats'!B:B,'Base stats'!C:C)^(2/3))*10,5),5),5),30))-_xlfn.XLOOKUP(B107,'Base stats'!B:B,'Base stats'!P:P)+IF(CB107="True",5,0)</f>
        <v>5</v>
      </c>
      <c r="M107" s="2">
        <f>IF(OR(_xlfn.XLOOKUP(_xlfn.XLOOKUP(B107,'Base stats'!B:B,'Base stats'!E:E),Groups!A:A,Groups!G:G)=2,ISNUMBER(SEARCH("Desert",BW107)),ISNUMBER(SEARCH("ExtremeDesert",BW107)),ISNUMBER(SEARCH("LavaField",BW107))),50,IF(ISNUMBER(SEARCH("Grasslands",BW107)),45,IF(OR(_xlfn.XLOOKUP(_xlfn.XLOOKUP(B107,'Base stats'!B:B,'Base stats'!E:E),Groups!A:A,Groups!G:G)=1,ISNUMBER(SEARCH("TropicalRainforest",BW107)),ISNUMBER(SEARCH("TropicalSwamp",BW107))),40,IF(OR(ISNUMBER(SEARCH("TemperateForest",BW107)),ISNUMBER(SEARCH("TemperateSwamp",BW107))),35,IF(OR(ISNUMBER(SEARCH("Alpine",BW107)),ISNUMBER(SEARCH("BorealForest",BW107)),ISNUMBER(SEARCH("ColdBog",BW107))),30,IF(ISNUMBER(OR(ISNUMBER(SEARCH("GlacialPlain",BW107)),SEARCH("Tundra",BW107))),25,IF(OR(ISNUMBER(SEARCH("SeaIce",BW107)),ISNUMBER(SEARCH("IceSheet",BW107)),ISNUMBER(SEARCH("TropicalSwamp",BW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stats'!AO:AO))*(AO107^0.5)+(_xlfn.XLOOKUP(B107,'Base stats'!B:B,'Base stats'!AO:AO)/1000)^(2/3)+_xlfn.XLOOKUP(B107,'Base stats'!B:B,'Base stats'!AX:AX)/2)+0.5,0.5)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stats'!AP:AP))*(AO107^0.5)+(_xlfn.XLOOKUP(B107,'Base stats'!B:B,'Base stats'!AP:AP)/1000)^(2/3)+_xlfn.XLOOKUP(B107,'Base stats'!B:B,'Base stats'!AX:AX))+_xlfn.XLOOKUP(B107,'Base stats'!B:B,'Base stats'!AV:AV)+0.5,0.5))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stats'!AR:AR))*(AO107^0.5)+(_xlfn.XLOOKUP(B107,'Base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stats'!AQ:AQ)="No","No",MROUND((LOG10(_xlfn.XLOOKUP(B107,'Base stats'!B:B,'Base stats'!AQ:AQ))*(AO107^0.75)+(_xlfn.XLOOKUP(B107,'Base stats'!B:B,'Base stats'!AQ:AQ)/1000)^(2/3)+_xlfn.XLOOKUP(B107,'Base stats'!B:B,'Base stats'!AU:AU)+_xlfn.XLOOKUP(B107,'Base stats'!B:B,'Base stats'!AX:AX))+0.5,0.5))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stats'!AP:AP))*(AO107^0.75)+(_xlfn.XLOOKUP(B107,'Base stats'!B:B,'Base stats'!AP:AP)/1000)^(2/3)+_xlfn.XLOOKUP(B107,'Base stats'!B:B,'Base stats'!AV:AV)+_xlfn.XLOOKUP(B107,'Base stats'!B:B,'Base stats'!AX:AX))+0.5,0.5))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MAX(0.01,MROUND(IF(CB107="True",0.196*(AO107*100*1000)^0.889,IF(_xlfn.XLOOKUP(_xlfn.XLOOKUP(B107,'Base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stats'!AE:AE)</f>
        <v>No</v>
      </c>
      <c r="BB107" s="23" t="str">
        <f>_xlfn.XLOOKUP(_xlfn.XLOOKUP(B107,'Base stats'!B:B,'Base stats'!E:E),Groups!A:A,Groups!AL:AL)</f>
        <v>BeetleLike</v>
      </c>
      <c r="BC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D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E107" s="2" t="str">
        <f>IF(J107&gt;0.3,"No",_xlfn.XLOOKUP(_xlfn.XLOOKUP(Animals!B107,'Base stats'!B:B,'Base stats'!E:E),Groups!A:A,Groups!AP:AP))</f>
        <v>No</v>
      </c>
      <c r="BF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+ 24*(1-IF(BE107="No",0,BE107)) + 16/3, 12),"No")</f>
        <v>No</v>
      </c>
      <c r="BG107" s="2">
        <f>IF(AND(_xlfn.XLOOKUP(_xlfn.XLOOKUP(B107,'Base stats'!B:B,'Base stats'!E:E),Groups!A:A,Groups!AQ:AQ)=1,AO107&lt;=0.35),8,12)</f>
        <v>12</v>
      </c>
      <c r="BH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I107" s="2" t="str">
        <f>IF(AND(_xlfn.XLOOKUP(_xlfn.XLOOKUP(B107,'Base stats'!B:B,'Base stats'!E:E),Groups!A:A,Groups!AS:AS)=1,OR('Base stats'!Y107="Carnivore",'Base stats'!Y107="Omnivore")),"true","false")</f>
        <v>true</v>
      </c>
      <c r="BJ107" s="2">
        <f>IF(BI107="true",MROUND(IF(AND(AO107&gt;0.5,OR(_xlfn.XLOOKUP(_xlfn.XLOOKUP(B107,'Base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K107" s="2">
        <f t="shared" si="10"/>
        <v>1</v>
      </c>
      <c r="BL107" s="25" t="str">
        <f>IF(_xlfn.XLOOKUP(B107,'Base stats'!B:B,'Base stats'!AK:AK)="Standard","No",MROUND((_xlfn.XLOOKUP(B107,'Base stats'!B:B,'Base stats'!AK:AK)/3.6)/I107,0.1))</f>
        <v>No</v>
      </c>
      <c r="BM107" s="25" t="str">
        <f t="shared" si="11"/>
        <v>false</v>
      </c>
      <c r="BN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O107" s="25" t="str" cm="1">
        <f t="array" ref="BO107">IF(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 = "",
  "No",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
)</f>
        <v>SludgeSpew</v>
      </c>
      <c r="BP107" s="25" t="str">
        <f>IF(
   AND(
      'Base stats'!AK107="Standard",_xlfn.XLOOKUP(_xlfn.XLOOKUP(B107,'Base stats'!B:B,'Base stats'!E:E),Groups!A:A,Groups!AU:AU)=0,
      OR(
      BN107="True"
      )
   ),
   10,
   IF(
       OR(BL107&lt;&gt;"No",_xlfn.XLOOKUP(_xlfn.XLOOKUP(B107,'Base stats'!B:B,'Base stats'!E:E),Groups!A:A,Groups!AU:AU)=1),
      1,
      "No"
   )
)</f>
        <v>No</v>
      </c>
      <c r="BQ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stats'!AS:AS) * 1.8) * 2) * 2.5 + 10 + I107 * 2,5)+IF(_xlfn.XLOOKUP(B107,'Base stats'!B:B,'Base stats'!AH:AH)=1,50,0)</f>
        <v>70</v>
      </c>
      <c r="BR107" s="8">
        <f t="shared" si="12"/>
        <v>0.2</v>
      </c>
      <c r="BS107" s="8" t="str">
        <f>_xlfn.XLOOKUP(B107,'Base stats'!B:B,'Base stats'!AD:AD)</f>
        <v>No</v>
      </c>
      <c r="BT107" s="2" t="str">
        <f>IF(AND(J107&lt;=0.95,OR(_xlfn.XLOOKUP(B107,'Base stats'!B:B,'Base stats'!AH:AH)=1,_xlfn.XLOOKUP(B107,'Base stats'!B:B,'Base stats'!Y:Y)="Carnivore",_xlfn.XLOOKUP(B107,'Base stats'!B:B,'Base stats'!Y:Y)="Omnivore",BD107&gt;0.1)),"true","false")</f>
        <v>true</v>
      </c>
      <c r="BU107" s="2" t="str">
        <f>IF(_xlfn.XLOOKUP(B107,'Base stats'!B:B,'Base stats'!AF:AF)=1,"true","false")</f>
        <v>false</v>
      </c>
      <c r="BV107" s="25" t="str">
        <f>IF(E107="BaseInsect","AnimalInsect",
IF(J107&gt;0.95,"AnimalExotic",
_xlfn.TEXTJOIN(", ",TRUE,
IF(OR(_xlfn.XLOOKUP(B107,'Base stats'!B:B,'Base stats'!AJ:AJ)=1,AND(_xlfn.XLOOKUP(B107,'Base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stats'!AH:AH)=1,AND(BH107&lt;&gt;"None",BQ107&gt;=60),ISNUMBER(SEARCH("Attack target",BO107))),"AnimalFighter","")
)))</f>
        <v>AnimalInsect</v>
      </c>
      <c r="BW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),_xlfn.XLOOKUP(B107,B:B,BW:BW))</f>
        <v/>
      </c>
      <c r="BX107" s="25" t="str">
        <f>IF(_xlfn.XLOOKUP(B107,'Base stats'!B:B,'Base stats'!AG:AG)=1,"true","false")</f>
        <v>false</v>
      </c>
      <c r="BY107" s="25">
        <f>IF(_xlfn.XLOOKUP(B107,'Base stats'!B:B,'Base stats'!N:N)=1,"No",MAX(0.01,MIN(MROUND(IF(OR(_xlfn.XLOOKUP(B107,'Base stats'!B:B,'Base stats'!AJ:AJ)=1,AND(BI107="True",CB107="False")),POWER(10,3.47*LOG10(_xlfn.XLOOKUP(B107,'Base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stats'!AH:AH)=1),0.5,1)/100,0.025),1)))</f>
        <v>0.30000000000000004</v>
      </c>
      <c r="BZ107" s="25">
        <f>IF(P107="Standard","No",MAX(0.01,IF(_xlfn.XLOOKUP(B107,'Base stats'!B:B,'Base stats'!N:N)=0,MROUND(BY107*P107,0.05),MIN(1,MAX(0.025,MROUND(IF(OR(CB107="true",AND(BI107="false",BN107="false")),POWER(10,4.15*LOG10(_xlfn.XLOOKUP(B107,'Base stats'!B:B,'Base stats'!C:C)*1000)^-0.73),POWER(10,3.47*LOG10(_xlfn.XLOOKUP(B107,'Base stats'!B:B,'Base stats'!C:C)*1000)^-0.96))*IF(_xlfn.XLOOKUP(B107,'Base stats'!B:B,'Base stats'!AH:AH)=1,0.5,1)/100,0.025))))))</f>
        <v>0.30000000000000004</v>
      </c>
      <c r="CA107" s="25" t="str">
        <f>IF(_xlfn.XLOOKUP(_xlfn.XLOOKUP(B107,'Base stats'!B:B,'Base stats'!E:E),Groups!A:A,Groups!AJ:AJ)="Mammal","True","False")</f>
        <v>False</v>
      </c>
      <c r="CB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C107" s="25" t="str">
        <f t="shared" si="13"/>
        <v>False</v>
      </c>
      <c r="CD107" s="25" t="str">
        <f>IF(_xlfn.XLOOKUP(_xlfn.XLOOKUP(B107,'Base stats'!B:B,'Base stats'!E:E),Groups!A:A,Groups!AX:AX),"True","False")</f>
        <v>False</v>
      </c>
      <c r="CE107" s="25" t="str">
        <f>IF(_xlfn.XLOOKUP(_xlfn.XLOOKUP(B107,'Base stats'!B:B,'Base stats'!E:E),Groups!A:A,Groups!AY:AY),"True","False")</f>
        <v>False</v>
      </c>
      <c r="CF107" s="25" t="str">
        <f>IF(_xlfn.XLOOKUP(_xlfn.XLOOKUP(B107,'Base stats'!B:B,'Base stats'!E:E),Groups!A:A,Groups!AW:AW),"True","False")</f>
        <v>False</v>
      </c>
      <c r="CG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H107" s="25" t="str">
        <f>IF(_xlfn.XLOOKUP(_xlfn.XLOOKUP(B107,'Base stats'!B:B,'Base stats'!E:E),Groups!A:A,Groups!BB:BB),"True","False")</f>
        <v>False</v>
      </c>
      <c r="CI107" s="25" t="str">
        <f>IF(_xlfn.XLOOKUP(_xlfn.XLOOKUP(B107,'Base stats'!B:B,'Base stats'!E:E),Groups!A:A,Groups!BA:BA),"True","False")</f>
        <v>False</v>
      </c>
    </row>
    <row r="108" spans="1:87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stats'!AI:AI)=0,BH108="None",_xlfn.XLOOKUP(_xlfn.XLOOKUP(B108,'Base stats'!B:B,'Base stats'!E:E),Groups!A:A,Groups!B:B)=0), (18 + BQ108 * 2.7) * 0.5,
    IF(AND(_xlfn.XLOOKUP(B108,'Base stats'!B:B,'Base stats'!AI:AI)=0,OR(AO108&lt;0.55,AND(BH108="Intermediate",_xlfn.XLOOKUP(_xlfn.XLOOKUP(B108,'Base stats'!B:B,'Base stats'!E:E),Groups!A:A,Groups!B:B)&lt;2))), (18 + BQ108 * 2.7),
      IF(OR(BH108="Advanced",_xlfn.XLOOKUP(B108,'Base stats'!B:B,'Base stats'!AI:AI)=1,_xlfn.XLOOKUP(_xlfn.XLOOKUP(B108,'Base stats'!B:B,'Base stats'!E:E),Groups!A:A,Groups!B:B)=2), (18 + BQ108 * 2.7) + 250, (18 + BQ108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IF(_xlfn.XLOOKUP(B108,'Base stats'!B:B,'Base stats'!AI:AI)=1,0.99,MIN(MROUND((1-0.6282*EXP(-0.459*AO108))*_xlfn.XLOOKUP(_xlfn.XLOOKUP(B108,'Base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W108)),ISNUMBER(SEARCH("IceSheet",BW108))),-50,IF(OR(ISNUMBER(SEARCH("GlacialPlain",BW108)),ISNUMBER(SEARCH("Tundra",BW108))),-40,IF(OR(ISNUMBER(SEARCH("Alpine",BW108)),ISNUMBER(SEARCH("BorealForest",BW108)),ISNUMBER(SEARCH("ColdBog",BW108))),-30,IF(OR(ISNUMBER(SEARCH("TemperateForest",BW108)),ISNUMBER(SEARCH("TemperateSwamp",BW108))),-20,IF(_xlfn.XLOOKUP(_xlfn.XLOOKUP(B108,'Base stats'!B:B,'Base stats'!E:E),Groups!A:A,Groups!F:F)=1,-15,IF(OR(ISNUMBER(SEARCH("Desert",BW108)),ISNUMBER(SEARCH("ExtremeDesert",BW108))),-10,IF(OR(ISNUMBER(SEARCH("Grasslands",BW108)),ISNUMBER(SEARCH("TropicalRainforest",BW108)),ISNUMBER(SEARCH("TropicalSwamp",BW108))),10,0)))))))-IF(CB108="False",MIN(IFERROR(MAX(MROUND(LOG10(_xlfn.XLOOKUP(B108,'Base stats'!B:B,'Base stats'!C:C)^(2/3))*10,5),5),5),30))-_xlfn.XLOOKUP(B108,'Base stats'!B:B,'Base stats'!P:P)+IF(CB108="True",5,0)</f>
        <v>5</v>
      </c>
      <c r="M108" s="2">
        <f>IF(OR(_xlfn.XLOOKUP(_xlfn.XLOOKUP(B108,'Base stats'!B:B,'Base stats'!E:E),Groups!A:A,Groups!G:G)=2,ISNUMBER(SEARCH("Desert",BW108)),ISNUMBER(SEARCH("ExtremeDesert",BW108)),ISNUMBER(SEARCH("LavaField",BW108))),50,IF(ISNUMBER(SEARCH("Grasslands",BW108)),45,IF(OR(_xlfn.XLOOKUP(_xlfn.XLOOKUP(B108,'Base stats'!B:B,'Base stats'!E:E),Groups!A:A,Groups!G:G)=1,ISNUMBER(SEARCH("TropicalRainforest",BW108)),ISNUMBER(SEARCH("TropicalSwamp",BW108))),40,IF(OR(ISNUMBER(SEARCH("TemperateForest",BW108)),ISNUMBER(SEARCH("TemperateSwamp",BW108))),35,IF(OR(ISNUMBER(SEARCH("Alpine",BW108)),ISNUMBER(SEARCH("BorealForest",BW108)),ISNUMBER(SEARCH("ColdBog",BW108))),30,IF(ISNUMBER(OR(ISNUMBER(SEARCH("GlacialPlain",BW108)),SEARCH("Tundra",BW108))),25,IF(OR(ISNUMBER(SEARCH("SeaIce",BW108)),ISNUMBER(SEARCH("IceSheet",BW108)),ISNUMBER(SEARCH("TropicalSwamp",BW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stats'!AO:AO))*(AO108^0.5)+(_xlfn.XLOOKUP(B108,'Base stats'!B:B,'Base stats'!AO:AO)/1000)^(2/3)+_xlfn.XLOOKUP(B108,'Base stats'!B:B,'Base stats'!AX:AX)/2)+0.5,0.5)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stats'!AP:AP))*(AO108^0.5)+(_xlfn.XLOOKUP(B108,'Base stats'!B:B,'Base stats'!AP:AP)/1000)^(2/3)+_xlfn.XLOOKUP(B108,'Base stats'!B:B,'Base stats'!AX:AX))+_xlfn.XLOOKUP(B108,'Base stats'!B:B,'Base stats'!AV:AV)+0.5,0.5))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stats'!AR:AR))*(AO108^0.5)+(_xlfn.XLOOKUP(B108,'Base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stats'!AQ:AQ)="No","No",MROUND((LOG10(_xlfn.XLOOKUP(B108,'Base stats'!B:B,'Base stats'!AQ:AQ))*(AO108^0.75)+(_xlfn.XLOOKUP(B108,'Base stats'!B:B,'Base stats'!AQ:AQ)/1000)^(2/3)+_xlfn.XLOOKUP(B108,'Base stats'!B:B,'Base stats'!AU:AU)+_xlfn.XLOOKUP(B108,'Base stats'!B:B,'Base stats'!AX:AX))+0.5,0.5))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stats'!AP:AP))*(AO108^0.75)+(_xlfn.XLOOKUP(B108,'Base stats'!B:B,'Base stats'!AP:AP)/1000)^(2/3)+_xlfn.XLOOKUP(B108,'Base stats'!B:B,'Base stats'!AV:AV)+_xlfn.XLOOKUP(B108,'Base stats'!B:B,'Base stats'!AX:AX))+0.5,0.5))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MAX(0.01,MROUND(IF(CB108="True",0.196*(AO108*100*1000)^0.889,IF(_xlfn.XLOOKUP(_xlfn.XLOOKUP(B108,'Base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stats'!AE:AE)</f>
        <v>No</v>
      </c>
      <c r="BB108" s="23" t="str">
        <f>_xlfn.XLOOKUP(_xlfn.XLOOKUP(B108,'Base stats'!B:B,'Base stats'!E:E),Groups!A:A,Groups!AL:AL)</f>
        <v>BeetleLike</v>
      </c>
      <c r="BC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D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E108" s="2" t="str">
        <f>IF(J108&gt;0.3,"No",_xlfn.XLOOKUP(_xlfn.XLOOKUP(Animals!B108,'Base stats'!B:B,'Base stats'!E:E),Groups!A:A,Groups!AP:AP))</f>
        <v>No</v>
      </c>
      <c r="BF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+ 24*(1-IF(BE108="No",0,BE108)) + 16/3, 12),"No")</f>
        <v>No</v>
      </c>
      <c r="BG108" s="2">
        <f>IF(AND(_xlfn.XLOOKUP(_xlfn.XLOOKUP(B108,'Base stats'!B:B,'Base stats'!E:E),Groups!A:A,Groups!AQ:AQ)=1,AO108&lt;=0.35),8,12)</f>
        <v>12</v>
      </c>
      <c r="BH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I108" s="2" t="str">
        <f>IF(AND(_xlfn.XLOOKUP(_xlfn.XLOOKUP(B108,'Base stats'!B:B,'Base stats'!E:E),Groups!A:A,Groups!AS:AS)=1,OR('Base stats'!Y108="Carnivore",'Base stats'!Y108="Omnivore")),"true","false")</f>
        <v>true</v>
      </c>
      <c r="BJ108" s="2">
        <f>IF(BI108="true",MROUND(IF(AND(AO108&gt;0.5,OR(_xlfn.XLOOKUP(_xlfn.XLOOKUP(B108,'Base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K108" s="2">
        <f t="shared" si="10"/>
        <v>1</v>
      </c>
      <c r="BL108" s="25" t="str">
        <f>IF(_xlfn.XLOOKUP(B108,'Base stats'!B:B,'Base stats'!AK:AK)="Standard","No",MROUND((_xlfn.XLOOKUP(B108,'Base stats'!B:B,'Base stats'!AK:AK)/3.6)/I108,0.1))</f>
        <v>No</v>
      </c>
      <c r="BM108" s="25" t="str">
        <f t="shared" si="11"/>
        <v>false</v>
      </c>
      <c r="BN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O108" s="25" t="str" cm="1">
        <f t="array" ref="BO108">IF(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 = "",
  "No",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
)</f>
        <v>AttackTarget, Forage</v>
      </c>
      <c r="BP108" s="25" t="str">
        <f>IF(
   AND(
      'Base stats'!AK108="Standard",_xlfn.XLOOKUP(_xlfn.XLOOKUP(B108,'Base stats'!B:B,'Base stats'!E:E),Groups!A:A,Groups!AU:AU)=0,
      OR(
      BN108="True"
      )
   ),
   10,
   IF(
       OR(BL108&lt;&gt;"No",_xlfn.XLOOKUP(_xlfn.XLOOKUP(B108,'Base stats'!B:B,'Base stats'!E:E),Groups!A:A,Groups!AU:AU)=1),
      1,
      "No"
   )
)</f>
        <v>No</v>
      </c>
      <c r="BQ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stats'!AS:AS) * 1.8) * 2) * 2.5 + 10 + I108 * 2,5)+IF(_xlfn.XLOOKUP(B108,'Base stats'!B:B,'Base stats'!AH:AH)=1,50,0)</f>
        <v>100</v>
      </c>
      <c r="BR108" s="8">
        <f t="shared" si="12"/>
        <v>0.2</v>
      </c>
      <c r="BS108" s="8" t="str">
        <f>_xlfn.XLOOKUP(B108,'Base stats'!B:B,'Base stats'!AD:AD)</f>
        <v>No</v>
      </c>
      <c r="BT108" s="2" t="str">
        <f>IF(AND(J108&lt;=0.95,OR(_xlfn.XLOOKUP(B108,'Base stats'!B:B,'Base stats'!AH:AH)=1,_xlfn.XLOOKUP(B108,'Base stats'!B:B,'Base stats'!Y:Y)="Carnivore",_xlfn.XLOOKUP(B108,'Base stats'!B:B,'Base stats'!Y:Y)="Omnivore",BD108&gt;0.1)),"true","false")</f>
        <v>true</v>
      </c>
      <c r="BU108" s="2" t="str">
        <f>IF(_xlfn.XLOOKUP(B108,'Base stats'!B:B,'Base stats'!AF:AF)=1,"true","false")</f>
        <v>false</v>
      </c>
      <c r="BV108" s="25" t="str">
        <f>IF(E108="BaseInsect","AnimalInsect",
IF(J108&gt;0.95,"AnimalExotic",
_xlfn.TEXTJOIN(", ",TRUE,
IF(OR(_xlfn.XLOOKUP(B108,'Base stats'!B:B,'Base stats'!AJ:AJ)=1,AND(_xlfn.XLOOKUP(B108,'Base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stats'!AH:AH)=1,AND(BH108&lt;&gt;"None",BQ108&gt;=60),ISNUMBER(SEARCH("Attack target",BO108))),"AnimalFighter","")
)))</f>
        <v>AnimalInsect</v>
      </c>
      <c r="BW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),_xlfn.XLOOKUP(B108,B:B,BW:BW))</f>
        <v/>
      </c>
      <c r="BX108" s="25" t="str">
        <f>IF(_xlfn.XLOOKUP(B108,'Base stats'!B:B,'Base stats'!AG:AG)=1,"true","false")</f>
        <v>false</v>
      </c>
      <c r="BY108" s="25">
        <f>IF(_xlfn.XLOOKUP(B108,'Base stats'!B:B,'Base stats'!N:N)=1,"No",MAX(0.01,MIN(MROUND(IF(OR(_xlfn.XLOOKUP(B108,'Base stats'!B:B,'Base stats'!AJ:AJ)=1,AND(BI108="True",CB108="False")),POWER(10,3.47*LOG10(_xlfn.XLOOKUP(B108,'Base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stats'!AH:AH)=1),0.5,1)/100,0.025),1)))</f>
        <v>0.25</v>
      </c>
      <c r="BZ108" s="25">
        <f>IF(P108="Standard","No",MAX(0.01,IF(_xlfn.XLOOKUP(B108,'Base stats'!B:B,'Base stats'!N:N)=0,MROUND(BY108*P108,0.05),MIN(1,MAX(0.025,MROUND(IF(OR(CB108="true",AND(BI108="false",BN108="false")),POWER(10,4.15*LOG10(_xlfn.XLOOKUP(B108,'Base stats'!B:B,'Base stats'!C:C)*1000)^-0.73),POWER(10,3.47*LOG10(_xlfn.XLOOKUP(B108,'Base stats'!B:B,'Base stats'!C:C)*1000)^-0.96))*IF(_xlfn.XLOOKUP(B108,'Base stats'!B:B,'Base stats'!AH:AH)=1,0.5,1)/100,0.025))))))</f>
        <v>0.25</v>
      </c>
      <c r="CA108" s="25" t="str">
        <f>IF(_xlfn.XLOOKUP(_xlfn.XLOOKUP(B108,'Base stats'!B:B,'Base stats'!E:E),Groups!A:A,Groups!AJ:AJ)="Mammal","True","False")</f>
        <v>False</v>
      </c>
      <c r="CB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C108" s="25" t="str">
        <f t="shared" si="13"/>
        <v>False</v>
      </c>
      <c r="CD108" s="25" t="str">
        <f>IF(_xlfn.XLOOKUP(_xlfn.XLOOKUP(B108,'Base stats'!B:B,'Base stats'!E:E),Groups!A:A,Groups!AX:AX),"True","False")</f>
        <v>False</v>
      </c>
      <c r="CE108" s="25" t="str">
        <f>IF(_xlfn.XLOOKUP(_xlfn.XLOOKUP(B108,'Base stats'!B:B,'Base stats'!E:E),Groups!A:A,Groups!AY:AY),"True","False")</f>
        <v>False</v>
      </c>
      <c r="CF108" s="25" t="str">
        <f>IF(_xlfn.XLOOKUP(_xlfn.XLOOKUP(B108,'Base stats'!B:B,'Base stats'!E:E),Groups!A:A,Groups!AW:AW),"True","False")</f>
        <v>False</v>
      </c>
      <c r="CG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H108" s="25" t="str">
        <f>IF(_xlfn.XLOOKUP(_xlfn.XLOOKUP(B108,'Base stats'!B:B,'Base stats'!E:E),Groups!A:A,Groups!BB:BB),"True","False")</f>
        <v>False</v>
      </c>
      <c r="CI108" s="25" t="str">
        <f>IF(_xlfn.XLOOKUP(_xlfn.XLOOKUP(B108,'Base stats'!B:B,'Base stats'!E:E),Groups!A:A,Groups!BA:BA),"True","False")</f>
        <v>False</v>
      </c>
    </row>
    <row r="109" spans="1:87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stats'!AI:AI)=0,BH109="None",_xlfn.XLOOKUP(_xlfn.XLOOKUP(B109,'Base stats'!B:B,'Base stats'!E:E),Groups!A:A,Groups!B:B)=0), (18 + BQ109 * 2.7) * 0.5,
    IF(AND(_xlfn.XLOOKUP(B109,'Base stats'!B:B,'Base stats'!AI:AI)=0,OR(AO109&lt;0.55,AND(BH109="Intermediate",_xlfn.XLOOKUP(_xlfn.XLOOKUP(B109,'Base stats'!B:B,'Base stats'!E:E),Groups!A:A,Groups!B:B)&lt;2))), (18 + BQ109 * 2.7),
      IF(OR(BH109="Advanced",_xlfn.XLOOKUP(B109,'Base stats'!B:B,'Base stats'!AI:AI)=1,_xlfn.XLOOKUP(_xlfn.XLOOKUP(B109,'Base stats'!B:B,'Base stats'!E:E),Groups!A:A,Groups!B:B)=2), (18 + BQ109 * 2.7) + 250, (18 + BQ109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IF(_xlfn.XLOOKUP(B109,'Base stats'!B:B,'Base stats'!AI:AI)=1,0.99,MIN(MROUND((1-0.6282*EXP(-0.459*AO109))*_xlfn.XLOOKUP(_xlfn.XLOOKUP(B109,'Base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W109)),ISNUMBER(SEARCH("IceSheet",BW109))),-50,IF(OR(ISNUMBER(SEARCH("GlacialPlain",BW109)),ISNUMBER(SEARCH("Tundra",BW109))),-40,IF(OR(ISNUMBER(SEARCH("Alpine",BW109)),ISNUMBER(SEARCH("BorealForest",BW109)),ISNUMBER(SEARCH("ColdBog",BW109))),-30,IF(OR(ISNUMBER(SEARCH("TemperateForest",BW109)),ISNUMBER(SEARCH("TemperateSwamp",BW109))),-20,IF(_xlfn.XLOOKUP(_xlfn.XLOOKUP(B109,'Base stats'!B:B,'Base stats'!E:E),Groups!A:A,Groups!F:F)=1,-15,IF(OR(ISNUMBER(SEARCH("Desert",BW109)),ISNUMBER(SEARCH("ExtremeDesert",BW109))),-10,IF(OR(ISNUMBER(SEARCH("Grasslands",BW109)),ISNUMBER(SEARCH("TropicalRainforest",BW109)),ISNUMBER(SEARCH("TropicalSwamp",BW109))),10,0)))))))-IF(CB109="False",MIN(IFERROR(MAX(MROUND(LOG10(_xlfn.XLOOKUP(B109,'Base stats'!B:B,'Base stats'!C:C)^(2/3))*10,5),5),5),30))-_xlfn.XLOOKUP(B109,'Base stats'!B:B,'Base stats'!P:P)+IF(CB109="True",5,0)</f>
        <v>-45</v>
      </c>
      <c r="M109" s="2">
        <f>IF(OR(_xlfn.XLOOKUP(_xlfn.XLOOKUP(B109,'Base stats'!B:B,'Base stats'!E:E),Groups!A:A,Groups!G:G)=2,ISNUMBER(SEARCH("Desert",BW109)),ISNUMBER(SEARCH("ExtremeDesert",BW109)),ISNUMBER(SEARCH("LavaField",BW109))),50,IF(ISNUMBER(SEARCH("Grasslands",BW109)),45,IF(OR(_xlfn.XLOOKUP(_xlfn.XLOOKUP(B109,'Base stats'!B:B,'Base stats'!E:E),Groups!A:A,Groups!G:G)=1,ISNUMBER(SEARCH("TropicalRainforest",BW109)),ISNUMBER(SEARCH("TropicalSwamp",BW109))),40,IF(OR(ISNUMBER(SEARCH("TemperateForest",BW109)),ISNUMBER(SEARCH("TemperateSwamp",BW109))),35,IF(OR(ISNUMBER(SEARCH("Alpine",BW109)),ISNUMBER(SEARCH("BorealForest",BW109)),ISNUMBER(SEARCH("ColdBog",BW109))),30,IF(ISNUMBER(OR(ISNUMBER(SEARCH("GlacialPlain",BW109)),SEARCH("Tundra",BW109))),25,IF(OR(ISNUMBER(SEARCH("SeaIce",BW109)),ISNUMBER(SEARCH("IceSheet",BW109)),ISNUMBER(SEARCH("TropicalSwamp",BW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stats'!AO:AO))*(AO109^0.5)+(_xlfn.XLOOKUP(B109,'Base stats'!B:B,'Base stats'!AO:AO)/1000)^(2/3)+_xlfn.XLOOKUP(B109,'Base stats'!B:B,'Base stats'!AX:AX)/2)+0.5,0.5)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stats'!AP:AP))*(AO109^0.5)+(_xlfn.XLOOKUP(B109,'Base stats'!B:B,'Base stats'!AP:AP)/1000)^(2/3)+_xlfn.XLOOKUP(B109,'Base stats'!B:B,'Base stats'!AX:AX))+_xlfn.XLOOKUP(B109,'Base stats'!B:B,'Base stats'!AV:AV)+0.5,0.5))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stats'!AR:AR))*(AO109^0.5)+(_xlfn.XLOOKUP(B109,'Base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stats'!AQ:AQ)="No","No",MROUND((LOG10(_xlfn.XLOOKUP(B109,'Base stats'!B:B,'Base stats'!AQ:AQ))*(AO109^0.75)+(_xlfn.XLOOKUP(B109,'Base stats'!B:B,'Base stats'!AQ:AQ)/1000)^(2/3)+_xlfn.XLOOKUP(B109,'Base stats'!B:B,'Base stats'!AU:AU)+_xlfn.XLOOKUP(B109,'Base stats'!B:B,'Base stats'!AX:AX))+0.5,0.5))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stats'!AP:AP))*(AO109^0.75)+(_xlfn.XLOOKUP(B109,'Base stats'!B:B,'Base stats'!AP:AP)/1000)^(2/3)+_xlfn.XLOOKUP(B109,'Base stats'!B:B,'Base stats'!AV:AV)+_xlfn.XLOOKUP(B109,'Base stats'!B:B,'Base stats'!AX:AX))+0.5,0.5))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MAX(0.01,MROUND(IF(CB109="True",0.196*(AO109*100*1000)^0.889,IF(_xlfn.XLOOKUP(_xlfn.XLOOKUP(B109,'Base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stats'!AE:AE)</f>
        <v>Leather_Wolf</v>
      </c>
      <c r="BB109" s="23" t="str">
        <f>_xlfn.XLOOKUP(_xlfn.XLOOKUP(B109,'Base stats'!B:B,'Base stats'!E:E),Groups!A:A,Groups!AL:AL)</f>
        <v>QuadrupedAnimalWithPawsAndTail</v>
      </c>
      <c r="BC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D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E109" s="2" t="str">
        <f>IF(J109&gt;0.3,"No",_xlfn.XLOOKUP(_xlfn.XLOOKUP(Animals!B109,'Base stats'!B:B,'Base stats'!E:E),Groups!A:A,Groups!AP:AP))</f>
        <v>No</v>
      </c>
      <c r="BF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+ 24*(1-IF(BE109="No",0,BE109)) + 16/3, 12),"No")</f>
        <v>48</v>
      </c>
      <c r="BG109" s="2">
        <f>IF(AND(_xlfn.XLOOKUP(_xlfn.XLOOKUP(B109,'Base stats'!B:B,'Base stats'!E:E),Groups!A:A,Groups!AQ:AQ)=1,AO109&lt;=0.35),8,12)</f>
        <v>12</v>
      </c>
      <c r="BH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I109" s="2" t="str">
        <f>IF(AND(_xlfn.XLOOKUP(_xlfn.XLOOKUP(B109,'Base stats'!B:B,'Base stats'!E:E),Groups!A:A,Groups!AS:AS)=1,OR('Base stats'!Y109="Carnivore",'Base stats'!Y109="Omnivore")),"true","false")</f>
        <v>true</v>
      </c>
      <c r="BJ109" s="2">
        <f>IF(BI109="true",MROUND(IF(AND(AO109&gt;0.5,OR(_xlfn.XLOOKUP(_xlfn.XLOOKUP(B109,'Base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K109" s="2">
        <f t="shared" si="10"/>
        <v>1</v>
      </c>
      <c r="BL109" s="25" t="str">
        <f>IF(_xlfn.XLOOKUP(B109,'Base stats'!B:B,'Base stats'!AK:AK)="Standard","No",MROUND((_xlfn.XLOOKUP(B109,'Base stats'!B:B,'Base stats'!AK:AK)/3.6)/I109,0.1))</f>
        <v>No</v>
      </c>
      <c r="BM109" s="25" t="str">
        <f t="shared" si="11"/>
        <v>false</v>
      </c>
      <c r="BN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O109" s="25" t="str" cm="1">
        <f t="array" ref="BO109">IF(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 = "",
  "No",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
)</f>
        <v>No</v>
      </c>
      <c r="BP109" s="25" t="str">
        <f>IF(
   AND(
      'Base stats'!AK109="Standard",_xlfn.XLOOKUP(_xlfn.XLOOKUP(B109,'Base stats'!B:B,'Base stats'!E:E),Groups!A:A,Groups!AU:AU)=0,
      OR(
      BN109="True"
      )
   ),
   10,
   IF(
       OR(BL109&lt;&gt;"No",_xlfn.XLOOKUP(_xlfn.XLOOKUP(B109,'Base stats'!B:B,'Base stats'!E:E),Groups!A:A,Groups!AU:AU)=1),
      1,
      "No"
   )
)</f>
        <v>No</v>
      </c>
      <c r="BQ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stats'!AS:AS) * 1.8) * 2) * 2.5 + 10 + I109 * 2,5)+IF(_xlfn.XLOOKUP(B109,'Base stats'!B:B,'Base stats'!AH:AH)=1,50,0)</f>
        <v>70</v>
      </c>
      <c r="BR109" s="8">
        <f t="shared" si="12"/>
        <v>0.4</v>
      </c>
      <c r="BS109" s="8" t="str">
        <f>_xlfn.XLOOKUP(B109,'Base stats'!B:B,'Base stats'!AD:AD)</f>
        <v>2~6</v>
      </c>
      <c r="BT109" s="2" t="str">
        <f>IF(AND(J109&lt;=0.95,OR(_xlfn.XLOOKUP(B109,'Base stats'!B:B,'Base stats'!AH:AH)=1,_xlfn.XLOOKUP(B109,'Base stats'!B:B,'Base stats'!Y:Y)="Carnivore",_xlfn.XLOOKUP(B109,'Base stats'!B:B,'Base stats'!Y:Y)="Omnivore",BD109&gt;0.1)),"true","false")</f>
        <v>true</v>
      </c>
      <c r="BU109" s="2" t="str">
        <f>IF(_xlfn.XLOOKUP(B109,'Base stats'!B:B,'Base stats'!AF:AF)=1,"true","false")</f>
        <v>false</v>
      </c>
      <c r="BV109" s="25" t="str">
        <f>IF(E109="BaseInsect","AnimalInsect",
IF(J109&gt;0.95,"AnimalExotic",
_xlfn.TEXTJOIN(", ",TRUE,
IF(OR(_xlfn.XLOOKUP(B109,'Base stats'!B:B,'Base stats'!AJ:AJ)=1,AND(_xlfn.XLOOKUP(B109,'Base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stats'!AH:AH)=1,AND(BH109&lt;&gt;"None",BQ109&gt;=60),ISNUMBER(SEARCH("Attack target",BO109))),"AnimalFighter","")
)))</f>
        <v>AnimalCommon, AnimalFighter</v>
      </c>
      <c r="BW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),_xlfn.XLOOKUP(B109,B:B,BW:BW))</f>
        <v>BorealForest ColdBog TemperateForest TemperateSwamp AridShrubland Desert Grasslands LavaField GlacialPlain</v>
      </c>
      <c r="BX109" s="25" t="str">
        <f>IF(_xlfn.XLOOKUP(B109,'Base stats'!B:B,'Base stats'!AG:AG)=1,"true","false")</f>
        <v>false</v>
      </c>
      <c r="BY109" s="25">
        <f>IF(_xlfn.XLOOKUP(B109,'Base stats'!B:B,'Base stats'!N:N)=1,"No",MAX(0.01,MIN(MROUND(IF(OR(_xlfn.XLOOKUP(B109,'Base stats'!B:B,'Base stats'!AJ:AJ)=1,AND(BI109="True",CB109="False")),POWER(10,3.47*LOG10(_xlfn.XLOOKUP(B109,'Base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stats'!AH:AH)=1),0.5,1)/100,0.025),1)))</f>
        <v>7.5000000000000011E-2</v>
      </c>
      <c r="BZ109" s="25" t="str">
        <f>IF(P109="Standard","No",MAX(0.01,IF(_xlfn.XLOOKUP(B109,'Base stats'!B:B,'Base stats'!N:N)=0,MROUND(BY109*P109,0.05),MIN(1,MAX(0.025,MROUND(IF(OR(CB109="true",AND(BI109="false",BN109="false")),POWER(10,4.15*LOG10(_xlfn.XLOOKUP(B109,'Base stats'!B:B,'Base stats'!C:C)*1000)^-0.73),POWER(10,3.47*LOG10(_xlfn.XLOOKUP(B109,'Base stats'!B:B,'Base stats'!C:C)*1000)^-0.96))*IF(_xlfn.XLOOKUP(B109,'Base stats'!B:B,'Base stats'!AH:AH)=1,0.5,1)/100,0.025))))))</f>
        <v>No</v>
      </c>
      <c r="CA109" s="25" t="str">
        <f>IF(_xlfn.XLOOKUP(_xlfn.XLOOKUP(B109,'Base stats'!B:B,'Base stats'!E:E),Groups!A:A,Groups!AJ:AJ)="Mammal","True","False")</f>
        <v>True</v>
      </c>
      <c r="CB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C109" s="25" t="str">
        <f t="shared" si="13"/>
        <v>False</v>
      </c>
      <c r="CD109" s="25" t="str">
        <f>IF(_xlfn.XLOOKUP(_xlfn.XLOOKUP(B109,'Base stats'!B:B,'Base stats'!E:E),Groups!A:A,Groups!AX:AX),"True","False")</f>
        <v>False</v>
      </c>
      <c r="CE109" s="25" t="str">
        <f>IF(_xlfn.XLOOKUP(_xlfn.XLOOKUP(B109,'Base stats'!B:B,'Base stats'!E:E),Groups!A:A,Groups!AY:AY),"True","False")</f>
        <v>False</v>
      </c>
      <c r="CF109" s="25" t="str">
        <f>IF(_xlfn.XLOOKUP(_xlfn.XLOOKUP(B109,'Base stats'!B:B,'Base stats'!E:E),Groups!A:A,Groups!AW:AW),"True","False")</f>
        <v>False</v>
      </c>
      <c r="CG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H109" s="25" t="str">
        <f>IF(_xlfn.XLOOKUP(_xlfn.XLOOKUP(B109,'Base stats'!B:B,'Base stats'!E:E),Groups!A:A,Groups!BB:BB),"True","False")</f>
        <v>True</v>
      </c>
      <c r="CI109" s="25" t="str">
        <f>IF(_xlfn.XLOOKUP(_xlfn.XLOOKUP(B109,'Base stats'!B:B,'Base stats'!E:E),Groups!A:A,Groups!BA:BA),"True","False")</f>
        <v>False</v>
      </c>
    </row>
    <row r="110" spans="1:87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stats'!AI:AI)=0,BH110="None",_xlfn.XLOOKUP(_xlfn.XLOOKUP(B110,'Base stats'!B:B,'Base stats'!E:E),Groups!A:A,Groups!B:B)=0), (18 + BQ110 * 2.7) * 0.5,
    IF(AND(_xlfn.XLOOKUP(B110,'Base stats'!B:B,'Base stats'!AI:AI)=0,OR(AO110&lt;0.55,AND(BH110="Intermediate",_xlfn.XLOOKUP(_xlfn.XLOOKUP(B110,'Base stats'!B:B,'Base stats'!E:E),Groups!A:A,Groups!B:B)&lt;2))), (18 + BQ110 * 2.7),
      IF(OR(BH110="Advanced",_xlfn.XLOOKUP(B110,'Base stats'!B:B,'Base stats'!AI:AI)=1,_xlfn.XLOOKUP(_xlfn.XLOOKUP(B110,'Base stats'!B:B,'Base stats'!E:E),Groups!A:A,Groups!B:B)=2), (18 + BQ110 * 2.7) + 250, (18 + BQ110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IF(_xlfn.XLOOKUP(B110,'Base stats'!B:B,'Base stats'!AI:AI)=1,0.99,MIN(MROUND((1-0.6282*EXP(-0.459*AO110))*_xlfn.XLOOKUP(_xlfn.XLOOKUP(B110,'Base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W110)),ISNUMBER(SEARCH("IceSheet",BW110))),-50,IF(OR(ISNUMBER(SEARCH("GlacialPlain",BW110)),ISNUMBER(SEARCH("Tundra",BW110))),-40,IF(OR(ISNUMBER(SEARCH("Alpine",BW110)),ISNUMBER(SEARCH("BorealForest",BW110)),ISNUMBER(SEARCH("ColdBog",BW110))),-30,IF(OR(ISNUMBER(SEARCH("TemperateForest",BW110)),ISNUMBER(SEARCH("TemperateSwamp",BW110))),-20,IF(_xlfn.XLOOKUP(_xlfn.XLOOKUP(B110,'Base stats'!B:B,'Base stats'!E:E),Groups!A:A,Groups!F:F)=1,-15,IF(OR(ISNUMBER(SEARCH("Desert",BW110)),ISNUMBER(SEARCH("ExtremeDesert",BW110))),-10,IF(OR(ISNUMBER(SEARCH("Grasslands",BW110)),ISNUMBER(SEARCH("TropicalRainforest",BW110)),ISNUMBER(SEARCH("TropicalSwamp",BW110))),10,0)))))))-IF(CB110="False",MIN(IFERROR(MAX(MROUND(LOG10(_xlfn.XLOOKUP(B110,'Base stats'!B:B,'Base stats'!C:C)^(2/3))*10,5),5),5),30))-_xlfn.XLOOKUP(B110,'Base stats'!B:B,'Base stats'!P:P)+IF(CB110="True",5,0)</f>
        <v>-35</v>
      </c>
      <c r="M110" s="2">
        <f>IF(OR(_xlfn.XLOOKUP(_xlfn.XLOOKUP(B110,'Base stats'!B:B,'Base stats'!E:E),Groups!A:A,Groups!G:G)=2,ISNUMBER(SEARCH("Desert",BW110)),ISNUMBER(SEARCH("ExtremeDesert",BW110)),ISNUMBER(SEARCH("LavaField",BW110))),50,IF(ISNUMBER(SEARCH("Grasslands",BW110)),45,IF(OR(_xlfn.XLOOKUP(_xlfn.XLOOKUP(B110,'Base stats'!B:B,'Base stats'!E:E),Groups!A:A,Groups!G:G)=1,ISNUMBER(SEARCH("TropicalRainforest",BW110)),ISNUMBER(SEARCH("TropicalSwamp",BW110))),40,IF(OR(ISNUMBER(SEARCH("TemperateForest",BW110)),ISNUMBER(SEARCH("TemperateSwamp",BW110))),35,IF(OR(ISNUMBER(SEARCH("Alpine",BW110)),ISNUMBER(SEARCH("BorealForest",BW110)),ISNUMBER(SEARCH("ColdBog",BW110))),30,IF(ISNUMBER(OR(ISNUMBER(SEARCH("GlacialPlain",BW110)),SEARCH("Tundra",BW110))),25,IF(OR(ISNUMBER(SEARCH("SeaIce",BW110)),ISNUMBER(SEARCH("IceSheet",BW110)),ISNUMBER(SEARCH("TropicalSwamp",BW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stats'!AO:AO))*(AO110^0.5)+(_xlfn.XLOOKUP(B110,'Base stats'!B:B,'Base stats'!AO:AO)/1000)^(2/3)+_xlfn.XLOOKUP(B110,'Base stats'!B:B,'Base stats'!AX:AX)/2)+0.5,0.5)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stats'!AP:AP))*(AO110^0.5)+(_xlfn.XLOOKUP(B110,'Base stats'!B:B,'Base stats'!AP:AP)/1000)^(2/3)+_xlfn.XLOOKUP(B110,'Base stats'!B:B,'Base stats'!AX:AX))+_xlfn.XLOOKUP(B110,'Base stats'!B:B,'Base stats'!AV:AV)+0.5,0.5))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stats'!AR:AR))*(AO110^0.5)+(_xlfn.XLOOKUP(B110,'Base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stats'!AQ:AQ)="No","No",MROUND((LOG10(_xlfn.XLOOKUP(B110,'Base stats'!B:B,'Base stats'!AQ:AQ))*(AO110^0.75)+(_xlfn.XLOOKUP(B110,'Base stats'!B:B,'Base stats'!AQ:AQ)/1000)^(2/3)+_xlfn.XLOOKUP(B110,'Base stats'!B:B,'Base stats'!AU:AU)+_xlfn.XLOOKUP(B110,'Base stats'!B:B,'Base stats'!AX:AX))+0.5,0.5))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stats'!AP:AP))*(AO110^0.75)+(_xlfn.XLOOKUP(B110,'Base stats'!B:B,'Base stats'!AP:AP)/1000)^(2/3)+_xlfn.XLOOKUP(B110,'Base stats'!B:B,'Base stats'!AV:AV)+_xlfn.XLOOKUP(B110,'Base stats'!B:B,'Base stats'!AX:AX))+0.5,0.5))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MAX(0.01,MROUND(IF(CB110="True",0.196*(AO110*100*1000)^0.889,IF(_xlfn.XLOOKUP(_xlfn.XLOOKUP(B110,'Base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stats'!AE:AE)</f>
        <v>Leather_Plain</v>
      </c>
      <c r="BB110" s="23" t="str">
        <f>_xlfn.XLOOKUP(_xlfn.XLOOKUP(B110,'Base stats'!B:B,'Base stats'!E:E),Groups!A:A,Groups!AL:AL)</f>
        <v>QuadrupedAnimalWithHooves</v>
      </c>
      <c r="BC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D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E110" s="2" t="str">
        <f>IF(J110&gt;0.3,"No",_xlfn.XLOOKUP(_xlfn.XLOOKUP(Animals!B110,'Base stats'!B:B,'Base stats'!E:E),Groups!A:A,Groups!AP:AP))</f>
        <v>No</v>
      </c>
      <c r="BF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+ 24*(1-IF(BE110="No",0,BE110)) + 16/3, 12),"No")</f>
        <v>No</v>
      </c>
      <c r="BG110" s="2">
        <f>IF(AND(_xlfn.XLOOKUP(_xlfn.XLOOKUP(B110,'Base stats'!B:B,'Base stats'!E:E),Groups!A:A,Groups!AQ:AQ)=1,AO110&lt;=0.35),8,12)</f>
        <v>12</v>
      </c>
      <c r="BH110" s="2" t="str">
        <f>IF(_xlfn.XLOOKUP(_xlfn.XLOOKUP(B110,'Base stats'!B:B,'Base stats'!E:E),Groups!A:A,Groups!D:D)=0,_xlfn.XLOOKUP(_xlfn.XLOOKUP(B110,'Base stats'!B:B,'Base stats'!E:E),Groups!A:A,Groups!AR:AR),"None")</f>
        <v>None</v>
      </c>
      <c r="BI110" s="2" t="str">
        <f>IF(AND(_xlfn.XLOOKUP(_xlfn.XLOOKUP(B110,'Base stats'!B:B,'Base stats'!E:E),Groups!A:A,Groups!AS:AS)=1,OR('Base stats'!Y110="Carnivore",'Base stats'!Y110="Omnivore")),"true","false")</f>
        <v>false</v>
      </c>
      <c r="BJ110" s="2" t="str">
        <f>IF(BI110="true",MROUND(IF(AND(AO110&gt;0.5,OR(_xlfn.XLOOKUP(_xlfn.XLOOKUP(B110,'Base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K110" s="2">
        <f t="shared" si="10"/>
        <v>0</v>
      </c>
      <c r="BL110" s="25" t="str">
        <f>IF(_xlfn.XLOOKUP(B110,'Base stats'!B:B,'Base stats'!AK:AK)="Standard","No",MROUND((_xlfn.XLOOKUP(B110,'Base stats'!B:B,'Base stats'!AK:AK)/3.6)/I110,0.1))</f>
        <v>No</v>
      </c>
      <c r="BM110" s="25" t="str">
        <f t="shared" si="11"/>
        <v>false</v>
      </c>
      <c r="BN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O110" s="25" t="str" cm="1">
        <f t="array" ref="BO110">IF(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 = "",
  "No",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
)</f>
        <v>No</v>
      </c>
      <c r="BP110" s="25" t="str">
        <f>IF(
   AND(
      'Base stats'!AK110="Standard",_xlfn.XLOOKUP(_xlfn.XLOOKUP(B110,'Base stats'!B:B,'Base stats'!E:E),Groups!A:A,Groups!AU:AU)=0,
      OR(
      BN110="True"
      )
   ),
   10,
   IF(
       OR(BL110&lt;&gt;"No",_xlfn.XLOOKUP(_xlfn.XLOOKUP(B110,'Base stats'!B:B,'Base stats'!E:E),Groups!A:A,Groups!AU:AU)=1),
      1,
      "No"
   )
)</f>
        <v>No</v>
      </c>
      <c r="BQ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stats'!AS:AS) * 1.8) * 2) * 2.5 + 10 + I110 * 2,5)+IF(_xlfn.XLOOKUP(B110,'Base stats'!B:B,'Base stats'!AH:AH)=1,50,0)</f>
        <v>235</v>
      </c>
      <c r="BR110" s="8">
        <f t="shared" si="12"/>
        <v>2.1</v>
      </c>
      <c r="BS110" s="8" t="str">
        <f>_xlfn.XLOOKUP(B110,'Base stats'!B:B,'Base stats'!AD:AD)</f>
        <v>3~10</v>
      </c>
      <c r="BT110" s="2" t="str">
        <f>IF(AND(J110&lt;=0.95,OR(_xlfn.XLOOKUP(B110,'Base stats'!B:B,'Base stats'!AH:AH)=1,_xlfn.XLOOKUP(B110,'Base stats'!B:B,'Base stats'!Y:Y)="Carnivore",_xlfn.XLOOKUP(B110,'Base stats'!B:B,'Base stats'!Y:Y)="Omnivore",BD110&gt;0.1)),"true","false")</f>
        <v>false</v>
      </c>
      <c r="BU110" s="2" t="str">
        <f>IF(_xlfn.XLOOKUP(B110,'Base stats'!B:B,'Base stats'!AF:AF)=1,"true","false")</f>
        <v>false</v>
      </c>
      <c r="BV110" s="25" t="str">
        <f>IF(E110="BaseInsect","AnimalInsect",
IF(J110&gt;0.95,"AnimalExotic",
_xlfn.TEXTJOIN(", ",TRUE,
IF(OR(_xlfn.XLOOKUP(B110,'Base stats'!B:B,'Base stats'!AJ:AJ)=1,AND(_xlfn.XLOOKUP(B110,'Base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stats'!AH:AH)=1,AND(BH110&lt;&gt;"None",BQ110&gt;=60),ISNUMBER(SEARCH("Attack target",BO110))),"AnimalFighter","")
)))</f>
        <v>AnimalUncommon</v>
      </c>
      <c r="BW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),_xlfn.XLOOKUP(B110,B:B,BW:BW))</f>
        <v>AridShrubland Grasslands</v>
      </c>
      <c r="BX110" s="25" t="str">
        <f>IF(_xlfn.XLOOKUP(B110,'Base stats'!B:B,'Base stats'!AG:AG)=1,"true","false")</f>
        <v>false</v>
      </c>
      <c r="BY110" s="25">
        <f>IF(_xlfn.XLOOKUP(B110,'Base stats'!B:B,'Base stats'!N:N)=1,"No",MAX(0.01,MIN(MROUND(IF(OR(_xlfn.XLOOKUP(B110,'Base stats'!B:B,'Base stats'!AJ:AJ)=1,AND(BI110="True",CB110="False")),POWER(10,3.47*LOG10(_xlfn.XLOOKUP(B110,'Base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stats'!AH:AH)=1),0.5,1)/100,0.025),1)))</f>
        <v>0.125</v>
      </c>
      <c r="BZ110" s="25" t="str">
        <f>IF(P110="Standard","No",MAX(0.01,IF(_xlfn.XLOOKUP(B110,'Base stats'!B:B,'Base stats'!N:N)=0,MROUND(BY110*P110,0.05),MIN(1,MAX(0.025,MROUND(IF(OR(CB110="true",AND(BI110="false",BN110="false")),POWER(10,4.15*LOG10(_xlfn.XLOOKUP(B110,'Base stats'!B:B,'Base stats'!C:C)*1000)^-0.73),POWER(10,3.47*LOG10(_xlfn.XLOOKUP(B110,'Base stats'!B:B,'Base stats'!C:C)*1000)^-0.96))*IF(_xlfn.XLOOKUP(B110,'Base stats'!B:B,'Base stats'!AH:AH)=1,0.5,1)/100,0.025))))))</f>
        <v>No</v>
      </c>
      <c r="CA110" s="25" t="str">
        <f>IF(_xlfn.XLOOKUP(_xlfn.XLOOKUP(B110,'Base stats'!B:B,'Base stats'!E:E),Groups!A:A,Groups!AJ:AJ)="Mammal","True","False")</f>
        <v>True</v>
      </c>
      <c r="CB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C110" s="25" t="str">
        <f t="shared" si="13"/>
        <v>False</v>
      </c>
      <c r="CD110" s="25" t="str">
        <f>IF(_xlfn.XLOOKUP(_xlfn.XLOOKUP(B110,'Base stats'!B:B,'Base stats'!E:E),Groups!A:A,Groups!AX:AX),"True","False")</f>
        <v>False</v>
      </c>
      <c r="CE110" s="25" t="str">
        <f>IF(_xlfn.XLOOKUP(_xlfn.XLOOKUP(B110,'Base stats'!B:B,'Base stats'!E:E),Groups!A:A,Groups!AY:AY),"True","False")</f>
        <v>False</v>
      </c>
      <c r="CF110" s="25" t="str">
        <f>IF(_xlfn.XLOOKUP(_xlfn.XLOOKUP(B110,'Base stats'!B:B,'Base stats'!E:E),Groups!A:A,Groups!AW:AW),"True","False")</f>
        <v>False</v>
      </c>
      <c r="CG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H110" s="25" t="str">
        <f>IF(_xlfn.XLOOKUP(_xlfn.XLOOKUP(B110,'Base stats'!B:B,'Base stats'!E:E),Groups!A:A,Groups!BB:BB),"True","False")</f>
        <v>True</v>
      </c>
      <c r="CI110" s="25" t="str">
        <f>IF(_xlfn.XLOOKUP(_xlfn.XLOOKUP(B110,'Base stats'!B:B,'Base stats'!E:E),Groups!A:A,Groups!BA:BA),"True","False")</f>
        <v>False</v>
      </c>
    </row>
    <row r="111" spans="1:87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stats'!AI:AI)=0,BH111="None",_xlfn.XLOOKUP(_xlfn.XLOOKUP(B111,'Base stats'!B:B,'Base stats'!E:E),Groups!A:A,Groups!B:B)=0), (18 + BQ111 * 2.7) * 0.5,
    IF(AND(_xlfn.XLOOKUP(B111,'Base stats'!B:B,'Base stats'!AI:AI)=0,OR(AO111&lt;0.55,AND(BH111="Intermediate",_xlfn.XLOOKUP(_xlfn.XLOOKUP(B111,'Base stats'!B:B,'Base stats'!E:E),Groups!A:A,Groups!B:B)&lt;2))), (18 + BQ111 * 2.7),
      IF(OR(BH111="Advanced",_xlfn.XLOOKUP(B111,'Base stats'!B:B,'Base stats'!AI:AI)=1,_xlfn.XLOOKUP(_xlfn.XLOOKUP(B111,'Base stats'!B:B,'Base stats'!E:E),Groups!A:A,Groups!B:B)=2), (18 + BQ111 * 2.7) + 250, (18 + BQ111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IF(_xlfn.XLOOKUP(B111,'Base stats'!B:B,'Base stats'!AI:AI)=1,0.99,MIN(MROUND((1-0.6282*EXP(-0.459*AO111))*_xlfn.XLOOKUP(_xlfn.XLOOKUP(B111,'Base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W111)),ISNUMBER(SEARCH("IceSheet",BW111))),-50,IF(OR(ISNUMBER(SEARCH("GlacialPlain",BW111)),ISNUMBER(SEARCH("Tundra",BW111))),-40,IF(OR(ISNUMBER(SEARCH("Alpine",BW111)),ISNUMBER(SEARCH("BorealForest",BW111)),ISNUMBER(SEARCH("ColdBog",BW111))),-30,IF(OR(ISNUMBER(SEARCH("TemperateForest",BW111)),ISNUMBER(SEARCH("TemperateSwamp",BW111))),-20,IF(_xlfn.XLOOKUP(_xlfn.XLOOKUP(B111,'Base stats'!B:B,'Base stats'!E:E),Groups!A:A,Groups!F:F)=1,-15,IF(OR(ISNUMBER(SEARCH("Desert",BW111)),ISNUMBER(SEARCH("ExtremeDesert",BW111))),-10,IF(OR(ISNUMBER(SEARCH("Grasslands",BW111)),ISNUMBER(SEARCH("TropicalRainforest",BW111)),ISNUMBER(SEARCH("TropicalSwamp",BW111))),10,0)))))))-IF(CB111="False",MIN(IFERROR(MAX(MROUND(LOG10(_xlfn.XLOOKUP(B111,'Base stats'!B:B,'Base stats'!C:C)^(2/3))*10,5),5),5),30))-_xlfn.XLOOKUP(B111,'Base stats'!B:B,'Base stats'!P:P)+IF(CB111="True",5,0)</f>
        <v>-30</v>
      </c>
      <c r="M111" s="2">
        <f>IF(OR(_xlfn.XLOOKUP(_xlfn.XLOOKUP(B111,'Base stats'!B:B,'Base stats'!E:E),Groups!A:A,Groups!G:G)=2,ISNUMBER(SEARCH("Desert",BW111)),ISNUMBER(SEARCH("ExtremeDesert",BW111)),ISNUMBER(SEARCH("LavaField",BW111))),50,IF(ISNUMBER(SEARCH("Grasslands",BW111)),45,IF(OR(_xlfn.XLOOKUP(_xlfn.XLOOKUP(B111,'Base stats'!B:B,'Base stats'!E:E),Groups!A:A,Groups!G:G)=1,ISNUMBER(SEARCH("TropicalRainforest",BW111)),ISNUMBER(SEARCH("TropicalSwamp",BW111))),40,IF(OR(ISNUMBER(SEARCH("TemperateForest",BW111)),ISNUMBER(SEARCH("TemperateSwamp",BW111))),35,IF(OR(ISNUMBER(SEARCH("Alpine",BW111)),ISNUMBER(SEARCH("BorealForest",BW111)),ISNUMBER(SEARCH("ColdBog",BW111))),30,IF(ISNUMBER(OR(ISNUMBER(SEARCH("GlacialPlain",BW111)),SEARCH("Tundra",BW111))),25,IF(OR(ISNUMBER(SEARCH("SeaIce",BW111)),ISNUMBER(SEARCH("IceSheet",BW111)),ISNUMBER(SEARCH("TropicalSwamp",BW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stats'!AO:AO))*(AO111^0.5)+(_xlfn.XLOOKUP(B111,'Base stats'!B:B,'Base stats'!AO:AO)/1000)^(2/3)+_xlfn.XLOOKUP(B111,'Base stats'!B:B,'Base stats'!AX:AX)/2)+0.5,0.5)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stats'!AP:AP))*(AO111^0.5)+(_xlfn.XLOOKUP(B111,'Base stats'!B:B,'Base stats'!AP:AP)/1000)^(2/3)+_xlfn.XLOOKUP(B111,'Base stats'!B:B,'Base stats'!AX:AX))+_xlfn.XLOOKUP(B111,'Base stats'!B:B,'Base stats'!AV:AV)+0.5,0.5))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stats'!AR:AR))*(AO111^0.5)+(_xlfn.XLOOKUP(B111,'Base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stats'!AQ:AQ)="No","No",MROUND((LOG10(_xlfn.XLOOKUP(B111,'Base stats'!B:B,'Base stats'!AQ:AQ))*(AO111^0.75)+(_xlfn.XLOOKUP(B111,'Base stats'!B:B,'Base stats'!AQ:AQ)/1000)^(2/3)+_xlfn.XLOOKUP(B111,'Base stats'!B:B,'Base stats'!AU:AU)+_xlfn.XLOOKUP(B111,'Base stats'!B:B,'Base stats'!AX:AX))+0.5,0.5))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stats'!AP:AP))*(AO111^0.75)+(_xlfn.XLOOKUP(B111,'Base stats'!B:B,'Base stats'!AP:AP)/1000)^(2/3)+_xlfn.XLOOKUP(B111,'Base stats'!B:B,'Base stats'!AV:AV)+_xlfn.XLOOKUP(B111,'Base stats'!B:B,'Base stats'!AX:AX))+0.5,0.5))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MAX(0.01,MROUND(IF(CB111="True",0.196*(AO111*100*1000)^0.889,IF(_xlfn.XLOOKUP(_xlfn.XLOOKUP(B111,'Base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stats'!AE:AE)</f>
        <v>Leather_Plain</v>
      </c>
      <c r="BB111" s="23" t="str">
        <f>_xlfn.XLOOKUP(_xlfn.XLOOKUP(B111,'Base stats'!B:B,'Base stats'!E:E),Groups!A:A,Groups!AL:AL)</f>
        <v>QuadrupedAnimalWithHooves</v>
      </c>
      <c r="BC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D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E111" s="2" t="str">
        <f>IF(J111&gt;0.3,"No",_xlfn.XLOOKUP(_xlfn.XLOOKUP(Animals!B111,'Base stats'!B:B,'Base stats'!E:E),Groups!A:A,Groups!AP:AP))</f>
        <v>No</v>
      </c>
      <c r="BF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+ 24*(1-IF(BE111="No",0,BE111)) + 16/3, 12),"No")</f>
        <v>No</v>
      </c>
      <c r="BG111" s="2">
        <f>IF(AND(_xlfn.XLOOKUP(_xlfn.XLOOKUP(B111,'Base stats'!B:B,'Base stats'!E:E),Groups!A:A,Groups!AQ:AQ)=1,AO111&lt;=0.35),8,12)</f>
        <v>12</v>
      </c>
      <c r="BH111" s="2" t="str">
        <f>IF(_xlfn.XLOOKUP(_xlfn.XLOOKUP(B111,'Base stats'!B:B,'Base stats'!E:E),Groups!A:A,Groups!D:D)=0,_xlfn.XLOOKUP(_xlfn.XLOOKUP(B111,'Base stats'!B:B,'Base stats'!E:E),Groups!A:A,Groups!AR:AR),"None")</f>
        <v>None</v>
      </c>
      <c r="BI111" s="2" t="str">
        <f>IF(AND(_xlfn.XLOOKUP(_xlfn.XLOOKUP(B111,'Base stats'!B:B,'Base stats'!E:E),Groups!A:A,Groups!AS:AS)=1,OR('Base stats'!Y111="Carnivore",'Base stats'!Y111="Omnivore")),"true","false")</f>
        <v>false</v>
      </c>
      <c r="BJ111" s="2" t="str">
        <f>IF(BI111="true",MROUND(IF(AND(AO111&gt;0.5,OR(_xlfn.XLOOKUP(_xlfn.XLOOKUP(B111,'Base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K111" s="2">
        <f t="shared" si="10"/>
        <v>0</v>
      </c>
      <c r="BL111" s="25" t="str">
        <f>IF(_xlfn.XLOOKUP(B111,'Base stats'!B:B,'Base stats'!AK:AK)="Standard","No",MROUND((_xlfn.XLOOKUP(B111,'Base stats'!B:B,'Base stats'!AK:AK)/3.6)/I111,0.1))</f>
        <v>No</v>
      </c>
      <c r="BM111" s="25" t="str">
        <f t="shared" si="11"/>
        <v>false</v>
      </c>
      <c r="BN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O111" s="25" t="str" cm="1">
        <f t="array" ref="BO111">IF(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 = "",
  "No",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
)</f>
        <v>No</v>
      </c>
      <c r="BP111" s="25" t="str">
        <f>IF(
   AND(
      'Base stats'!AK111="Standard",_xlfn.XLOOKUP(_xlfn.XLOOKUP(B111,'Base stats'!B:B,'Base stats'!E:E),Groups!A:A,Groups!AU:AU)=0,
      OR(
      BN111="True"
      )
   ),
   10,
   IF(
       OR(BL111&lt;&gt;"No",_xlfn.XLOOKUP(_xlfn.XLOOKUP(B111,'Base stats'!B:B,'Base stats'!E:E),Groups!A:A,Groups!AU:AU)=1),
      1,
      "No"
   )
)</f>
        <v>No</v>
      </c>
      <c r="BQ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stats'!AS:AS) * 1.8) * 2) * 2.5 + 10 + I111 * 2,5)+IF(_xlfn.XLOOKUP(B111,'Base stats'!B:B,'Base stats'!AH:AH)=1,50,0)</f>
        <v>160</v>
      </c>
      <c r="BR111" s="8">
        <f t="shared" si="12"/>
        <v>1.2000000000000002</v>
      </c>
      <c r="BS111" s="8" t="str">
        <f>_xlfn.XLOOKUP(B111,'Base stats'!B:B,'Base stats'!AD:AD)</f>
        <v>5~15</v>
      </c>
      <c r="BT111" s="2" t="str">
        <f>IF(AND(J111&lt;=0.95,OR(_xlfn.XLOOKUP(B111,'Base stats'!B:B,'Base stats'!AH:AH)=1,_xlfn.XLOOKUP(B111,'Base stats'!B:B,'Base stats'!Y:Y)="Carnivore",_xlfn.XLOOKUP(B111,'Base stats'!B:B,'Base stats'!Y:Y)="Omnivore",BD111&gt;0.1)),"true","false")</f>
        <v>false</v>
      </c>
      <c r="BU111" s="2" t="str">
        <f>IF(_xlfn.XLOOKUP(B111,'Base stats'!B:B,'Base stats'!AF:AF)=1,"true","false")</f>
        <v>false</v>
      </c>
      <c r="BV111" s="25" t="str">
        <f>IF(E111="BaseInsect","AnimalInsect",
IF(J111&gt;0.95,"AnimalExotic",
_xlfn.TEXTJOIN(", ",TRUE,
IF(OR(_xlfn.XLOOKUP(B111,'Base stats'!B:B,'Base stats'!AJ:AJ)=1,AND(_xlfn.XLOOKUP(B111,'Base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stats'!AH:AH)=1,AND(BH111&lt;&gt;"None",BQ111&gt;=60),ISNUMBER(SEARCH("Attack target",BO111))),"AnimalFighter","")
)))</f>
        <v>AnimalCommon</v>
      </c>
      <c r="BW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),_xlfn.XLOOKUP(B111,B:B,BW:BW))</f>
        <v>AridShrubland Desert Grasslands LavaField</v>
      </c>
      <c r="BX111" s="25" t="str">
        <f>IF(_xlfn.XLOOKUP(B111,'Base stats'!B:B,'Base stats'!AG:AG)=1,"true","false")</f>
        <v>false</v>
      </c>
      <c r="BY111" s="25">
        <f>IF(_xlfn.XLOOKUP(B111,'Base stats'!B:B,'Base stats'!N:N)=1,"No",MAX(0.01,MIN(MROUND(IF(OR(_xlfn.XLOOKUP(B111,'Base stats'!B:B,'Base stats'!AJ:AJ)=1,AND(BI111="True",CB111="False")),POWER(10,3.47*LOG10(_xlfn.XLOOKUP(B111,'Base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stats'!AH:AH)=1),0.5,1)/100,0.025),1)))</f>
        <v>0.15000000000000002</v>
      </c>
      <c r="BZ111" s="25" t="str">
        <f>IF(P111="Standard","No",MAX(0.01,IF(_xlfn.XLOOKUP(B111,'Base stats'!B:B,'Base stats'!N:N)=0,MROUND(BY111*P111,0.05),MIN(1,MAX(0.025,MROUND(IF(OR(CB111="true",AND(BI111="false",BN111="false")),POWER(10,4.15*LOG10(_xlfn.XLOOKUP(B111,'Base stats'!B:B,'Base stats'!C:C)*1000)^-0.73),POWER(10,3.47*LOG10(_xlfn.XLOOKUP(B111,'Base stats'!B:B,'Base stats'!C:C)*1000)^-0.96))*IF(_xlfn.XLOOKUP(B111,'Base stats'!B:B,'Base stats'!AH:AH)=1,0.5,1)/100,0.025))))))</f>
        <v>No</v>
      </c>
      <c r="CA111" s="25" t="str">
        <f>IF(_xlfn.XLOOKUP(_xlfn.XLOOKUP(B111,'Base stats'!B:B,'Base stats'!E:E),Groups!A:A,Groups!AJ:AJ)="Mammal","True","False")</f>
        <v>True</v>
      </c>
      <c r="CB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C111" s="25" t="str">
        <f t="shared" si="13"/>
        <v>False</v>
      </c>
      <c r="CD111" s="25" t="str">
        <f>IF(_xlfn.XLOOKUP(_xlfn.XLOOKUP(B111,'Base stats'!B:B,'Base stats'!E:E),Groups!A:A,Groups!AX:AX),"True","False")</f>
        <v>False</v>
      </c>
      <c r="CE111" s="25" t="str">
        <f>IF(_xlfn.XLOOKUP(_xlfn.XLOOKUP(B111,'Base stats'!B:B,'Base stats'!E:E),Groups!A:A,Groups!AY:AY),"True","False")</f>
        <v>False</v>
      </c>
      <c r="CF111" s="25" t="str">
        <f>IF(_xlfn.XLOOKUP(_xlfn.XLOOKUP(B111,'Base stats'!B:B,'Base stats'!E:E),Groups!A:A,Groups!AW:AW),"True","False")</f>
        <v>False</v>
      </c>
      <c r="CG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H111" s="25" t="str">
        <f>IF(_xlfn.XLOOKUP(_xlfn.XLOOKUP(B111,'Base stats'!B:B,'Base stats'!E:E),Groups!A:A,Groups!BB:BB),"True","False")</f>
        <v>True</v>
      </c>
      <c r="CI111" s="25" t="str">
        <f>IF(_xlfn.XLOOKUP(_xlfn.XLOOKUP(B111,'Base stats'!B:B,'Base stats'!E:E),Groups!A:A,Groups!BA:BA),"True","False")</f>
        <v>False</v>
      </c>
    </row>
    <row r="112" spans="1:87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stats'!AI:AI)=0,BH112="None",_xlfn.XLOOKUP(_xlfn.XLOOKUP(B112,'Base stats'!B:B,'Base stats'!E:E),Groups!A:A,Groups!B:B)=0), (18 + BQ112 * 2.7) * 0.5,
    IF(AND(_xlfn.XLOOKUP(B112,'Base stats'!B:B,'Base stats'!AI:AI)=0,OR(AO112&lt;0.55,AND(BH112="Intermediate",_xlfn.XLOOKUP(_xlfn.XLOOKUP(B112,'Base stats'!B:B,'Base stats'!E:E),Groups!A:A,Groups!B:B)&lt;2))), (18 + BQ112 * 2.7),
      IF(OR(BH112="Advanced",_xlfn.XLOOKUP(B112,'Base stats'!B:B,'Base stats'!AI:AI)=1,_xlfn.XLOOKUP(_xlfn.XLOOKUP(B112,'Base stats'!B:B,'Base stats'!E:E),Groups!A:A,Groups!B:B)=2), (18 + BQ112 * 2.7) + 250, (18 + BQ112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IF(_xlfn.XLOOKUP(B112,'Base stats'!B:B,'Base stats'!AI:AI)=1,0.99,MIN(MROUND((1-0.6282*EXP(-0.459*AO112))*_xlfn.XLOOKUP(_xlfn.XLOOKUP(B112,'Base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W112)),ISNUMBER(SEARCH("IceSheet",BW112))),-50,IF(OR(ISNUMBER(SEARCH("GlacialPlain",BW112)),ISNUMBER(SEARCH("Tundra",BW112))),-40,IF(OR(ISNUMBER(SEARCH("Alpine",BW112)),ISNUMBER(SEARCH("BorealForest",BW112)),ISNUMBER(SEARCH("ColdBog",BW112))),-30,IF(OR(ISNUMBER(SEARCH("TemperateForest",BW112)),ISNUMBER(SEARCH("TemperateSwamp",BW112))),-20,IF(_xlfn.XLOOKUP(_xlfn.XLOOKUP(B112,'Base stats'!B:B,'Base stats'!E:E),Groups!A:A,Groups!F:F)=1,-15,IF(OR(ISNUMBER(SEARCH("Desert",BW112)),ISNUMBER(SEARCH("ExtremeDesert",BW112))),-10,IF(OR(ISNUMBER(SEARCH("Grasslands",BW112)),ISNUMBER(SEARCH("TropicalRainforest",BW112)),ISNUMBER(SEARCH("TropicalSwamp",BW112))),10,0)))))))-IF(CB112="False",MIN(IFERROR(MAX(MROUND(LOG10(_xlfn.XLOOKUP(B112,'Base stats'!B:B,'Base stats'!C:C)^(2/3))*10,5),5),5),30))-_xlfn.XLOOKUP(B112,'Base stats'!B:B,'Base stats'!P:P)+IF(CB112="True",5,0)</f>
        <v>-30</v>
      </c>
      <c r="M112" s="2">
        <f>IF(OR(_xlfn.XLOOKUP(_xlfn.XLOOKUP(B112,'Base stats'!B:B,'Base stats'!E:E),Groups!A:A,Groups!G:G)=2,ISNUMBER(SEARCH("Desert",BW112)),ISNUMBER(SEARCH("ExtremeDesert",BW112)),ISNUMBER(SEARCH("LavaField",BW112))),50,IF(ISNUMBER(SEARCH("Grasslands",BW112)),45,IF(OR(_xlfn.XLOOKUP(_xlfn.XLOOKUP(B112,'Base stats'!B:B,'Base stats'!E:E),Groups!A:A,Groups!G:G)=1,ISNUMBER(SEARCH("TropicalRainforest",BW112)),ISNUMBER(SEARCH("TropicalSwamp",BW112))),40,IF(OR(ISNUMBER(SEARCH("TemperateForest",BW112)),ISNUMBER(SEARCH("TemperateSwamp",BW112))),35,IF(OR(ISNUMBER(SEARCH("Alpine",BW112)),ISNUMBER(SEARCH("BorealForest",BW112)),ISNUMBER(SEARCH("ColdBog",BW112))),30,IF(ISNUMBER(OR(ISNUMBER(SEARCH("GlacialPlain",BW112)),SEARCH("Tundra",BW112))),25,IF(OR(ISNUMBER(SEARCH("SeaIce",BW112)),ISNUMBER(SEARCH("IceSheet",BW112)),ISNUMBER(SEARCH("TropicalSwamp",BW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stats'!AO:AO))*(AO112^0.5)+(_xlfn.XLOOKUP(B112,'Base stats'!B:B,'Base stats'!AO:AO)/1000)^(2/3)+_xlfn.XLOOKUP(B112,'Base stats'!B:B,'Base stats'!AX:AX)/2)+0.5,0.5)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stats'!AP:AP))*(AO112^0.5)+(_xlfn.XLOOKUP(B112,'Base stats'!B:B,'Base stats'!AP:AP)/1000)^(2/3)+_xlfn.XLOOKUP(B112,'Base stats'!B:B,'Base stats'!AX:AX))+_xlfn.XLOOKUP(B112,'Base stats'!B:B,'Base stats'!AV:AV)+0.5,0.5))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stats'!AR:AR))*(AO112^0.5)+(_xlfn.XLOOKUP(B112,'Base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stats'!AQ:AQ)="No","No",MROUND((LOG10(_xlfn.XLOOKUP(B112,'Base stats'!B:B,'Base stats'!AQ:AQ))*(AO112^0.75)+(_xlfn.XLOOKUP(B112,'Base stats'!B:B,'Base stats'!AQ:AQ)/1000)^(2/3)+_xlfn.XLOOKUP(B112,'Base stats'!B:B,'Base stats'!AU:AU)+_xlfn.XLOOKUP(B112,'Base stats'!B:B,'Base stats'!AX:AX))+0.5,0.5))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stats'!AP:AP))*(AO112^0.75)+(_xlfn.XLOOKUP(B112,'Base stats'!B:B,'Base stats'!AP:AP)/1000)^(2/3)+_xlfn.XLOOKUP(B112,'Base stats'!B:B,'Base stats'!AV:AV)+_xlfn.XLOOKUP(B112,'Base stats'!B:B,'Base stats'!AX:AX))+0.5,0.5))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MAX(0.01,MROUND(IF(CB112="True",0.196*(AO112*100*1000)^0.889,IF(_xlfn.XLOOKUP(_xlfn.XLOOKUP(B112,'Base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stats'!AE:AE)</f>
        <v>Leather_Plain</v>
      </c>
      <c r="BB112" s="23" t="str">
        <f>_xlfn.XLOOKUP(_xlfn.XLOOKUP(B112,'Base stats'!B:B,'Base stats'!E:E),Groups!A:A,Groups!AL:AL)</f>
        <v>QuadrupedAnimalWithHooves</v>
      </c>
      <c r="BC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D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E112" s="2" t="str">
        <f>IF(J112&gt;0.3,"No",_xlfn.XLOOKUP(_xlfn.XLOOKUP(Animals!B112,'Base stats'!B:B,'Base stats'!E:E),Groups!A:A,Groups!AP:AP))</f>
        <v>No</v>
      </c>
      <c r="BF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+ 24*(1-IF(BE112="No",0,BE112)) + 16/3, 12),"No")</f>
        <v>No</v>
      </c>
      <c r="BG112" s="2">
        <f>IF(AND(_xlfn.XLOOKUP(_xlfn.XLOOKUP(B112,'Base stats'!B:B,'Base stats'!E:E),Groups!A:A,Groups!AQ:AQ)=1,AO112&lt;=0.35),8,12)</f>
        <v>12</v>
      </c>
      <c r="BH112" s="2" t="str">
        <f>IF(_xlfn.XLOOKUP(_xlfn.XLOOKUP(B112,'Base stats'!B:B,'Base stats'!E:E),Groups!A:A,Groups!D:D)=0,_xlfn.XLOOKUP(_xlfn.XLOOKUP(B112,'Base stats'!B:B,'Base stats'!E:E),Groups!A:A,Groups!AR:AR),"None")</f>
        <v>None</v>
      </c>
      <c r="BI112" s="2" t="str">
        <f>IF(AND(_xlfn.XLOOKUP(_xlfn.XLOOKUP(B112,'Base stats'!B:B,'Base stats'!E:E),Groups!A:A,Groups!AS:AS)=1,OR('Base stats'!Y112="Carnivore",'Base stats'!Y112="Omnivore")),"true","false")</f>
        <v>false</v>
      </c>
      <c r="BJ112" s="2" t="str">
        <f>IF(BI112="true",MROUND(IF(AND(AO112&gt;0.5,OR(_xlfn.XLOOKUP(_xlfn.XLOOKUP(B112,'Base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K112" s="2">
        <f t="shared" si="10"/>
        <v>0</v>
      </c>
      <c r="BL112" s="25" t="str">
        <f>IF(_xlfn.XLOOKUP(B112,'Base stats'!B:B,'Base stats'!AK:AK)="Standard","No",MROUND((_xlfn.XLOOKUP(B112,'Base stats'!B:B,'Base stats'!AK:AK)/3.6)/I112,0.1))</f>
        <v>No</v>
      </c>
      <c r="BM112" s="25" t="str">
        <f t="shared" si="11"/>
        <v>false</v>
      </c>
      <c r="BN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O112" s="25" t="str" cm="1">
        <f t="array" ref="BO112">IF(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 = "",
  "No",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
)</f>
        <v>No</v>
      </c>
      <c r="BP112" s="25" t="str">
        <f>IF(
   AND(
      'Base stats'!AK112="Standard",_xlfn.XLOOKUP(_xlfn.XLOOKUP(B112,'Base stats'!B:B,'Base stats'!E:E),Groups!A:A,Groups!AU:AU)=0,
      OR(
      BN112="True"
      )
   ),
   10,
   IF(
       OR(BL112&lt;&gt;"No",_xlfn.XLOOKUP(_xlfn.XLOOKUP(B112,'Base stats'!B:B,'Base stats'!E:E),Groups!A:A,Groups!AU:AU)=1),
      1,
      "No"
   )
)</f>
        <v>No</v>
      </c>
      <c r="BQ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stats'!AS:AS) * 1.8) * 2) * 2.5 + 10 + I112 * 2,5)+IF(_xlfn.XLOOKUP(B112,'Base stats'!B:B,'Base stats'!AH:AH)=1,50,0)</f>
        <v>140</v>
      </c>
      <c r="BR112" s="8">
        <f t="shared" si="12"/>
        <v>1.1000000000000001</v>
      </c>
      <c r="BS112" s="8" t="str">
        <f>_xlfn.XLOOKUP(B112,'Base stats'!B:B,'Base stats'!AD:AD)</f>
        <v>5~15</v>
      </c>
      <c r="BT112" s="2" t="str">
        <f>IF(AND(J112&lt;=0.95,OR(_xlfn.XLOOKUP(B112,'Base stats'!B:B,'Base stats'!AH:AH)=1,_xlfn.XLOOKUP(B112,'Base stats'!B:B,'Base stats'!Y:Y)="Carnivore",_xlfn.XLOOKUP(B112,'Base stats'!B:B,'Base stats'!Y:Y)="Omnivore",BD112&gt;0.1)),"true","false")</f>
        <v>false</v>
      </c>
      <c r="BU112" s="2" t="str">
        <f>IF(_xlfn.XLOOKUP(B112,'Base stats'!B:B,'Base stats'!AF:AF)=1,"true","false")</f>
        <v>false</v>
      </c>
      <c r="BV112" s="25" t="str">
        <f>IF(E112="BaseInsect","AnimalInsect",
IF(J112&gt;0.95,"AnimalExotic",
_xlfn.TEXTJOIN(", ",TRUE,
IF(OR(_xlfn.XLOOKUP(B112,'Base stats'!B:B,'Base stats'!AJ:AJ)=1,AND(_xlfn.XLOOKUP(B112,'Base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stats'!AH:AH)=1,AND(BH112&lt;&gt;"None",BQ112&gt;=60),ISNUMBER(SEARCH("Attack target",BO112))),"AnimalFighter","")
)))</f>
        <v>AnimalCommon</v>
      </c>
      <c r="BW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),_xlfn.XLOOKUP(B112,B:B,BW:BW))</f>
        <v>AridShrubland Desert Grasslands LavaField</v>
      </c>
      <c r="BX112" s="25" t="str">
        <f>IF(_xlfn.XLOOKUP(B112,'Base stats'!B:B,'Base stats'!AG:AG)=1,"true","false")</f>
        <v>false</v>
      </c>
      <c r="BY112" s="25">
        <f>IF(_xlfn.XLOOKUP(B112,'Base stats'!B:B,'Base stats'!N:N)=1,"No",MAX(0.01,MIN(MROUND(IF(OR(_xlfn.XLOOKUP(B112,'Base stats'!B:B,'Base stats'!AJ:AJ)=1,AND(BI112="True",CB112="False")),POWER(10,3.47*LOG10(_xlfn.XLOOKUP(B112,'Base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stats'!AH:AH)=1),0.5,1)/100,0.025),1)))</f>
        <v>0.17500000000000002</v>
      </c>
      <c r="BZ112" s="25" t="str">
        <f>IF(P112="Standard","No",MAX(0.01,IF(_xlfn.XLOOKUP(B112,'Base stats'!B:B,'Base stats'!N:N)=0,MROUND(BY112*P112,0.05),MIN(1,MAX(0.025,MROUND(IF(OR(CB112="true",AND(BI112="false",BN112="false")),POWER(10,4.15*LOG10(_xlfn.XLOOKUP(B112,'Base stats'!B:B,'Base stats'!C:C)*1000)^-0.73),POWER(10,3.47*LOG10(_xlfn.XLOOKUP(B112,'Base stats'!B:B,'Base stats'!C:C)*1000)^-0.96))*IF(_xlfn.XLOOKUP(B112,'Base stats'!B:B,'Base stats'!AH:AH)=1,0.5,1)/100,0.025))))))</f>
        <v>No</v>
      </c>
      <c r="CA112" s="25" t="str">
        <f>IF(_xlfn.XLOOKUP(_xlfn.XLOOKUP(B112,'Base stats'!B:B,'Base stats'!E:E),Groups!A:A,Groups!AJ:AJ)="Mammal","True","False")</f>
        <v>True</v>
      </c>
      <c r="CB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C112" s="25" t="str">
        <f t="shared" si="13"/>
        <v>False</v>
      </c>
      <c r="CD112" s="25" t="str">
        <f>IF(_xlfn.XLOOKUP(_xlfn.XLOOKUP(B112,'Base stats'!B:B,'Base stats'!E:E),Groups!A:A,Groups!AX:AX),"True","False")</f>
        <v>False</v>
      </c>
      <c r="CE112" s="25" t="str">
        <f>IF(_xlfn.XLOOKUP(_xlfn.XLOOKUP(B112,'Base stats'!B:B,'Base stats'!E:E),Groups!A:A,Groups!AY:AY),"True","False")</f>
        <v>False</v>
      </c>
      <c r="CF112" s="25" t="str">
        <f>IF(_xlfn.XLOOKUP(_xlfn.XLOOKUP(B112,'Base stats'!B:B,'Base stats'!E:E),Groups!A:A,Groups!AW:AW),"True","False")</f>
        <v>False</v>
      </c>
      <c r="CG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H112" s="25" t="str">
        <f>IF(_xlfn.XLOOKUP(_xlfn.XLOOKUP(B112,'Base stats'!B:B,'Base stats'!E:E),Groups!A:A,Groups!BB:BB),"True","False")</f>
        <v>True</v>
      </c>
      <c r="CI112" s="25" t="str">
        <f>IF(_xlfn.XLOOKUP(_xlfn.XLOOKUP(B112,'Base stats'!B:B,'Base stats'!E:E),Groups!A:A,Groups!BA:BA),"True","False")</f>
        <v>False</v>
      </c>
    </row>
    <row r="113" spans="1:87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stats'!AI:AI)=0,BH113="None",_xlfn.XLOOKUP(_xlfn.XLOOKUP(B113,'Base stats'!B:B,'Base stats'!E:E),Groups!A:A,Groups!B:B)=0), (18 + BQ113 * 2.7) * 0.5,
    IF(AND(_xlfn.XLOOKUP(B113,'Base stats'!B:B,'Base stats'!AI:AI)=0,OR(AO113&lt;0.55,AND(BH113="Intermediate",_xlfn.XLOOKUP(_xlfn.XLOOKUP(B113,'Base stats'!B:B,'Base stats'!E:E),Groups!A:A,Groups!B:B)&lt;2))), (18 + BQ113 * 2.7),
      IF(OR(BH113="Advanced",_xlfn.XLOOKUP(B113,'Base stats'!B:B,'Base stats'!AI:AI)=1,_xlfn.XLOOKUP(_xlfn.XLOOKUP(B113,'Base stats'!B:B,'Base stats'!E:E),Groups!A:A,Groups!B:B)=2), (18 + BQ113 * 2.7) + 250, (18 + BQ113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IF(_xlfn.XLOOKUP(B113,'Base stats'!B:B,'Base stats'!AI:AI)=1,0.99,MIN(MROUND((1-0.6282*EXP(-0.459*AO113))*_xlfn.XLOOKUP(_xlfn.XLOOKUP(B113,'Base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W113)),ISNUMBER(SEARCH("IceSheet",BW113))),-50,IF(OR(ISNUMBER(SEARCH("GlacialPlain",BW113)),ISNUMBER(SEARCH("Tundra",BW113))),-40,IF(OR(ISNUMBER(SEARCH("Alpine",BW113)),ISNUMBER(SEARCH("BorealForest",BW113)),ISNUMBER(SEARCH("ColdBog",BW113))),-30,IF(OR(ISNUMBER(SEARCH("TemperateForest",BW113)),ISNUMBER(SEARCH("TemperateSwamp",BW113))),-20,IF(_xlfn.XLOOKUP(_xlfn.XLOOKUP(B113,'Base stats'!B:B,'Base stats'!E:E),Groups!A:A,Groups!F:F)=1,-15,IF(OR(ISNUMBER(SEARCH("Desert",BW113)),ISNUMBER(SEARCH("ExtremeDesert",BW113))),-10,IF(OR(ISNUMBER(SEARCH("Grasslands",BW113)),ISNUMBER(SEARCH("TropicalRainforest",BW113)),ISNUMBER(SEARCH("TropicalSwamp",BW113))),10,0)))))))-IF(CB113="False",MIN(IFERROR(MAX(MROUND(LOG10(_xlfn.XLOOKUP(B113,'Base stats'!B:B,'Base stats'!C:C)^(2/3))*10,5),5),5),30))-_xlfn.XLOOKUP(B113,'Base stats'!B:B,'Base stats'!P:P)+IF(CB113="True",5,0)</f>
        <v>15</v>
      </c>
      <c r="M113" s="2">
        <f>IF(OR(_xlfn.XLOOKUP(_xlfn.XLOOKUP(B113,'Base stats'!B:B,'Base stats'!E:E),Groups!A:A,Groups!G:G)=2,ISNUMBER(SEARCH("Desert",BW113)),ISNUMBER(SEARCH("ExtremeDesert",BW113)),ISNUMBER(SEARCH("LavaField",BW113))),50,IF(ISNUMBER(SEARCH("Grasslands",BW113)),45,IF(OR(_xlfn.XLOOKUP(_xlfn.XLOOKUP(B113,'Base stats'!B:B,'Base stats'!E:E),Groups!A:A,Groups!G:G)=1,ISNUMBER(SEARCH("TropicalRainforest",BW113)),ISNUMBER(SEARCH("TropicalSwamp",BW113))),40,IF(OR(ISNUMBER(SEARCH("TemperateForest",BW113)),ISNUMBER(SEARCH("TemperateSwamp",BW113))),35,IF(OR(ISNUMBER(SEARCH("Alpine",BW113)),ISNUMBER(SEARCH("BorealForest",BW113)),ISNUMBER(SEARCH("ColdBog",BW113))),30,IF(ISNUMBER(OR(ISNUMBER(SEARCH("GlacialPlain",BW113)),SEARCH("Tundra",BW113))),25,IF(OR(ISNUMBER(SEARCH("SeaIce",BW113)),ISNUMBER(SEARCH("IceSheet",BW113)),ISNUMBER(SEARCH("TropicalSwamp",BW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stats'!AO:AO))*(AO113^0.5)+(_xlfn.XLOOKUP(B113,'Base stats'!B:B,'Base stats'!AO:AO)/1000)^(2/3)+_xlfn.XLOOKUP(B113,'Base stats'!B:B,'Base stats'!AX:AX)/2)+0.5,0.5)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stats'!AP:AP))*(AO113^0.5)+(_xlfn.XLOOKUP(B113,'Base stats'!B:B,'Base stats'!AP:AP)/1000)^(2/3)+_xlfn.XLOOKUP(B113,'Base stats'!B:B,'Base stats'!AX:AX))+_xlfn.XLOOKUP(B113,'Base stats'!B:B,'Base stats'!AV:AV)+0.5,0.5))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stats'!AR:AR))*(AO113^0.5)+(_xlfn.XLOOKUP(B113,'Base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stats'!AQ:AQ)="No","No",MROUND((LOG10(_xlfn.XLOOKUP(B113,'Base stats'!B:B,'Base stats'!AQ:AQ))*(AO113^0.75)+(_xlfn.XLOOKUP(B113,'Base stats'!B:B,'Base stats'!AQ:AQ)/1000)^(2/3)+_xlfn.XLOOKUP(B113,'Base stats'!B:B,'Base stats'!AU:AU)+_xlfn.XLOOKUP(B113,'Base stats'!B:B,'Base stats'!AX:AX))+0.5,0.5))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stats'!AP:AP))*(AO113^0.75)+(_xlfn.XLOOKUP(B113,'Base stats'!B:B,'Base stats'!AP:AP)/1000)^(2/3)+_xlfn.XLOOKUP(B113,'Base stats'!B:B,'Base stats'!AV:AV)+_xlfn.XLOOKUP(B113,'Base stats'!B:B,'Base stats'!AX:AX))+0.5,0.5))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MAX(0.01,MROUND(IF(CB113="True",0.196*(AO113*100*1000)^0.889,IF(_xlfn.XLOOKUP(_xlfn.XLOOKUP(B113,'Base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stats'!AE:AE)</f>
        <v>Leather_Lizard</v>
      </c>
      <c r="BB113" s="23" t="str">
        <f>_xlfn.XLOOKUP(_xlfn.XLOOKUP(B113,'Base stats'!B:B,'Base stats'!E:E),Groups!A:A,Groups!AL:AL)</f>
        <v>QuadrupedAnimalWithClawsTailAndJowl</v>
      </c>
      <c r="BC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D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E113" s="2" t="str">
        <f>IF(J113&gt;0.3,"No",_xlfn.XLOOKUP(_xlfn.XLOOKUP(Animals!B113,'Base stats'!B:B,'Base stats'!E:E),Groups!A:A,Groups!AP:AP))</f>
        <v>No</v>
      </c>
      <c r="BF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+ 24*(1-IF(BE113="No",0,BE113)) + 16/3, 12),"No")</f>
        <v>No</v>
      </c>
      <c r="BG113" s="2">
        <f>IF(AND(_xlfn.XLOOKUP(_xlfn.XLOOKUP(B113,'Base stats'!B:B,'Base stats'!E:E),Groups!A:A,Groups!AQ:AQ)=1,AO113&lt;=0.35),8,12)</f>
        <v>12</v>
      </c>
      <c r="BH113" s="2" t="str">
        <f>IF(_xlfn.XLOOKUP(_xlfn.XLOOKUP(B113,'Base stats'!B:B,'Base stats'!E:E),Groups!A:A,Groups!D:D)=0,_xlfn.XLOOKUP(_xlfn.XLOOKUP(B113,'Base stats'!B:B,'Base stats'!E:E),Groups!A:A,Groups!AR:AR),"None")</f>
        <v>None</v>
      </c>
      <c r="BI113" s="2" t="str">
        <f>IF(AND(_xlfn.XLOOKUP(_xlfn.XLOOKUP(B113,'Base stats'!B:B,'Base stats'!E:E),Groups!A:A,Groups!AS:AS)=1,OR('Base stats'!Y113="Carnivore",'Base stats'!Y113="Omnivore")),"true","false")</f>
        <v>true</v>
      </c>
      <c r="BJ113" s="2">
        <f>IF(BI113="true",MROUND(IF(AND(AO113&gt;0.5,OR(_xlfn.XLOOKUP(_xlfn.XLOOKUP(B113,'Base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K113" s="2">
        <f t="shared" si="10"/>
        <v>0</v>
      </c>
      <c r="BL113" s="25">
        <f>IF(_xlfn.XLOOKUP(B113,'Base stats'!B:B,'Base stats'!AK:AK)="Standard","No",MROUND((_xlfn.XLOOKUP(B113,'Base stats'!B:B,'Base stats'!AK:AK)/3.6)/I113,0.1))</f>
        <v>2.8000000000000003</v>
      </c>
      <c r="BM113" s="25" t="str">
        <f t="shared" si="11"/>
        <v>true</v>
      </c>
      <c r="BN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O113" s="25" t="str" cm="1">
        <f t="array" ref="BO113">IF(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 = "",
  "No",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
)</f>
        <v>No</v>
      </c>
      <c r="BP113" s="25">
        <f>IF(
   AND(
      'Base stats'!AK113="Standard",_xlfn.XLOOKUP(_xlfn.XLOOKUP(B113,'Base stats'!B:B,'Base stats'!E:E),Groups!A:A,Groups!AU:AU)=0,
      OR(
      BN113="True"
      )
   ),
   10,
   IF(
       OR(BL113&lt;&gt;"No",_xlfn.XLOOKUP(_xlfn.XLOOKUP(B113,'Base stats'!B:B,'Base stats'!E:E),Groups!A:A,Groups!AU:AU)=1),
      1,
      "No"
   )
)</f>
        <v>1</v>
      </c>
      <c r="BQ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stats'!AS:AS) * 1.8) * 2) * 2.5 + 10 + I113 * 2,5)+IF(_xlfn.XLOOKUP(B113,'Base stats'!B:B,'Base stats'!AH:AH)=1,50,0)</f>
        <v>270</v>
      </c>
      <c r="BR113" s="8">
        <f t="shared" si="12"/>
        <v>0.8</v>
      </c>
      <c r="BS113" s="8" t="str">
        <f>_xlfn.XLOOKUP(B113,'Base stats'!B:B,'Base stats'!AD:AD)</f>
        <v>No</v>
      </c>
      <c r="BT113" s="2" t="str">
        <f>IF(AND(J113&lt;=0.95,OR(_xlfn.XLOOKUP(B113,'Base stats'!B:B,'Base stats'!AH:AH)=1,_xlfn.XLOOKUP(B113,'Base stats'!B:B,'Base stats'!Y:Y)="Carnivore",_xlfn.XLOOKUP(B113,'Base stats'!B:B,'Base stats'!Y:Y)="Omnivore",BD113&gt;0.1)),"true","false")</f>
        <v>true</v>
      </c>
      <c r="BU113" s="2" t="str">
        <f>IF(_xlfn.XLOOKUP(B113,'Base stats'!B:B,'Base stats'!AF:AF)=1,"true","false")</f>
        <v>false</v>
      </c>
      <c r="BV113" s="25" t="str">
        <f>IF(E113="BaseInsect","AnimalInsect",
IF(J113&gt;0.95,"AnimalExotic",
_xlfn.TEXTJOIN(", ",TRUE,
IF(OR(_xlfn.XLOOKUP(B113,'Base stats'!B:B,'Base stats'!AJ:AJ)=1,AND(_xlfn.XLOOKUP(B113,'Base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stats'!AH:AH)=1,AND(BH113&lt;&gt;"None",BQ113&gt;=60),ISNUMBER(SEARCH("Attack target",BO113))),"AnimalFighter","")
)))</f>
        <v>AnimalUncommon</v>
      </c>
      <c r="BW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),_xlfn.XLOOKUP(B113,B:B,BW:BW))</f>
        <v>AridShrubland TropicalRainforest TropicalSwamp Grasslands Glowforest LavaField</v>
      </c>
      <c r="BX113" s="25" t="str">
        <f>IF(_xlfn.XLOOKUP(B113,'Base stats'!B:B,'Base stats'!AG:AG)=1,"true","false")</f>
        <v>true</v>
      </c>
      <c r="BY113" s="25">
        <f>IF(_xlfn.XLOOKUP(B113,'Base stats'!B:B,'Base stats'!N:N)=1,"No",MAX(0.01,MIN(MROUND(IF(OR(_xlfn.XLOOKUP(B113,'Base stats'!B:B,'Base stats'!AJ:AJ)=1,AND(BI113="True",CB113="False")),POWER(10,3.47*LOG10(_xlfn.XLOOKUP(B113,'Base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stats'!AH:AH)=1),0.5,1)/100,0.025),1)))</f>
        <v>0.15000000000000002</v>
      </c>
      <c r="BZ113" s="25" t="str">
        <f>IF(P113="Standard","No",MAX(0.01,IF(_xlfn.XLOOKUP(B113,'Base stats'!B:B,'Base stats'!N:N)=0,MROUND(BY113*P113,0.05),MIN(1,MAX(0.025,MROUND(IF(OR(CB113="true",AND(BI113="false",BN113="false")),POWER(10,4.15*LOG10(_xlfn.XLOOKUP(B113,'Base stats'!B:B,'Base stats'!C:C)*1000)^-0.73),POWER(10,3.47*LOG10(_xlfn.XLOOKUP(B113,'Base stats'!B:B,'Base stats'!C:C)*1000)^-0.96))*IF(_xlfn.XLOOKUP(B113,'Base stats'!B:B,'Base stats'!AH:AH)=1,0.5,1)/100,0.025))))))</f>
        <v>No</v>
      </c>
      <c r="CA113" s="25" t="str">
        <f>IF(_xlfn.XLOOKUP(_xlfn.XLOOKUP(B113,'Base stats'!B:B,'Base stats'!E:E),Groups!A:A,Groups!AJ:AJ)="Mammal","True","False")</f>
        <v>False</v>
      </c>
      <c r="CB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C113" s="25" t="str">
        <f t="shared" si="13"/>
        <v>False</v>
      </c>
      <c r="CD113" s="25" t="str">
        <f>IF(_xlfn.XLOOKUP(_xlfn.XLOOKUP(B113,'Base stats'!B:B,'Base stats'!E:E),Groups!A:A,Groups!AX:AX),"True","False")</f>
        <v>False</v>
      </c>
      <c r="CE113" s="25" t="str">
        <f>IF(_xlfn.XLOOKUP(_xlfn.XLOOKUP(B113,'Base stats'!B:B,'Base stats'!E:E),Groups!A:A,Groups!AY:AY),"True","False")</f>
        <v>False</v>
      </c>
      <c r="CF113" s="25" t="str">
        <f>IF(_xlfn.XLOOKUP(_xlfn.XLOOKUP(B113,'Base stats'!B:B,'Base stats'!E:E),Groups!A:A,Groups!AW:AW),"True","False")</f>
        <v>False</v>
      </c>
      <c r="CG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H113" s="25" t="str">
        <f>IF(_xlfn.XLOOKUP(_xlfn.XLOOKUP(B113,'Base stats'!B:B,'Base stats'!E:E),Groups!A:A,Groups!BB:BB),"True","False")</f>
        <v>False</v>
      </c>
      <c r="CI113" s="25" t="str">
        <f>IF(_xlfn.XLOOKUP(_xlfn.XLOOKUP(B113,'Base stats'!B:B,'Base stats'!E:E),Groups!A:A,Groups!BA:BA),"True","False")</f>
        <v>False</v>
      </c>
    </row>
    <row r="114" spans="1:87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stats'!AI:AI)=0,BH114="None",_xlfn.XLOOKUP(_xlfn.XLOOKUP(B114,'Base stats'!B:B,'Base stats'!E:E),Groups!A:A,Groups!B:B)=0), (18 + BQ114 * 2.7) * 0.5,
    IF(AND(_xlfn.XLOOKUP(B114,'Base stats'!B:B,'Base stats'!AI:AI)=0,OR(AO114&lt;0.55,AND(BH114="Intermediate",_xlfn.XLOOKUP(_xlfn.XLOOKUP(B114,'Base stats'!B:B,'Base stats'!E:E),Groups!A:A,Groups!B:B)&lt;2))), (18 + BQ114 * 2.7),
      IF(OR(BH114="Advanced",_xlfn.XLOOKUP(B114,'Base stats'!B:B,'Base stats'!AI:AI)=1,_xlfn.XLOOKUP(_xlfn.XLOOKUP(B114,'Base stats'!B:B,'Base stats'!E:E),Groups!A:A,Groups!B:B)=2), (18 + BQ114 * 2.7) + 250, (18 + BQ114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IF(_xlfn.XLOOKUP(B114,'Base stats'!B:B,'Base stats'!AI:AI)=1,0.99,MIN(MROUND((1-0.6282*EXP(-0.459*AO114))*_xlfn.XLOOKUP(_xlfn.XLOOKUP(B114,'Base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W114)),ISNUMBER(SEARCH("IceSheet",BW114))),-50,IF(OR(ISNUMBER(SEARCH("GlacialPlain",BW114)),ISNUMBER(SEARCH("Tundra",BW114))),-40,IF(OR(ISNUMBER(SEARCH("Alpine",BW114)),ISNUMBER(SEARCH("BorealForest",BW114)),ISNUMBER(SEARCH("ColdBog",BW114))),-30,IF(OR(ISNUMBER(SEARCH("TemperateForest",BW114)),ISNUMBER(SEARCH("TemperateSwamp",BW114))),-20,IF(_xlfn.XLOOKUP(_xlfn.XLOOKUP(B114,'Base stats'!B:B,'Base stats'!E:E),Groups!A:A,Groups!F:F)=1,-15,IF(OR(ISNUMBER(SEARCH("Desert",BW114)),ISNUMBER(SEARCH("ExtremeDesert",BW114))),-10,IF(OR(ISNUMBER(SEARCH("Grasslands",BW114)),ISNUMBER(SEARCH("TropicalRainforest",BW114)),ISNUMBER(SEARCH("TropicalSwamp",BW114))),10,0)))))))-IF(CB114="False",MIN(IFERROR(MAX(MROUND(LOG10(_xlfn.XLOOKUP(B114,'Base stats'!B:B,'Base stats'!C:C)^(2/3))*10,5),5),5),30))-_xlfn.XLOOKUP(B114,'Base stats'!B:B,'Base stats'!P:P)+IF(CB114="True",5,0)</f>
        <v>-25</v>
      </c>
      <c r="M114" s="2">
        <f>IF(OR(_xlfn.XLOOKUP(_xlfn.XLOOKUP(B114,'Base stats'!B:B,'Base stats'!E:E),Groups!A:A,Groups!G:G)=2,ISNUMBER(SEARCH("Desert",BW114)),ISNUMBER(SEARCH("ExtremeDesert",BW114)),ISNUMBER(SEARCH("LavaField",BW114))),50,IF(ISNUMBER(SEARCH("Grasslands",BW114)),45,IF(OR(_xlfn.XLOOKUP(_xlfn.XLOOKUP(B114,'Base stats'!B:B,'Base stats'!E:E),Groups!A:A,Groups!G:G)=1,ISNUMBER(SEARCH("TropicalRainforest",BW114)),ISNUMBER(SEARCH("TropicalSwamp",BW114))),40,IF(OR(ISNUMBER(SEARCH("TemperateForest",BW114)),ISNUMBER(SEARCH("TemperateSwamp",BW114))),35,IF(OR(ISNUMBER(SEARCH("Alpine",BW114)),ISNUMBER(SEARCH("BorealForest",BW114)),ISNUMBER(SEARCH("ColdBog",BW114))),30,IF(ISNUMBER(OR(ISNUMBER(SEARCH("GlacialPlain",BW114)),SEARCH("Tundra",BW114))),25,IF(OR(ISNUMBER(SEARCH("SeaIce",BW114)),ISNUMBER(SEARCH("IceSheet",BW114)),ISNUMBER(SEARCH("TropicalSwamp",BW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stats'!AO:AO))*(AO114^0.5)+(_xlfn.XLOOKUP(B114,'Base stats'!B:B,'Base stats'!AO:AO)/1000)^(2/3)+_xlfn.XLOOKUP(B114,'Base stats'!B:B,'Base stats'!AX:AX)/2)+0.5,0.5)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stats'!AP:AP))*(AO114^0.5)+(_xlfn.XLOOKUP(B114,'Base stats'!B:B,'Base stats'!AP:AP)/1000)^(2/3)+_xlfn.XLOOKUP(B114,'Base stats'!B:B,'Base stats'!AX:AX))+_xlfn.XLOOKUP(B114,'Base stats'!B:B,'Base stats'!AV:AV)+0.5,0.5))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stats'!AR:AR))*(AO114^0.5)+(_xlfn.XLOOKUP(B114,'Base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stats'!AQ:AQ)="No","No",MROUND((LOG10(_xlfn.XLOOKUP(B114,'Base stats'!B:B,'Base stats'!AQ:AQ))*(AO114^0.75)+(_xlfn.XLOOKUP(B114,'Base stats'!B:B,'Base stats'!AQ:AQ)/1000)^(2/3)+_xlfn.XLOOKUP(B114,'Base stats'!B:B,'Base stats'!AU:AU)+_xlfn.XLOOKUP(B114,'Base stats'!B:B,'Base stats'!AX:AX))+0.5,0.5))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stats'!AP:AP))*(AO114^0.75)+(_xlfn.XLOOKUP(B114,'Base stats'!B:B,'Base stats'!AP:AP)/1000)^(2/3)+_xlfn.XLOOKUP(B114,'Base stats'!B:B,'Base stats'!AV:AV)+_xlfn.XLOOKUP(B114,'Base stats'!B:B,'Base stats'!AX:AX))+0.5,0.5))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MAX(0.01,MROUND(IF(CB114="True",0.196*(AO114*100*1000)^0.889,IF(_xlfn.XLOOKUP(_xlfn.XLOOKUP(B114,'Base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stats'!AE:AE)</f>
        <v>Leather_Panthera</v>
      </c>
      <c r="BB114" s="23" t="str">
        <f>_xlfn.XLOOKUP(_xlfn.XLOOKUP(B114,'Base stats'!B:B,'Base stats'!E:E),Groups!A:A,Groups!AL:AL)</f>
        <v>QuadrupedAnimalWithPawsAndTail</v>
      </c>
      <c r="BC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D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E114" s="2" t="str">
        <f>IF(J114&gt;0.3,"No",_xlfn.XLOOKUP(_xlfn.XLOOKUP(Animals!B114,'Base stats'!B:B,'Base stats'!E:E),Groups!A:A,Groups!AP:AP))</f>
        <v>No</v>
      </c>
      <c r="BF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+ 24*(1-IF(BE114="No",0,BE114)) + 16/3, 12),"No")</f>
        <v>No</v>
      </c>
      <c r="BG114" s="2">
        <f>IF(AND(_xlfn.XLOOKUP(_xlfn.XLOOKUP(B114,'Base stats'!B:B,'Base stats'!E:E),Groups!A:A,Groups!AQ:AQ)=1,AO114&lt;=0.35),8,12)</f>
        <v>12</v>
      </c>
      <c r="BH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I114" s="2" t="str">
        <f>IF(AND(_xlfn.XLOOKUP(_xlfn.XLOOKUP(B114,'Base stats'!B:B,'Base stats'!E:E),Groups!A:A,Groups!AS:AS)=1,OR('Base stats'!Y114="Carnivore",'Base stats'!Y114="Omnivore")),"true","false")</f>
        <v>true</v>
      </c>
      <c r="BJ114" s="2">
        <f>IF(BI114="true",MROUND(IF(AND(AO114&gt;0.5,OR(_xlfn.XLOOKUP(_xlfn.XLOOKUP(B114,'Base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K114" s="2">
        <f t="shared" si="10"/>
        <v>1</v>
      </c>
      <c r="BL114" s="25" t="str">
        <f>IF(_xlfn.XLOOKUP(B114,'Base stats'!B:B,'Base stats'!AK:AK)="Standard","No",MROUND((_xlfn.XLOOKUP(B114,'Base stats'!B:B,'Base stats'!AK:AK)/3.6)/I114,0.1))</f>
        <v>No</v>
      </c>
      <c r="BM114" s="25" t="str">
        <f t="shared" si="11"/>
        <v>false</v>
      </c>
      <c r="BN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O114" s="25" t="str" cm="1">
        <f t="array" ref="BO114">IF(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 = "",
  "No",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
)</f>
        <v>AttackTarget</v>
      </c>
      <c r="BP114" s="25" t="str">
        <f>IF(
   AND(
      'Base stats'!AK114="Standard",_xlfn.XLOOKUP(_xlfn.XLOOKUP(B114,'Base stats'!B:B,'Base stats'!E:E),Groups!A:A,Groups!AU:AU)=0,
      OR(
      BN114="True"
      )
   ),
   10,
   IF(
       OR(BL114&lt;&gt;"No",_xlfn.XLOOKUP(_xlfn.XLOOKUP(B114,'Base stats'!B:B,'Base stats'!E:E),Groups!A:A,Groups!AU:AU)=1),
      1,
      "No"
   )
)</f>
        <v>No</v>
      </c>
      <c r="BQ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stats'!AS:AS) * 1.8) * 2) * 2.5 + 10 + I114 * 2,5)+IF(_xlfn.XLOOKUP(B114,'Base stats'!B:B,'Base stats'!AH:AH)=1,50,0)</f>
        <v>125</v>
      </c>
      <c r="BR114" s="8">
        <f t="shared" si="12"/>
        <v>0.60000000000000009</v>
      </c>
      <c r="BS114" s="8" t="str">
        <f>_xlfn.XLOOKUP(B114,'Base stats'!B:B,'Base stats'!AD:AD)</f>
        <v>No</v>
      </c>
      <c r="BT114" s="2" t="str">
        <f>IF(AND(J114&lt;=0.95,OR(_xlfn.XLOOKUP(B114,'Base stats'!B:B,'Base stats'!AH:AH)=1,_xlfn.XLOOKUP(B114,'Base stats'!B:B,'Base stats'!Y:Y)="Carnivore",_xlfn.XLOOKUP(B114,'Base stats'!B:B,'Base stats'!Y:Y)="Omnivore",BD114&gt;0.1)),"true","false")</f>
        <v>true</v>
      </c>
      <c r="BU114" s="2" t="str">
        <f>IF(_xlfn.XLOOKUP(B114,'Base stats'!B:B,'Base stats'!AF:AF)=1,"true","false")</f>
        <v>false</v>
      </c>
      <c r="BV114" s="25" t="str">
        <f>IF(E114="BaseInsect","AnimalInsect",
IF(J114&gt;0.95,"AnimalExotic",
_xlfn.TEXTJOIN(", ",TRUE,
IF(OR(_xlfn.XLOOKUP(B114,'Base stats'!B:B,'Base stats'!AJ:AJ)=1,AND(_xlfn.XLOOKUP(B114,'Base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stats'!AH:AH)=1,AND(BH114&lt;&gt;"None",BQ114&gt;=60),ISNUMBER(SEARCH("Attack target",BO114))),"AnimalFighter","")
)))</f>
        <v>AnimalUncommon, AnimalFighter</v>
      </c>
      <c r="BW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),_xlfn.XLOOKUP(B114,B:B,BW:BW))</f>
        <v>AridShrubland Desert Grasslands LavaField</v>
      </c>
      <c r="BX114" s="25" t="str">
        <f>IF(_xlfn.XLOOKUP(B114,'Base stats'!B:B,'Base stats'!AG:AG)=1,"true","false")</f>
        <v>false</v>
      </c>
      <c r="BY114" s="25">
        <f>IF(_xlfn.XLOOKUP(B114,'Base stats'!B:B,'Base stats'!N:N)=1,"No",MAX(0.01,MIN(MROUND(IF(OR(_xlfn.XLOOKUP(B114,'Base stats'!B:B,'Base stats'!AJ:AJ)=1,AND(BI114="True",CB114="False")),POWER(10,3.47*LOG10(_xlfn.XLOOKUP(B114,'Base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stats'!AH:AH)=1),0.5,1)/100,0.025),1)))</f>
        <v>0.05</v>
      </c>
      <c r="BZ114" s="25" t="str">
        <f>IF(P114="Standard","No",MAX(0.01,IF(_xlfn.XLOOKUP(B114,'Base stats'!B:B,'Base stats'!N:N)=0,MROUND(BY114*P114,0.05),MIN(1,MAX(0.025,MROUND(IF(OR(CB114="true",AND(BI114="false",BN114="false")),POWER(10,4.15*LOG10(_xlfn.XLOOKUP(B114,'Base stats'!B:B,'Base stats'!C:C)*1000)^-0.73),POWER(10,3.47*LOG10(_xlfn.XLOOKUP(B114,'Base stats'!B:B,'Base stats'!C:C)*1000)^-0.96))*IF(_xlfn.XLOOKUP(B114,'Base stats'!B:B,'Base stats'!AH:AH)=1,0.5,1)/100,0.025))))))</f>
        <v>No</v>
      </c>
      <c r="CA114" s="25" t="str">
        <f>IF(_xlfn.XLOOKUP(_xlfn.XLOOKUP(B114,'Base stats'!B:B,'Base stats'!E:E),Groups!A:A,Groups!AJ:AJ)="Mammal","True","False")</f>
        <v>True</v>
      </c>
      <c r="CB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C114" s="25" t="str">
        <f t="shared" si="13"/>
        <v>False</v>
      </c>
      <c r="CD114" s="25" t="str">
        <f>IF(_xlfn.XLOOKUP(_xlfn.XLOOKUP(B114,'Base stats'!B:B,'Base stats'!E:E),Groups!A:A,Groups!AX:AX),"True","False")</f>
        <v>False</v>
      </c>
      <c r="CE114" s="25" t="str">
        <f>IF(_xlfn.XLOOKUP(_xlfn.XLOOKUP(B114,'Base stats'!B:B,'Base stats'!E:E),Groups!A:A,Groups!AY:AY),"True","False")</f>
        <v>False</v>
      </c>
      <c r="CF114" s="25" t="str">
        <f>IF(_xlfn.XLOOKUP(_xlfn.XLOOKUP(B114,'Base stats'!B:B,'Base stats'!E:E),Groups!A:A,Groups!AW:AW),"True","False")</f>
        <v>False</v>
      </c>
      <c r="CG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H114" s="25" t="str">
        <f>IF(_xlfn.XLOOKUP(_xlfn.XLOOKUP(B114,'Base stats'!B:B,'Base stats'!E:E),Groups!A:A,Groups!BB:BB),"True","False")</f>
        <v>True</v>
      </c>
      <c r="CI114" s="25" t="str">
        <f>IF(_xlfn.XLOOKUP(_xlfn.XLOOKUP(B114,'Base stats'!B:B,'Base stats'!E:E),Groups!A:A,Groups!BA:BA),"True","False")</f>
        <v>False</v>
      </c>
    </row>
    <row r="115" spans="1:87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stats'!AI:AI)=0,BH115="None",_xlfn.XLOOKUP(_xlfn.XLOOKUP(B115,'Base stats'!B:B,'Base stats'!E:E),Groups!A:A,Groups!B:B)=0), (18 + BQ115 * 2.7) * 0.5,
    IF(AND(_xlfn.XLOOKUP(B115,'Base stats'!B:B,'Base stats'!AI:AI)=0,OR(AO115&lt;0.55,AND(BH115="Intermediate",_xlfn.XLOOKUP(_xlfn.XLOOKUP(B115,'Base stats'!B:B,'Base stats'!E:E),Groups!A:A,Groups!B:B)&lt;2))), (18 + BQ115 * 2.7),
      IF(OR(BH115="Advanced",_xlfn.XLOOKUP(B115,'Base stats'!B:B,'Base stats'!AI:AI)=1,_xlfn.XLOOKUP(_xlfn.XLOOKUP(B115,'Base stats'!B:B,'Base stats'!E:E),Groups!A:A,Groups!B:B)=2), (18 + BQ115 * 2.7) + 250, (18 + BQ115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IF(_xlfn.XLOOKUP(B115,'Base stats'!B:B,'Base stats'!AI:AI)=1,0.99,MIN(MROUND((1-0.6282*EXP(-0.459*AO115))*_xlfn.XLOOKUP(_xlfn.XLOOKUP(B115,'Base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W115)),ISNUMBER(SEARCH("IceSheet",BW115))),-50,IF(OR(ISNUMBER(SEARCH("GlacialPlain",BW115)),ISNUMBER(SEARCH("Tundra",BW115))),-40,IF(OR(ISNUMBER(SEARCH("Alpine",BW115)),ISNUMBER(SEARCH("BorealForest",BW115)),ISNUMBER(SEARCH("ColdBog",BW115))),-30,IF(OR(ISNUMBER(SEARCH("TemperateForest",BW115)),ISNUMBER(SEARCH("TemperateSwamp",BW115))),-20,IF(_xlfn.XLOOKUP(_xlfn.XLOOKUP(B115,'Base stats'!B:B,'Base stats'!E:E),Groups!A:A,Groups!F:F)=1,-15,IF(OR(ISNUMBER(SEARCH("Desert",BW115)),ISNUMBER(SEARCH("ExtremeDesert",BW115))),-10,IF(OR(ISNUMBER(SEARCH("Grasslands",BW115)),ISNUMBER(SEARCH("TropicalRainforest",BW115)),ISNUMBER(SEARCH("TropicalSwamp",BW115))),10,0)))))))-IF(CB115="False",MIN(IFERROR(MAX(MROUND(LOG10(_xlfn.XLOOKUP(B115,'Base stats'!B:B,'Base stats'!C:C)^(2/3))*10,5),5),5),30))-_xlfn.XLOOKUP(B115,'Base stats'!B:B,'Base stats'!P:P)+IF(CB115="True",5,0)</f>
        <v>-20</v>
      </c>
      <c r="M115" s="2">
        <f>IF(OR(_xlfn.XLOOKUP(_xlfn.XLOOKUP(B115,'Base stats'!B:B,'Base stats'!E:E),Groups!A:A,Groups!G:G)=2,ISNUMBER(SEARCH("Desert",BW115)),ISNUMBER(SEARCH("ExtremeDesert",BW115)),ISNUMBER(SEARCH("LavaField",BW115))),50,IF(ISNUMBER(SEARCH("Grasslands",BW115)),45,IF(OR(_xlfn.XLOOKUP(_xlfn.XLOOKUP(B115,'Base stats'!B:B,'Base stats'!E:E),Groups!A:A,Groups!G:G)=1,ISNUMBER(SEARCH("TropicalRainforest",BW115)),ISNUMBER(SEARCH("TropicalSwamp",BW115))),40,IF(OR(ISNUMBER(SEARCH("TemperateForest",BW115)),ISNUMBER(SEARCH("TemperateSwamp",BW115))),35,IF(OR(ISNUMBER(SEARCH("Alpine",BW115)),ISNUMBER(SEARCH("BorealForest",BW115)),ISNUMBER(SEARCH("ColdBog",BW115))),30,IF(ISNUMBER(OR(ISNUMBER(SEARCH("GlacialPlain",BW115)),SEARCH("Tundra",BW115))),25,IF(OR(ISNUMBER(SEARCH("SeaIce",BW115)),ISNUMBER(SEARCH("IceSheet",BW115)),ISNUMBER(SEARCH("TropicalSwamp",BW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stats'!AO:AO))*(AO115^0.5)+(_xlfn.XLOOKUP(B115,'Base stats'!B:B,'Base stats'!AO:AO)/1000)^(2/3)+_xlfn.XLOOKUP(B115,'Base stats'!B:B,'Base stats'!AX:AX)/2)+0.5,0.5)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stats'!AP:AP))*(AO115^0.5)+(_xlfn.XLOOKUP(B115,'Base stats'!B:B,'Base stats'!AP:AP)/1000)^(2/3)+_xlfn.XLOOKUP(B115,'Base stats'!B:B,'Base stats'!AX:AX))+_xlfn.XLOOKUP(B115,'Base stats'!B:B,'Base stats'!AV:AV)+0.5,0.5))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stats'!AR:AR))*(AO115^0.5)+(_xlfn.XLOOKUP(B115,'Base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stats'!AQ:AQ)="No","No",MROUND((LOG10(_xlfn.XLOOKUP(B115,'Base stats'!B:B,'Base stats'!AQ:AQ))*(AO115^0.75)+(_xlfn.XLOOKUP(B115,'Base stats'!B:B,'Base stats'!AQ:AQ)/1000)^(2/3)+_xlfn.XLOOKUP(B115,'Base stats'!B:B,'Base stats'!AU:AU)+_xlfn.XLOOKUP(B115,'Base stats'!B:B,'Base stats'!AX:AX))+0.5,0.5))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stats'!AP:AP))*(AO115^0.75)+(_xlfn.XLOOKUP(B115,'Base stats'!B:B,'Base stats'!AP:AP)/1000)^(2/3)+_xlfn.XLOOKUP(B115,'Base stats'!B:B,'Base stats'!AV:AV)+_xlfn.XLOOKUP(B115,'Base stats'!B:B,'Base stats'!AX:AX))+0.5,0.5))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MAX(0.01,MROUND(IF(CB115="True",0.196*(AO115*100*1000)^0.889,IF(_xlfn.XLOOKUP(_xlfn.XLOOKUP(B115,'Base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stats'!AE:AE)</f>
        <v>Leather_Light</v>
      </c>
      <c r="BB115" s="23" t="str">
        <f>_xlfn.XLOOKUP(_xlfn.XLOOKUP(B115,'Base stats'!B:B,'Base stats'!E:E),Groups!A:A,Groups!AL:AL)</f>
        <v>QuadrupedAnimalWithPaws</v>
      </c>
      <c r="BC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D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E115" s="2" t="str">
        <f>IF(J115&gt;0.3,"No",_xlfn.XLOOKUP(_xlfn.XLOOKUP(Animals!B115,'Base stats'!B:B,'Base stats'!E:E),Groups!A:A,Groups!AP:AP))</f>
        <v>No</v>
      </c>
      <c r="BF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+ 24*(1-IF(BE115="No",0,BE115)) + 16/3, 12),"No")</f>
        <v>No</v>
      </c>
      <c r="BG115" s="2">
        <f>IF(AND(_xlfn.XLOOKUP(_xlfn.XLOOKUP(B115,'Base stats'!B:B,'Base stats'!E:E),Groups!A:A,Groups!AQ:AQ)=1,AO115&lt;=0.35),8,12)</f>
        <v>12</v>
      </c>
      <c r="BH115" s="2" t="str">
        <f>IF(_xlfn.XLOOKUP(_xlfn.XLOOKUP(B115,'Base stats'!B:B,'Base stats'!E:E),Groups!A:A,Groups!D:D)=0,_xlfn.XLOOKUP(_xlfn.XLOOKUP(B115,'Base stats'!B:B,'Base stats'!E:E),Groups!A:A,Groups!AR:AR),"None")</f>
        <v>None</v>
      </c>
      <c r="BI115" s="2" t="str">
        <f>IF(AND(_xlfn.XLOOKUP(_xlfn.XLOOKUP(B115,'Base stats'!B:B,'Base stats'!E:E),Groups!A:A,Groups!AS:AS)=1,OR('Base stats'!Y115="Carnivore",'Base stats'!Y115="Omnivore")),"true","false")</f>
        <v>false</v>
      </c>
      <c r="BJ115" s="2" t="str">
        <f>IF(BI115="true",MROUND(IF(AND(AO115&gt;0.5,OR(_xlfn.XLOOKUP(_xlfn.XLOOKUP(B115,'Base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K115" s="2">
        <f t="shared" si="10"/>
        <v>0</v>
      </c>
      <c r="BL115" s="25" t="str">
        <f>IF(_xlfn.XLOOKUP(B115,'Base stats'!B:B,'Base stats'!AK:AK)="Standard","No",MROUND((_xlfn.XLOOKUP(B115,'Base stats'!B:B,'Base stats'!AK:AK)/3.6)/I115,0.1))</f>
        <v>No</v>
      </c>
      <c r="BM115" s="25" t="str">
        <f t="shared" si="11"/>
        <v>false</v>
      </c>
      <c r="BN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O115" s="25" t="str" cm="1">
        <f t="array" ref="BO115">IF(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 = "",
  "No",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
)</f>
        <v>No</v>
      </c>
      <c r="BP115" s="25" t="str">
        <f>IF(
   AND(
      'Base stats'!AK115="Standard",_xlfn.XLOOKUP(_xlfn.XLOOKUP(B115,'Base stats'!B:B,'Base stats'!E:E),Groups!A:A,Groups!AU:AU)=0,
      OR(
      BN115="True"
      )
   ),
   10,
   IF(
       OR(BL115&lt;&gt;"No",_xlfn.XLOOKUP(_xlfn.XLOOKUP(B115,'Base stats'!B:B,'Base stats'!E:E),Groups!A:A,Groups!AU:AU)=1),
      1,
      "No"
   )
)</f>
        <v>No</v>
      </c>
      <c r="BQ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stats'!AS:AS) * 1.8) * 2) * 2.5 + 10 + I115 * 2,5)+IF(_xlfn.XLOOKUP(B115,'Base stats'!B:B,'Base stats'!AH:AH)=1,50,0)</f>
        <v>110</v>
      </c>
      <c r="BR115" s="8">
        <f t="shared" si="12"/>
        <v>0.5</v>
      </c>
      <c r="BS115" s="8" t="str">
        <f>_xlfn.XLOOKUP(B115,'Base stats'!B:B,'Base stats'!AD:AD)</f>
        <v>No</v>
      </c>
      <c r="BT115" s="2" t="str">
        <f>IF(AND(J115&lt;=0.95,OR(_xlfn.XLOOKUP(B115,'Base stats'!B:B,'Base stats'!AH:AH)=1,_xlfn.XLOOKUP(B115,'Base stats'!B:B,'Base stats'!Y:Y)="Carnivore",_xlfn.XLOOKUP(B115,'Base stats'!B:B,'Base stats'!Y:Y)="Omnivore",BD115&gt;0.1)),"true","false")</f>
        <v>true</v>
      </c>
      <c r="BU115" s="2" t="str">
        <f>IF(_xlfn.XLOOKUP(B115,'Base stats'!B:B,'Base stats'!AF:AF)=1,"true","false")</f>
        <v>false</v>
      </c>
      <c r="BV115" s="25" t="str">
        <f>IF(E115="BaseInsect","AnimalInsect",
IF(J115&gt;0.95,"AnimalExotic",
_xlfn.TEXTJOIN(", ",TRUE,
IF(OR(_xlfn.XLOOKUP(B115,'Base stats'!B:B,'Base stats'!AJ:AJ)=1,AND(_xlfn.XLOOKUP(B115,'Base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stats'!AH:AH)=1,AND(BH115&lt;&gt;"None",BQ115&gt;=60),ISNUMBER(SEARCH("Attack target",BO115))),"AnimalFighter","")
)))</f>
        <v>AnimalUncommon, AnimalFighter</v>
      </c>
      <c r="BW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),_xlfn.XLOOKUP(B115,B:B,BW:BW))</f>
        <v>AridShrubland Desert ExtremeDesert Grasslands LavaField</v>
      </c>
      <c r="BX115" s="25" t="str">
        <f>IF(_xlfn.XLOOKUP(B115,'Base stats'!B:B,'Base stats'!AG:AG)=1,"true","false")</f>
        <v>false</v>
      </c>
      <c r="BY115" s="25">
        <f>IF(_xlfn.XLOOKUP(B115,'Base stats'!B:B,'Base stats'!N:N)=1,"No",MAX(0.01,MIN(MROUND(IF(OR(_xlfn.XLOOKUP(B115,'Base stats'!B:B,'Base stats'!AJ:AJ)=1,AND(BI115="True",CB115="False")),POWER(10,3.47*LOG10(_xlfn.XLOOKUP(B115,'Base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stats'!AH:AH)=1),0.5,1)/100,0.025),1)))</f>
        <v>0.125</v>
      </c>
      <c r="BZ115" s="25">
        <f>IF(P115="Standard","No",MAX(0.01,IF(_xlfn.XLOOKUP(B115,'Base stats'!B:B,'Base stats'!N:N)=0,MROUND(BY115*P115,0.05),MIN(1,MAX(0.025,MROUND(IF(OR(CB115="true",AND(BI115="false",BN115="false")),POWER(10,4.15*LOG10(_xlfn.XLOOKUP(B115,'Base stats'!B:B,'Base stats'!C:C)*1000)^-0.73),POWER(10,3.47*LOG10(_xlfn.XLOOKUP(B115,'Base stats'!B:B,'Base stats'!C:C)*1000)^-0.96))*IF(_xlfn.XLOOKUP(B115,'Base stats'!B:B,'Base stats'!AH:AH)=1,0.5,1)/100,0.025))))))</f>
        <v>0.1</v>
      </c>
      <c r="CA115" s="25" t="str">
        <f>IF(_xlfn.XLOOKUP(_xlfn.XLOOKUP(B115,'Base stats'!B:B,'Base stats'!E:E),Groups!A:A,Groups!AJ:AJ)="Mammal","True","False")</f>
        <v>True</v>
      </c>
      <c r="CB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C115" s="25" t="str">
        <f t="shared" si="13"/>
        <v>False</v>
      </c>
      <c r="CD115" s="25" t="str">
        <f>IF(_xlfn.XLOOKUP(_xlfn.XLOOKUP(B115,'Base stats'!B:B,'Base stats'!E:E),Groups!A:A,Groups!AX:AX),"True","False")</f>
        <v>False</v>
      </c>
      <c r="CE115" s="25" t="str">
        <f>IF(_xlfn.XLOOKUP(_xlfn.XLOOKUP(B115,'Base stats'!B:B,'Base stats'!E:E),Groups!A:A,Groups!AY:AY),"True","False")</f>
        <v>False</v>
      </c>
      <c r="CF115" s="25" t="str">
        <f>IF(_xlfn.XLOOKUP(_xlfn.XLOOKUP(B115,'Base stats'!B:B,'Base stats'!E:E),Groups!A:A,Groups!AW:AW),"True","False")</f>
        <v>False</v>
      </c>
      <c r="CG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H115" s="25" t="str">
        <f>IF(_xlfn.XLOOKUP(_xlfn.XLOOKUP(B115,'Base stats'!B:B,'Base stats'!E:E),Groups!A:A,Groups!BB:BB),"True","False")</f>
        <v>True</v>
      </c>
      <c r="CI115" s="25" t="str">
        <f>IF(_xlfn.XLOOKUP(_xlfn.XLOOKUP(B115,'Base stats'!B:B,'Base stats'!E:E),Groups!A:A,Groups!BA:BA),"True","False")</f>
        <v>False</v>
      </c>
    </row>
    <row r="116" spans="1:87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stats'!AI:AI)=0,BH116="None",_xlfn.XLOOKUP(_xlfn.XLOOKUP(B116,'Base stats'!B:B,'Base stats'!E:E),Groups!A:A,Groups!B:B)=0), (18 + BQ116 * 2.7) * 0.5,
    IF(AND(_xlfn.XLOOKUP(B116,'Base stats'!B:B,'Base stats'!AI:AI)=0,OR(AO116&lt;0.55,AND(BH116="Intermediate",_xlfn.XLOOKUP(_xlfn.XLOOKUP(B116,'Base stats'!B:B,'Base stats'!E:E),Groups!A:A,Groups!B:B)&lt;2))), (18 + BQ116 * 2.7),
      IF(OR(BH116="Advanced",_xlfn.XLOOKUP(B116,'Base stats'!B:B,'Base stats'!AI:AI)=1,_xlfn.XLOOKUP(_xlfn.XLOOKUP(B116,'Base stats'!B:B,'Base stats'!E:E),Groups!A:A,Groups!B:B)=2), (18 + BQ116 * 2.7) + 250, (18 + BQ116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IF(_xlfn.XLOOKUP(B116,'Base stats'!B:B,'Base stats'!AI:AI)=1,0.99,MIN(MROUND((1-0.6282*EXP(-0.459*AO116))*_xlfn.XLOOKUP(_xlfn.XLOOKUP(B116,'Base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W116)),ISNUMBER(SEARCH("IceSheet",BW116))),-50,IF(OR(ISNUMBER(SEARCH("GlacialPlain",BW116)),ISNUMBER(SEARCH("Tundra",BW116))),-40,IF(OR(ISNUMBER(SEARCH("Alpine",BW116)),ISNUMBER(SEARCH("BorealForest",BW116)),ISNUMBER(SEARCH("ColdBog",BW116))),-30,IF(OR(ISNUMBER(SEARCH("TemperateForest",BW116)),ISNUMBER(SEARCH("TemperateSwamp",BW116))),-20,IF(_xlfn.XLOOKUP(_xlfn.XLOOKUP(B116,'Base stats'!B:B,'Base stats'!E:E),Groups!A:A,Groups!F:F)=1,-15,IF(OR(ISNUMBER(SEARCH("Desert",BW116)),ISNUMBER(SEARCH("ExtremeDesert",BW116))),-10,IF(OR(ISNUMBER(SEARCH("Grasslands",BW116)),ISNUMBER(SEARCH("TropicalRainforest",BW116)),ISNUMBER(SEARCH("TropicalSwamp",BW116))),10,0)))))))-IF(CB116="False",MIN(IFERROR(MAX(MROUND(LOG10(_xlfn.XLOOKUP(B116,'Base stats'!B:B,'Base stats'!C:C)^(2/3))*10,5),5),5),30))-_xlfn.XLOOKUP(B116,'Base stats'!B:B,'Base stats'!P:P)+IF(CB116="True",5,0)</f>
        <v>-20</v>
      </c>
      <c r="M116" s="2">
        <f>IF(OR(_xlfn.XLOOKUP(_xlfn.XLOOKUP(B116,'Base stats'!B:B,'Base stats'!E:E),Groups!A:A,Groups!G:G)=2,ISNUMBER(SEARCH("Desert",BW116)),ISNUMBER(SEARCH("ExtremeDesert",BW116)),ISNUMBER(SEARCH("LavaField",BW116))),50,IF(ISNUMBER(SEARCH("Grasslands",BW116)),45,IF(OR(_xlfn.XLOOKUP(_xlfn.XLOOKUP(B116,'Base stats'!B:B,'Base stats'!E:E),Groups!A:A,Groups!G:G)=1,ISNUMBER(SEARCH("TropicalRainforest",BW116)),ISNUMBER(SEARCH("TropicalSwamp",BW116))),40,IF(OR(ISNUMBER(SEARCH("TemperateForest",BW116)),ISNUMBER(SEARCH("TemperateSwamp",BW116))),35,IF(OR(ISNUMBER(SEARCH("Alpine",BW116)),ISNUMBER(SEARCH("BorealForest",BW116)),ISNUMBER(SEARCH("ColdBog",BW116))),30,IF(ISNUMBER(OR(ISNUMBER(SEARCH("GlacialPlain",BW116)),SEARCH("Tundra",BW116))),25,IF(OR(ISNUMBER(SEARCH("SeaIce",BW116)),ISNUMBER(SEARCH("IceSheet",BW116)),ISNUMBER(SEARCH("TropicalSwamp",BW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stats'!AO:AO))*(AO116^0.5)+(_xlfn.XLOOKUP(B116,'Base stats'!B:B,'Base stats'!AO:AO)/1000)^(2/3)+_xlfn.XLOOKUP(B116,'Base stats'!B:B,'Base stats'!AX:AX)/2)+0.5,0.5)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stats'!AP:AP))*(AO116^0.5)+(_xlfn.XLOOKUP(B116,'Base stats'!B:B,'Base stats'!AP:AP)/1000)^(2/3)+_xlfn.XLOOKUP(B116,'Base stats'!B:B,'Base stats'!AX:AX))+_xlfn.XLOOKUP(B116,'Base stats'!B:B,'Base stats'!AV:AV)+0.5,0.5))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stats'!AR:AR))*(AO116^0.5)+(_xlfn.XLOOKUP(B116,'Base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stats'!AQ:AQ)="No","No",MROUND((LOG10(_xlfn.XLOOKUP(B116,'Base stats'!B:B,'Base stats'!AQ:AQ))*(AO116^0.75)+(_xlfn.XLOOKUP(B116,'Base stats'!B:B,'Base stats'!AQ:AQ)/1000)^(2/3)+_xlfn.XLOOKUP(B116,'Base stats'!B:B,'Base stats'!AU:AU)+_xlfn.XLOOKUP(B116,'Base stats'!B:B,'Base stats'!AX:AX))+0.5,0.5))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stats'!AP:AP))*(AO116^0.75)+(_xlfn.XLOOKUP(B116,'Base stats'!B:B,'Base stats'!AP:AP)/1000)^(2/3)+_xlfn.XLOOKUP(B116,'Base stats'!B:B,'Base stats'!AV:AV)+_xlfn.XLOOKUP(B116,'Base stats'!B:B,'Base stats'!AX:AX))+0.5,0.5))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MAX(0.01,MROUND(IF(CB116="True",0.196*(AO116*100*1000)^0.889,IF(_xlfn.XLOOKUP(_xlfn.XLOOKUP(B116,'Base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stats'!AE:AE)</f>
        <v>Leather_Plain</v>
      </c>
      <c r="BB116" s="23" t="str">
        <f>_xlfn.XLOOKUP(_xlfn.XLOOKUP(B116,'Base stats'!B:B,'Base stats'!E:E),Groups!A:A,Groups!AL:AL)</f>
        <v>BipedalAnimalWithPawsClawsAndTail</v>
      </c>
      <c r="BC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D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E116" s="2" t="str">
        <f>IF(J116&gt;0.3,"No",_xlfn.XLOOKUP(_xlfn.XLOOKUP(Animals!B116,'Base stats'!B:B,'Base stats'!E:E),Groups!A:A,Groups!AP:AP))</f>
        <v>No</v>
      </c>
      <c r="BF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+ 24*(1-IF(BE116="No",0,BE116)) + 16/3, 12),"No")</f>
        <v>No</v>
      </c>
      <c r="BG116" s="2">
        <f>IF(AND(_xlfn.XLOOKUP(_xlfn.XLOOKUP(B116,'Base stats'!B:B,'Base stats'!E:E),Groups!A:A,Groups!AQ:AQ)=1,AO116&lt;=0.35),8,12)</f>
        <v>12</v>
      </c>
      <c r="BH116" s="2" t="str">
        <f>IF(_xlfn.XLOOKUP(_xlfn.XLOOKUP(B116,'Base stats'!B:B,'Base stats'!E:E),Groups!A:A,Groups!D:D)=0,_xlfn.XLOOKUP(_xlfn.XLOOKUP(B116,'Base stats'!B:B,'Base stats'!E:E),Groups!A:A,Groups!AR:AR),"None")</f>
        <v>None</v>
      </c>
      <c r="BI116" s="2" t="str">
        <f>IF(AND(_xlfn.XLOOKUP(_xlfn.XLOOKUP(B116,'Base stats'!B:B,'Base stats'!E:E),Groups!A:A,Groups!AS:AS)=1,OR('Base stats'!Y116="Carnivore",'Base stats'!Y116="Omnivore")),"true","false")</f>
        <v>false</v>
      </c>
      <c r="BJ116" s="2" t="str">
        <f>IF(BI116="true",MROUND(IF(AND(AO116&gt;0.5,OR(_xlfn.XLOOKUP(_xlfn.XLOOKUP(B116,'Base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K116" s="2">
        <f t="shared" si="10"/>
        <v>0</v>
      </c>
      <c r="BL116" s="25" t="str">
        <f>IF(_xlfn.XLOOKUP(B116,'Base stats'!B:B,'Base stats'!AK:AK)="Standard","No",MROUND((_xlfn.XLOOKUP(B116,'Base stats'!B:B,'Base stats'!AK:AK)/3.6)/I116,0.1))</f>
        <v>No</v>
      </c>
      <c r="BM116" s="25" t="str">
        <f t="shared" si="11"/>
        <v>false</v>
      </c>
      <c r="BN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O116" s="25" t="str" cm="1">
        <f t="array" ref="BO116">IF(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 = "",
  "No",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
)</f>
        <v>No</v>
      </c>
      <c r="BP116" s="25" t="str">
        <f>IF(
   AND(
      'Base stats'!AK116="Standard",_xlfn.XLOOKUP(_xlfn.XLOOKUP(B116,'Base stats'!B:B,'Base stats'!E:E),Groups!A:A,Groups!AU:AU)=0,
      OR(
      BN116="True"
      )
   ),
   10,
   IF(
       OR(BL116&lt;&gt;"No",_xlfn.XLOOKUP(_xlfn.XLOOKUP(B116,'Base stats'!B:B,'Base stats'!E:E),Groups!A:A,Groups!AU:AU)=1),
      1,
      "No"
   )
)</f>
        <v>No</v>
      </c>
      <c r="BQ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stats'!AS:AS) * 1.8) * 2) * 2.5 + 10 + I116 * 2,5)+IF(_xlfn.XLOOKUP(B116,'Base stats'!B:B,'Base stats'!AH:AH)=1,50,0)</f>
        <v>90</v>
      </c>
      <c r="BR116" s="8">
        <f t="shared" si="12"/>
        <v>0.60000000000000009</v>
      </c>
      <c r="BS116" s="8" t="str">
        <f>_xlfn.XLOOKUP(B116,'Base stats'!B:B,'Base stats'!AD:AD)</f>
        <v>3~10</v>
      </c>
      <c r="BT116" s="2" t="str">
        <f>IF(AND(J116&lt;=0.95,OR(_xlfn.XLOOKUP(B116,'Base stats'!B:B,'Base stats'!AH:AH)=1,_xlfn.XLOOKUP(B116,'Base stats'!B:B,'Base stats'!Y:Y)="Carnivore",_xlfn.XLOOKUP(B116,'Base stats'!B:B,'Base stats'!Y:Y)="Omnivore",BD116&gt;0.1)),"true","false")</f>
        <v>false</v>
      </c>
      <c r="BU116" s="2" t="str">
        <f>IF(_xlfn.XLOOKUP(B116,'Base stats'!B:B,'Base stats'!AF:AF)=1,"true","false")</f>
        <v>false</v>
      </c>
      <c r="BV116" s="25" t="str">
        <f>IF(E116="BaseInsect","AnimalInsect",
IF(J116&gt;0.95,"AnimalExotic",
_xlfn.TEXTJOIN(", ",TRUE,
IF(OR(_xlfn.XLOOKUP(B116,'Base stats'!B:B,'Base stats'!AJ:AJ)=1,AND(_xlfn.XLOOKUP(B116,'Base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stats'!AH:AH)=1,AND(BH116&lt;&gt;"None",BQ116&gt;=60),ISNUMBER(SEARCH("Attack target",BO116))),"AnimalFighter","")
)))</f>
        <v>AnimalUncommon</v>
      </c>
      <c r="BW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),_xlfn.XLOOKUP(B116,B:B,BW:BW))</f>
        <v>AridShrubland Desert Grasslands LavaField</v>
      </c>
      <c r="BX116" s="25" t="str">
        <f>IF(_xlfn.XLOOKUP(B116,'Base stats'!B:B,'Base stats'!AG:AG)=1,"true","false")</f>
        <v>false</v>
      </c>
      <c r="BY116" s="25">
        <f>IF(_xlfn.XLOOKUP(B116,'Base stats'!B:B,'Base stats'!N:N)=1,"No",MAX(0.01,MIN(MROUND(IF(OR(_xlfn.XLOOKUP(B116,'Base stats'!B:B,'Base stats'!AJ:AJ)=1,AND(BI116="True",CB116="False")),POWER(10,3.47*LOG10(_xlfn.XLOOKUP(B116,'Base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stats'!AH:AH)=1),0.5,1)/100,0.025),1)))</f>
        <v>0.22500000000000001</v>
      </c>
      <c r="BZ116" s="25" t="str">
        <f>IF(P116="Standard","No",MAX(0.01,IF(_xlfn.XLOOKUP(B116,'Base stats'!B:B,'Base stats'!N:N)=0,MROUND(BY116*P116,0.05),MIN(1,MAX(0.025,MROUND(IF(OR(CB116="true",AND(BI116="false",BN116="false")),POWER(10,4.15*LOG10(_xlfn.XLOOKUP(B116,'Base stats'!B:B,'Base stats'!C:C)*1000)^-0.73),POWER(10,3.47*LOG10(_xlfn.XLOOKUP(B116,'Base stats'!B:B,'Base stats'!C:C)*1000)^-0.96))*IF(_xlfn.XLOOKUP(B116,'Base stats'!B:B,'Base stats'!AH:AH)=1,0.5,1)/100,0.025))))))</f>
        <v>No</v>
      </c>
      <c r="CA116" s="25" t="str">
        <f>IF(_xlfn.XLOOKUP(_xlfn.XLOOKUP(B116,'Base stats'!B:B,'Base stats'!E:E),Groups!A:A,Groups!AJ:AJ)="Mammal","True","False")</f>
        <v>True</v>
      </c>
      <c r="CB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C116" s="25" t="str">
        <f t="shared" si="13"/>
        <v>False</v>
      </c>
      <c r="CD116" s="25" t="str">
        <f>IF(_xlfn.XLOOKUP(_xlfn.XLOOKUP(B116,'Base stats'!B:B,'Base stats'!E:E),Groups!A:A,Groups!AX:AX),"True","False")</f>
        <v>False</v>
      </c>
      <c r="CE116" s="25" t="str">
        <f>IF(_xlfn.XLOOKUP(_xlfn.XLOOKUP(B116,'Base stats'!B:B,'Base stats'!E:E),Groups!A:A,Groups!AY:AY),"True","False")</f>
        <v>False</v>
      </c>
      <c r="CF116" s="25" t="str">
        <f>IF(_xlfn.XLOOKUP(_xlfn.XLOOKUP(B116,'Base stats'!B:B,'Base stats'!E:E),Groups!A:A,Groups!AW:AW),"True","False")</f>
        <v>False</v>
      </c>
      <c r="CG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H116" s="25" t="str">
        <f>IF(_xlfn.XLOOKUP(_xlfn.XLOOKUP(B116,'Base stats'!B:B,'Base stats'!E:E),Groups!A:A,Groups!BB:BB),"True","False")</f>
        <v>True</v>
      </c>
      <c r="CI116" s="25" t="str">
        <f>IF(_xlfn.XLOOKUP(_xlfn.XLOOKUP(B116,'Base stats'!B:B,'Base stats'!E:E),Groups!A:A,Groups!BA:BA),"True","False")</f>
        <v>False</v>
      </c>
    </row>
    <row r="117" spans="1:87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stats'!AI:AI)=0,BH117="None",_xlfn.XLOOKUP(_xlfn.XLOOKUP(B117,'Base stats'!B:B,'Base stats'!E:E),Groups!A:A,Groups!B:B)=0), (18 + BQ117 * 2.7) * 0.5,
    IF(AND(_xlfn.XLOOKUP(B117,'Base stats'!B:B,'Base stats'!AI:AI)=0,OR(AO117&lt;0.55,AND(BH117="Intermediate",_xlfn.XLOOKUP(_xlfn.XLOOKUP(B117,'Base stats'!B:B,'Base stats'!E:E),Groups!A:A,Groups!B:B)&lt;2))), (18 + BQ117 * 2.7),
      IF(OR(BH117="Advanced",_xlfn.XLOOKUP(B117,'Base stats'!B:B,'Base stats'!AI:AI)=1,_xlfn.XLOOKUP(_xlfn.XLOOKUP(B117,'Base stats'!B:B,'Base stats'!E:E),Groups!A:A,Groups!B:B)=2), (18 + BQ117 * 2.7) + 250, (18 + BQ117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IF(_xlfn.XLOOKUP(B117,'Base stats'!B:B,'Base stats'!AI:AI)=1,0.99,MIN(MROUND((1-0.6282*EXP(-0.459*AO117))*_xlfn.XLOOKUP(_xlfn.XLOOKUP(B117,'Base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W117)),ISNUMBER(SEARCH("IceSheet",BW117))),-50,IF(OR(ISNUMBER(SEARCH("GlacialPlain",BW117)),ISNUMBER(SEARCH("Tundra",BW117))),-40,IF(OR(ISNUMBER(SEARCH("Alpine",BW117)),ISNUMBER(SEARCH("BorealForest",BW117)),ISNUMBER(SEARCH("ColdBog",BW117))),-30,IF(OR(ISNUMBER(SEARCH("TemperateForest",BW117)),ISNUMBER(SEARCH("TemperateSwamp",BW117))),-20,IF(_xlfn.XLOOKUP(_xlfn.XLOOKUP(B117,'Base stats'!B:B,'Base stats'!E:E),Groups!A:A,Groups!F:F)=1,-15,IF(OR(ISNUMBER(SEARCH("Desert",BW117)),ISNUMBER(SEARCH("ExtremeDesert",BW117))),-10,IF(OR(ISNUMBER(SEARCH("Grasslands",BW117)),ISNUMBER(SEARCH("TropicalRainforest",BW117)),ISNUMBER(SEARCH("TropicalSwamp",BW117))),10,0)))))))-IF(CB117="False",MIN(IFERROR(MAX(MROUND(LOG10(_xlfn.XLOOKUP(B117,'Base stats'!B:B,'Base stats'!C:C)^(2/3))*10,5),5),5),30))-_xlfn.XLOOKUP(B117,'Base stats'!B:B,'Base stats'!P:P)+IF(CB117="True",5,0)</f>
        <v>5</v>
      </c>
      <c r="M117" s="2">
        <f>IF(OR(_xlfn.XLOOKUP(_xlfn.XLOOKUP(B117,'Base stats'!B:B,'Base stats'!E:E),Groups!A:A,Groups!G:G)=2,ISNUMBER(SEARCH("Desert",BW117)),ISNUMBER(SEARCH("ExtremeDesert",BW117)),ISNUMBER(SEARCH("LavaField",BW117))),50,IF(ISNUMBER(SEARCH("Grasslands",BW117)),45,IF(OR(_xlfn.XLOOKUP(_xlfn.XLOOKUP(B117,'Base stats'!B:B,'Base stats'!E:E),Groups!A:A,Groups!G:G)=1,ISNUMBER(SEARCH("TropicalRainforest",BW117)),ISNUMBER(SEARCH("TropicalSwamp",BW117))),40,IF(OR(ISNUMBER(SEARCH("TemperateForest",BW117)),ISNUMBER(SEARCH("TemperateSwamp",BW117))),35,IF(OR(ISNUMBER(SEARCH("Alpine",BW117)),ISNUMBER(SEARCH("BorealForest",BW117)),ISNUMBER(SEARCH("ColdBog",BW117))),30,IF(ISNUMBER(OR(ISNUMBER(SEARCH("GlacialPlain",BW117)),SEARCH("Tundra",BW117))),25,IF(OR(ISNUMBER(SEARCH("SeaIce",BW117)),ISNUMBER(SEARCH("IceSheet",BW117)),ISNUMBER(SEARCH("TropicalSwamp",BW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stats'!AO:AO))*(AO117^0.5)+(_xlfn.XLOOKUP(B117,'Base stats'!B:B,'Base stats'!AO:AO)/1000)^(2/3)+_xlfn.XLOOKUP(B117,'Base stats'!B:B,'Base stats'!AX:AX)/2)+0.5,0.5)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stats'!AP:AP))*(AO117^0.5)+(_xlfn.XLOOKUP(B117,'Base stats'!B:B,'Base stats'!AP:AP)/1000)^(2/3)+_xlfn.XLOOKUP(B117,'Base stats'!B:B,'Base stats'!AX:AX))+_xlfn.XLOOKUP(B117,'Base stats'!B:B,'Base stats'!AV:AV)+0.5,0.5))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stats'!AR:AR))*(AO117^0.5)+(_xlfn.XLOOKUP(B117,'Base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stats'!AQ:AQ)="No","No",MROUND((LOG10(_xlfn.XLOOKUP(B117,'Base stats'!B:B,'Base stats'!AQ:AQ))*(AO117^0.75)+(_xlfn.XLOOKUP(B117,'Base stats'!B:B,'Base stats'!AQ:AQ)/1000)^(2/3)+_xlfn.XLOOKUP(B117,'Base stats'!B:B,'Base stats'!AU:AU)+_xlfn.XLOOKUP(B117,'Base stats'!B:B,'Base stats'!AX:AX))+0.5,0.5))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stats'!AP:AP))*(AO117^0.75)+(_xlfn.XLOOKUP(B117,'Base stats'!B:B,'Base stats'!AP:AP)/1000)^(2/3)+_xlfn.XLOOKUP(B117,'Base stats'!B:B,'Base stats'!AV:AV)+_xlfn.XLOOKUP(B117,'Base stats'!B:B,'Base stats'!AX:AX))+0.5,0.5))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MAX(0.01,MROUND(IF(CB117="True",0.196*(AO117*100*1000)^0.889,IF(_xlfn.XLOOKUP(_xlfn.XLOOKUP(B117,'Base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stats'!AE:AE)</f>
        <v>Leather_Light</v>
      </c>
      <c r="BB117" s="23" t="str">
        <f>_xlfn.XLOOKUP(_xlfn.XLOOKUP(B117,'Base stats'!B:B,'Base stats'!E:E),Groups!A:A,Groups!AL:AL)</f>
        <v>QuadrupedAnimalWithPaws</v>
      </c>
      <c r="BC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D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E117" s="2" t="str">
        <f>IF(J117&gt;0.3,"No",_xlfn.XLOOKUP(_xlfn.XLOOKUP(Animals!B117,'Base stats'!B:B,'Base stats'!E:E),Groups!A:A,Groups!AP:AP))</f>
        <v>No</v>
      </c>
      <c r="BF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+ 24*(1-IF(BE117="No",0,BE117)) + 16/3, 12),"No")</f>
        <v>No</v>
      </c>
      <c r="BG117" s="2">
        <f>IF(AND(_xlfn.XLOOKUP(_xlfn.XLOOKUP(B117,'Base stats'!B:B,'Base stats'!E:E),Groups!A:A,Groups!AQ:AQ)=1,AO117&lt;=0.35),8,12)</f>
        <v>12</v>
      </c>
      <c r="BH117" s="2" t="str">
        <f>IF(_xlfn.XLOOKUP(_xlfn.XLOOKUP(B117,'Base stats'!B:B,'Base stats'!E:E),Groups!A:A,Groups!D:D)=0,_xlfn.XLOOKUP(_xlfn.XLOOKUP(B117,'Base stats'!B:B,'Base stats'!E:E),Groups!A:A,Groups!AR:AR),"None")</f>
        <v>None</v>
      </c>
      <c r="BI117" s="2" t="str">
        <f>IF(AND(_xlfn.XLOOKUP(_xlfn.XLOOKUP(B117,'Base stats'!B:B,'Base stats'!E:E),Groups!A:A,Groups!AS:AS)=1,OR('Base stats'!Y117="Carnivore",'Base stats'!Y117="Omnivore")),"true","false")</f>
        <v>false</v>
      </c>
      <c r="BJ117" s="2" t="str">
        <f>IF(BI117="true",MROUND(IF(AND(AO117&gt;0.5,OR(_xlfn.XLOOKUP(_xlfn.XLOOKUP(B117,'Base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K117" s="2">
        <f t="shared" si="10"/>
        <v>0</v>
      </c>
      <c r="BL117" s="25" t="str">
        <f>IF(_xlfn.XLOOKUP(B117,'Base stats'!B:B,'Base stats'!AK:AK)="Standard","No",MROUND((_xlfn.XLOOKUP(B117,'Base stats'!B:B,'Base stats'!AK:AK)/3.6)/I117,0.1))</f>
        <v>No</v>
      </c>
      <c r="BM117" s="25" t="str">
        <f t="shared" si="11"/>
        <v>false</v>
      </c>
      <c r="BN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O117" s="25" t="str" cm="1">
        <f t="array" ref="BO117">IF(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 = "",
  "No",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
)</f>
        <v>No</v>
      </c>
      <c r="BP117" s="25" t="str">
        <f>IF(
   AND(
      'Base stats'!AK117="Standard",_xlfn.XLOOKUP(_xlfn.XLOOKUP(B117,'Base stats'!B:B,'Base stats'!E:E),Groups!A:A,Groups!AU:AU)=0,
      OR(
      BN117="True"
      )
   ),
   10,
   IF(
       OR(BL117&lt;&gt;"No",_xlfn.XLOOKUP(_xlfn.XLOOKUP(B117,'Base stats'!B:B,'Base stats'!E:E),Groups!A:A,Groups!AU:AU)=1),
      1,
      "No"
   )
)</f>
        <v>No</v>
      </c>
      <c r="BQ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stats'!AS:AS) * 1.8) * 2) * 2.5 + 10 + I117 * 2,5)+IF(_xlfn.XLOOKUP(B117,'Base stats'!B:B,'Base stats'!AH:AH)=1,50,0)</f>
        <v>40</v>
      </c>
      <c r="BR117" s="8">
        <f t="shared" si="12"/>
        <v>0.35000000000000003</v>
      </c>
      <c r="BS117" s="8" t="str">
        <f>_xlfn.XLOOKUP(B117,'Base stats'!B:B,'Base stats'!AD:AD)</f>
        <v>No</v>
      </c>
      <c r="BT117" s="2" t="str">
        <f>IF(AND(J117&lt;=0.95,OR(_xlfn.XLOOKUP(B117,'Base stats'!B:B,'Base stats'!AH:AH)=1,_xlfn.XLOOKUP(B117,'Base stats'!B:B,'Base stats'!Y:Y)="Carnivore",_xlfn.XLOOKUP(B117,'Base stats'!B:B,'Base stats'!Y:Y)="Omnivore",BD117&gt;0.1)),"true","false")</f>
        <v>false</v>
      </c>
      <c r="BU117" s="2" t="str">
        <f>IF(_xlfn.XLOOKUP(B117,'Base stats'!B:B,'Base stats'!AF:AF)=1,"true","false")</f>
        <v>false</v>
      </c>
      <c r="BV117" s="25" t="str">
        <f>IF(E117="BaseInsect","AnimalInsect",
IF(J117&gt;0.95,"AnimalExotic",
_xlfn.TEXTJOIN(", ",TRUE,
IF(OR(_xlfn.XLOOKUP(B117,'Base stats'!B:B,'Base stats'!AJ:AJ)=1,AND(_xlfn.XLOOKUP(B117,'Base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stats'!AH:AH)=1,AND(BH117&lt;&gt;"None",BQ117&gt;=60),ISNUMBER(SEARCH("Attack target",BO117))),"AnimalFighter","")
)))</f>
        <v>AnimalUncommon</v>
      </c>
      <c r="BW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),_xlfn.XLOOKUP(B117,B:B,BW:BW))</f>
        <v>AridShrubland TropicalRainforest TropicalSwamp Grasslands Glowforest LavaField</v>
      </c>
      <c r="BX117" s="25" t="str">
        <f>IF(_xlfn.XLOOKUP(B117,'Base stats'!B:B,'Base stats'!AG:AG)=1,"true","false")</f>
        <v>false</v>
      </c>
      <c r="BY117" s="25">
        <f>IF(_xlfn.XLOOKUP(B117,'Base stats'!B:B,'Base stats'!N:N)=1,"No",MAX(0.01,MIN(MROUND(IF(OR(_xlfn.XLOOKUP(B117,'Base stats'!B:B,'Base stats'!AJ:AJ)=1,AND(BI117="True",CB117="False")),POWER(10,3.47*LOG10(_xlfn.XLOOKUP(B117,'Base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stats'!AH:AH)=1),0.5,1)/100,0.025),1)))</f>
        <v>0.05</v>
      </c>
      <c r="BZ117" s="25" t="str">
        <f>IF(P117="Standard","No",MAX(0.01,IF(_xlfn.XLOOKUP(B117,'Base stats'!B:B,'Base stats'!N:N)=0,MROUND(BY117*P117,0.05),MIN(1,MAX(0.025,MROUND(IF(OR(CB117="true",AND(BI117="false",BN117="false")),POWER(10,4.15*LOG10(_xlfn.XLOOKUP(B117,'Base stats'!B:B,'Base stats'!C:C)*1000)^-0.73),POWER(10,3.47*LOG10(_xlfn.XLOOKUP(B117,'Base stats'!B:B,'Base stats'!C:C)*1000)^-0.96))*IF(_xlfn.XLOOKUP(B117,'Base stats'!B:B,'Base stats'!AH:AH)=1,0.5,1)/100,0.025))))))</f>
        <v>No</v>
      </c>
      <c r="CA117" s="25" t="str">
        <f>IF(_xlfn.XLOOKUP(_xlfn.XLOOKUP(B117,'Base stats'!B:B,'Base stats'!E:E),Groups!A:A,Groups!AJ:AJ)="Mammal","True","False")</f>
        <v>True</v>
      </c>
      <c r="CB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C117" s="25" t="str">
        <f t="shared" si="13"/>
        <v>False</v>
      </c>
      <c r="CD117" s="25" t="str">
        <f>IF(_xlfn.XLOOKUP(_xlfn.XLOOKUP(B117,'Base stats'!B:B,'Base stats'!E:E),Groups!A:A,Groups!AX:AX),"True","False")</f>
        <v>False</v>
      </c>
      <c r="CE117" s="25" t="str">
        <f>IF(_xlfn.XLOOKUP(_xlfn.XLOOKUP(B117,'Base stats'!B:B,'Base stats'!E:E),Groups!A:A,Groups!AY:AY),"True","False")</f>
        <v>False</v>
      </c>
      <c r="CF117" s="25" t="str">
        <f>IF(_xlfn.XLOOKUP(_xlfn.XLOOKUP(B117,'Base stats'!B:B,'Base stats'!E:E),Groups!A:A,Groups!AW:AW),"True","False")</f>
        <v>False</v>
      </c>
      <c r="CG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H117" s="25" t="str">
        <f>IF(_xlfn.XLOOKUP(_xlfn.XLOOKUP(B117,'Base stats'!B:B,'Base stats'!E:E),Groups!A:A,Groups!BB:BB),"True","False")</f>
        <v>True</v>
      </c>
      <c r="CI117" s="25" t="str">
        <f>IF(_xlfn.XLOOKUP(_xlfn.XLOOKUP(B117,'Base stats'!B:B,'Base stats'!E:E),Groups!A:A,Groups!BA:BA),"True","False")</f>
        <v>False</v>
      </c>
    </row>
    <row r="118" spans="1:87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stats'!AI:AI)=0,BH118="None",_xlfn.XLOOKUP(_xlfn.XLOOKUP(B118,'Base stats'!B:B,'Base stats'!E:E),Groups!A:A,Groups!B:B)=0), (18 + BQ118 * 2.7) * 0.5,
    IF(AND(_xlfn.XLOOKUP(B118,'Base stats'!B:B,'Base stats'!AI:AI)=0,OR(AO118&lt;0.55,AND(BH118="Intermediate",_xlfn.XLOOKUP(_xlfn.XLOOKUP(B118,'Base stats'!B:B,'Base stats'!E:E),Groups!A:A,Groups!B:B)&lt;2))), (18 + BQ118 * 2.7),
      IF(OR(BH118="Advanced",_xlfn.XLOOKUP(B118,'Base stats'!B:B,'Base stats'!AI:AI)=1,_xlfn.XLOOKUP(_xlfn.XLOOKUP(B118,'Base stats'!B:B,'Base stats'!E:E),Groups!A:A,Groups!B:B)=2), (18 + BQ118 * 2.7) + 250, (18 + BQ118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IF(_xlfn.XLOOKUP(B118,'Base stats'!B:B,'Base stats'!AI:AI)=1,0.99,MIN(MROUND((1-0.6282*EXP(-0.459*AO118))*_xlfn.XLOOKUP(_xlfn.XLOOKUP(B118,'Base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W118)),ISNUMBER(SEARCH("IceSheet",BW118))),-50,IF(OR(ISNUMBER(SEARCH("GlacialPlain",BW118)),ISNUMBER(SEARCH("Tundra",BW118))),-40,IF(OR(ISNUMBER(SEARCH("Alpine",BW118)),ISNUMBER(SEARCH("BorealForest",BW118)),ISNUMBER(SEARCH("ColdBog",BW118))),-30,IF(OR(ISNUMBER(SEARCH("TemperateForest",BW118)),ISNUMBER(SEARCH("TemperateSwamp",BW118))),-20,IF(_xlfn.XLOOKUP(_xlfn.XLOOKUP(B118,'Base stats'!B:B,'Base stats'!E:E),Groups!A:A,Groups!F:F)=1,-15,IF(OR(ISNUMBER(SEARCH("Desert",BW118)),ISNUMBER(SEARCH("ExtremeDesert",BW118))),-10,IF(OR(ISNUMBER(SEARCH("Grasslands",BW118)),ISNUMBER(SEARCH("TropicalRainforest",BW118)),ISNUMBER(SEARCH("TropicalSwamp",BW118))),10,0)))))))-IF(CB118="False",MIN(IFERROR(MAX(MROUND(LOG10(_xlfn.XLOOKUP(B118,'Base stats'!B:B,'Base stats'!C:C)^(2/3))*10,5),5),5),30))-_xlfn.XLOOKUP(B118,'Base stats'!B:B,'Base stats'!P:P)+IF(CB118="True",5,0)</f>
        <v>-25</v>
      </c>
      <c r="M118" s="2">
        <f>IF(OR(_xlfn.XLOOKUP(_xlfn.XLOOKUP(B118,'Base stats'!B:B,'Base stats'!E:E),Groups!A:A,Groups!G:G)=2,ISNUMBER(SEARCH("Desert",BW118)),ISNUMBER(SEARCH("ExtremeDesert",BW118)),ISNUMBER(SEARCH("LavaField",BW118))),50,IF(ISNUMBER(SEARCH("Grasslands",BW118)),45,IF(OR(_xlfn.XLOOKUP(_xlfn.XLOOKUP(B118,'Base stats'!B:B,'Base stats'!E:E),Groups!A:A,Groups!G:G)=1,ISNUMBER(SEARCH("TropicalRainforest",BW118)),ISNUMBER(SEARCH("TropicalSwamp",BW118))),40,IF(OR(ISNUMBER(SEARCH("TemperateForest",BW118)),ISNUMBER(SEARCH("TemperateSwamp",BW118))),35,IF(OR(ISNUMBER(SEARCH("Alpine",BW118)),ISNUMBER(SEARCH("BorealForest",BW118)),ISNUMBER(SEARCH("ColdBog",BW118))),30,IF(ISNUMBER(OR(ISNUMBER(SEARCH("GlacialPlain",BW118)),SEARCH("Tundra",BW118))),25,IF(OR(ISNUMBER(SEARCH("SeaIce",BW118)),ISNUMBER(SEARCH("IceSheet",BW118)),ISNUMBER(SEARCH("TropicalSwamp",BW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stats'!AO:AO))*(AO118^0.5)+(_xlfn.XLOOKUP(B118,'Base stats'!B:B,'Base stats'!AO:AO)/1000)^(2/3)+_xlfn.XLOOKUP(B118,'Base stats'!B:B,'Base stats'!AX:AX)/2)+0.5,0.5)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stats'!AP:AP))*(AO118^0.5)+(_xlfn.XLOOKUP(B118,'Base stats'!B:B,'Base stats'!AP:AP)/1000)^(2/3)+_xlfn.XLOOKUP(B118,'Base stats'!B:B,'Base stats'!AX:AX))+_xlfn.XLOOKUP(B118,'Base stats'!B:B,'Base stats'!AV:AV)+0.5,0.5))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stats'!AR:AR))*(AO118^0.5)+(_xlfn.XLOOKUP(B118,'Base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stats'!AQ:AQ)="No","No",MROUND((LOG10(_xlfn.XLOOKUP(B118,'Base stats'!B:B,'Base stats'!AQ:AQ))*(AO118^0.75)+(_xlfn.XLOOKUP(B118,'Base stats'!B:B,'Base stats'!AQ:AQ)/1000)^(2/3)+_xlfn.XLOOKUP(B118,'Base stats'!B:B,'Base stats'!AU:AU)+_xlfn.XLOOKUP(B118,'Base stats'!B:B,'Base stats'!AX:AX))+0.5,0.5))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stats'!AP:AP))*(AO118^0.75)+(_xlfn.XLOOKUP(B118,'Base stats'!B:B,'Base stats'!AP:AP)/1000)^(2/3)+_xlfn.XLOOKUP(B118,'Base stats'!B:B,'Base stats'!AV:AV)+_xlfn.XLOOKUP(B118,'Base stats'!B:B,'Base stats'!AX:AX))+0.5,0.5))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MAX(0.01,MROUND(IF(CB118="True",0.196*(AO118*100*1000)^0.889,IF(_xlfn.XLOOKUP(_xlfn.XLOOKUP(B118,'Base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stats'!AE:AE)</f>
        <v>Leather_Light</v>
      </c>
      <c r="BB118" s="23" t="str">
        <f>_xlfn.XLOOKUP(_xlfn.XLOOKUP(B118,'Base stats'!B:B,'Base stats'!E:E),Groups!A:A,Groups!AL:AL)</f>
        <v>QuadrupedAnimalWithPawsAndTailAndSpur</v>
      </c>
      <c r="BC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D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E118" s="2" t="str">
        <f>IF(J118&gt;0.3,"No",_xlfn.XLOOKUP(_xlfn.XLOOKUP(Animals!B118,'Base stats'!B:B,'Base stats'!E:E),Groups!A:A,Groups!AP:AP))</f>
        <v>No</v>
      </c>
      <c r="BF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+ 24*(1-IF(BE118="No",0,BE118)) + 16/3, 12),"No")</f>
        <v>No</v>
      </c>
      <c r="BG118" s="2">
        <f>IF(AND(_xlfn.XLOOKUP(_xlfn.XLOOKUP(B118,'Base stats'!B:B,'Base stats'!E:E),Groups!A:A,Groups!AQ:AQ)=1,AO118&lt;=0.35),8,12)</f>
        <v>12</v>
      </c>
      <c r="BH118" s="2" t="str">
        <f>IF(_xlfn.XLOOKUP(_xlfn.XLOOKUP(B118,'Base stats'!B:B,'Base stats'!E:E),Groups!A:A,Groups!D:D)=0,_xlfn.XLOOKUP(_xlfn.XLOOKUP(B118,'Base stats'!B:B,'Base stats'!E:E),Groups!A:A,Groups!AR:AR),"None")</f>
        <v>None</v>
      </c>
      <c r="BI118" s="2" t="str">
        <f>IF(AND(_xlfn.XLOOKUP(_xlfn.XLOOKUP(B118,'Base stats'!B:B,'Base stats'!E:E),Groups!A:A,Groups!AS:AS)=1,OR('Base stats'!Y118="Carnivore",'Base stats'!Y118="Omnivore")),"true","false")</f>
        <v>false</v>
      </c>
      <c r="BJ118" s="2" t="str">
        <f>IF(BI118="true",MROUND(IF(AND(AO118&gt;0.5,OR(_xlfn.XLOOKUP(_xlfn.XLOOKUP(B118,'Base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K118" s="2">
        <f t="shared" si="10"/>
        <v>0</v>
      </c>
      <c r="BL118" s="25">
        <f>IF(_xlfn.XLOOKUP(B118,'Base stats'!B:B,'Base stats'!AK:AK)="Standard","No",MROUND((_xlfn.XLOOKUP(B118,'Base stats'!B:B,'Base stats'!AK:AK)/3.6)/I118,0.1))</f>
        <v>1.4000000000000001</v>
      </c>
      <c r="BM118" s="25" t="str">
        <f t="shared" si="11"/>
        <v>true</v>
      </c>
      <c r="BN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O118" s="25" t="str" cm="1">
        <f t="array" ref="BO118">IF(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 = "",
  "No",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
)</f>
        <v>No</v>
      </c>
      <c r="BP118" s="25">
        <f>IF(
   AND(
      'Base stats'!AK118="Standard",_xlfn.XLOOKUP(_xlfn.XLOOKUP(B118,'Base stats'!B:B,'Base stats'!E:E),Groups!A:A,Groups!AU:AU)=0,
      OR(
      BN118="True"
      )
   ),
   10,
   IF(
       OR(BL118&lt;&gt;"No",_xlfn.XLOOKUP(_xlfn.XLOOKUP(B118,'Base stats'!B:B,'Base stats'!E:E),Groups!A:A,Groups!AU:AU)=1),
      1,
      "No"
   )
)</f>
        <v>1</v>
      </c>
      <c r="BQ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stats'!AS:AS) * 1.8) * 2) * 2.5 + 10 + I118 * 2,5)+IF(_xlfn.XLOOKUP(B118,'Base stats'!B:B,'Base stats'!AH:AH)=1,50,0)</f>
        <v>25</v>
      </c>
      <c r="BR118" s="8">
        <f t="shared" si="12"/>
        <v>0.25</v>
      </c>
      <c r="BS118" s="8" t="str">
        <f>_xlfn.XLOOKUP(B118,'Base stats'!B:B,'Base stats'!AD:AD)</f>
        <v>No</v>
      </c>
      <c r="BT118" s="2" t="str">
        <f>IF(AND(J118&lt;=0.95,OR(_xlfn.XLOOKUP(B118,'Base stats'!B:B,'Base stats'!AH:AH)=1,_xlfn.XLOOKUP(B118,'Base stats'!B:B,'Base stats'!Y:Y)="Carnivore",_xlfn.XLOOKUP(B118,'Base stats'!B:B,'Base stats'!Y:Y)="Omnivore",BD118&gt;0.1)),"true","false")</f>
        <v>true</v>
      </c>
      <c r="BU118" s="2" t="str">
        <f>IF(_xlfn.XLOOKUP(B118,'Base stats'!B:B,'Base stats'!AF:AF)=1,"true","false")</f>
        <v>false</v>
      </c>
      <c r="BV118" s="25" t="str">
        <f>IF(E118="BaseInsect","AnimalInsect",
IF(J118&gt;0.95,"AnimalExotic",
_xlfn.TEXTJOIN(", ",TRUE,
IF(OR(_xlfn.XLOOKUP(B118,'Base stats'!B:B,'Base stats'!AJ:AJ)=1,AND(_xlfn.XLOOKUP(B118,'Base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stats'!AH:AH)=1,AND(BH118&lt;&gt;"None",BQ118&gt;=60),ISNUMBER(SEARCH("Attack target",BO118))),"AnimalFighter","")
)))</f>
        <v>AnimalUncommon</v>
      </c>
      <c r="BW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),_xlfn.XLOOKUP(B118,B:B,BW:BW))</f>
        <v>TemperateSwamp</v>
      </c>
      <c r="BX118" s="25" t="str">
        <f>IF(_xlfn.XLOOKUP(B118,'Base stats'!B:B,'Base stats'!AG:AG)=1,"true","false")</f>
        <v>false</v>
      </c>
      <c r="BY118" s="25">
        <f>IF(_xlfn.XLOOKUP(B118,'Base stats'!B:B,'Base stats'!N:N)=1,"No",MAX(0.01,MIN(MROUND(IF(OR(_xlfn.XLOOKUP(B118,'Base stats'!B:B,'Base stats'!AJ:AJ)=1,AND(BI118="True",CB118="False")),POWER(10,3.47*LOG10(_xlfn.XLOOKUP(B118,'Base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stats'!AH:AH)=1),0.5,1)/100,0.025),1)))</f>
        <v>7.5000000000000011E-2</v>
      </c>
      <c r="BZ118" s="25" t="str">
        <f>IF(P118="Standard","No",MAX(0.01,IF(_xlfn.XLOOKUP(B118,'Base stats'!B:B,'Base stats'!N:N)=0,MROUND(BY118*P118,0.05),MIN(1,MAX(0.025,MROUND(IF(OR(CB118="true",AND(BI118="false",BN118="false")),POWER(10,4.15*LOG10(_xlfn.XLOOKUP(B118,'Base stats'!B:B,'Base stats'!C:C)*1000)^-0.73),POWER(10,3.47*LOG10(_xlfn.XLOOKUP(B118,'Base stats'!B:B,'Base stats'!C:C)*1000)^-0.96))*IF(_xlfn.XLOOKUP(B118,'Base stats'!B:B,'Base stats'!AH:AH)=1,0.5,1)/100,0.025))))))</f>
        <v>No</v>
      </c>
      <c r="CA118" s="25" t="str">
        <f>IF(_xlfn.XLOOKUP(_xlfn.XLOOKUP(B118,'Base stats'!B:B,'Base stats'!E:E),Groups!A:A,Groups!AJ:AJ)="Mammal","True","False")</f>
        <v>False</v>
      </c>
      <c r="CB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C118" s="25" t="str">
        <f t="shared" si="13"/>
        <v>False</v>
      </c>
      <c r="CD118" s="25" t="str">
        <f>IF(_xlfn.XLOOKUP(_xlfn.XLOOKUP(B118,'Base stats'!B:B,'Base stats'!E:E),Groups!A:A,Groups!AX:AX),"True","False")</f>
        <v>False</v>
      </c>
      <c r="CE118" s="25" t="str">
        <f>IF(_xlfn.XLOOKUP(_xlfn.XLOOKUP(B118,'Base stats'!B:B,'Base stats'!E:E),Groups!A:A,Groups!AY:AY),"True","False")</f>
        <v>False</v>
      </c>
      <c r="CF118" s="25" t="str">
        <f>IF(_xlfn.XLOOKUP(_xlfn.XLOOKUP(B118,'Base stats'!B:B,'Base stats'!E:E),Groups!A:A,Groups!AW:AW),"True","False")</f>
        <v>False</v>
      </c>
      <c r="CG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H118" s="25" t="str">
        <f>IF(_xlfn.XLOOKUP(_xlfn.XLOOKUP(B118,'Base stats'!B:B,'Base stats'!E:E),Groups!A:A,Groups!BB:BB),"True","False")</f>
        <v>True</v>
      </c>
      <c r="CI118" s="25" t="str">
        <f>IF(_xlfn.XLOOKUP(_xlfn.XLOOKUP(B118,'Base stats'!B:B,'Base stats'!E:E),Groups!A:A,Groups!BA:BA),"True","False")</f>
        <v>False</v>
      </c>
    </row>
    <row r="119" spans="1:87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stats'!AI:AI)=0,BH119="None",_xlfn.XLOOKUP(_xlfn.XLOOKUP(B119,'Base stats'!B:B,'Base stats'!E:E),Groups!A:A,Groups!B:B)=0), (18 + BQ119 * 2.7) * 0.5,
    IF(AND(_xlfn.XLOOKUP(B119,'Base stats'!B:B,'Base stats'!AI:AI)=0,OR(AO119&lt;0.55,AND(BH119="Intermediate",_xlfn.XLOOKUP(_xlfn.XLOOKUP(B119,'Base stats'!B:B,'Base stats'!E:E),Groups!A:A,Groups!B:B)&lt;2))), (18 + BQ119 * 2.7),
      IF(OR(BH119="Advanced",_xlfn.XLOOKUP(B119,'Base stats'!B:B,'Base stats'!AI:AI)=1,_xlfn.XLOOKUP(_xlfn.XLOOKUP(B119,'Base stats'!B:B,'Base stats'!E:E),Groups!A:A,Groups!B:B)=2), (18 + BQ119 * 2.7) + 250, (18 + BQ119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IF(_xlfn.XLOOKUP(B119,'Base stats'!B:B,'Base stats'!AI:AI)=1,0.99,MIN(MROUND((1-0.6282*EXP(-0.459*AO119))*_xlfn.XLOOKUP(_xlfn.XLOOKUP(B119,'Base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W119)),ISNUMBER(SEARCH("IceSheet",BW119))),-50,IF(OR(ISNUMBER(SEARCH("GlacialPlain",BW119)),ISNUMBER(SEARCH("Tundra",BW119))),-40,IF(OR(ISNUMBER(SEARCH("Alpine",BW119)),ISNUMBER(SEARCH("BorealForest",BW119)),ISNUMBER(SEARCH("ColdBog",BW119))),-30,IF(OR(ISNUMBER(SEARCH("TemperateForest",BW119)),ISNUMBER(SEARCH("TemperateSwamp",BW119))),-20,IF(_xlfn.XLOOKUP(_xlfn.XLOOKUP(B119,'Base stats'!B:B,'Base stats'!E:E),Groups!A:A,Groups!F:F)=1,-15,IF(OR(ISNUMBER(SEARCH("Desert",BW119)),ISNUMBER(SEARCH("ExtremeDesert",BW119))),-10,IF(OR(ISNUMBER(SEARCH("Grasslands",BW119)),ISNUMBER(SEARCH("TropicalRainforest",BW119)),ISNUMBER(SEARCH("TropicalSwamp",BW119))),10,0)))))))-IF(CB119="False",MIN(IFERROR(MAX(MROUND(LOG10(_xlfn.XLOOKUP(B119,'Base stats'!B:B,'Base stats'!C:C)^(2/3))*10,5),5),5),30))-_xlfn.XLOOKUP(B119,'Base stats'!B:B,'Base stats'!P:P)+IF(CB119="True",5,0)</f>
        <v>-45</v>
      </c>
      <c r="M119" s="2">
        <f>IF(OR(_xlfn.XLOOKUP(_xlfn.XLOOKUP(B119,'Base stats'!B:B,'Base stats'!E:E),Groups!A:A,Groups!G:G)=2,ISNUMBER(SEARCH("Desert",BW119)),ISNUMBER(SEARCH("ExtremeDesert",BW119)),ISNUMBER(SEARCH("LavaField",BW119))),50,IF(ISNUMBER(SEARCH("Grasslands",BW119)),45,IF(OR(_xlfn.XLOOKUP(_xlfn.XLOOKUP(B119,'Base stats'!B:B,'Base stats'!E:E),Groups!A:A,Groups!G:G)=1,ISNUMBER(SEARCH("TropicalRainforest",BW119)),ISNUMBER(SEARCH("TropicalSwamp",BW119))),40,IF(OR(ISNUMBER(SEARCH("TemperateForest",BW119)),ISNUMBER(SEARCH("TemperateSwamp",BW119))),35,IF(OR(ISNUMBER(SEARCH("Alpine",BW119)),ISNUMBER(SEARCH("BorealForest",BW119)),ISNUMBER(SEARCH("ColdBog",BW119))),30,IF(ISNUMBER(OR(ISNUMBER(SEARCH("GlacialPlain",BW119)),SEARCH("Tundra",BW119))),25,IF(OR(ISNUMBER(SEARCH("SeaIce",BW119)),ISNUMBER(SEARCH("IceSheet",BW119)),ISNUMBER(SEARCH("TropicalSwamp",BW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stats'!AO:AO))*(AO119^0.5)+(_xlfn.XLOOKUP(B119,'Base stats'!B:B,'Base stats'!AO:AO)/1000)^(2/3)+_xlfn.XLOOKUP(B119,'Base stats'!B:B,'Base stats'!AX:AX)/2)+0.5,0.5)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stats'!AP:AP))*(AO119^0.5)+(_xlfn.XLOOKUP(B119,'Base stats'!B:B,'Base stats'!AP:AP)/1000)^(2/3)+_xlfn.XLOOKUP(B119,'Base stats'!B:B,'Base stats'!AX:AX))+_xlfn.XLOOKUP(B119,'Base stats'!B:B,'Base stats'!AV:AV)+0.5,0.5))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stats'!AR:AR))*(AO119^0.5)+(_xlfn.XLOOKUP(B119,'Base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stats'!AQ:AQ)="No","No",MROUND((LOG10(_xlfn.XLOOKUP(B119,'Base stats'!B:B,'Base stats'!AQ:AQ))*(AO119^0.75)+(_xlfn.XLOOKUP(B119,'Base stats'!B:B,'Base stats'!AQ:AQ)/1000)^(2/3)+_xlfn.XLOOKUP(B119,'Base stats'!B:B,'Base stats'!AU:AU)+_xlfn.XLOOKUP(B119,'Base stats'!B:B,'Base stats'!AX:AX))+0.5,0.5))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stats'!AP:AP))*(AO119^0.75)+(_xlfn.XLOOKUP(B119,'Base stats'!B:B,'Base stats'!AP:AP)/1000)^(2/3)+_xlfn.XLOOKUP(B119,'Base stats'!B:B,'Base stats'!AV:AV)+_xlfn.XLOOKUP(B119,'Base stats'!B:B,'Base stats'!AX:AX))+0.5,0.5))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MAX(0.01,MROUND(IF(CB119="True",0.196*(AO119*100*1000)^0.889,IF(_xlfn.XLOOKUP(_xlfn.XLOOKUP(B119,'Base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stats'!AE:AE)</f>
        <v>Leather_Wolf</v>
      </c>
      <c r="BB119" s="23" t="str">
        <f>_xlfn.XLOOKUP(_xlfn.XLOOKUP(B119,'Base stats'!B:B,'Base stats'!E:E),Groups!A:A,Groups!AL:AL)</f>
        <v>QuadrupedAnimalWithPawsAndTail</v>
      </c>
      <c r="BC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D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E119" s="2" t="str">
        <f>IF(J119&gt;0.3,"No",_xlfn.XLOOKUP(_xlfn.XLOOKUP(Animals!B119,'Base stats'!B:B,'Base stats'!E:E),Groups!A:A,Groups!AP:AP))</f>
        <v>No</v>
      </c>
      <c r="BF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+ 24*(1-IF(BE119="No",0,BE119)) + 16/3, 12),"No")</f>
        <v>48</v>
      </c>
      <c r="BG119" s="2">
        <f>IF(AND(_xlfn.XLOOKUP(_xlfn.XLOOKUP(B119,'Base stats'!B:B,'Base stats'!E:E),Groups!A:A,Groups!AQ:AQ)=1,AO119&lt;=0.35),8,12)</f>
        <v>12</v>
      </c>
      <c r="BH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I119" s="2" t="str">
        <f>IF(AND(_xlfn.XLOOKUP(_xlfn.XLOOKUP(B119,'Base stats'!B:B,'Base stats'!E:E),Groups!A:A,Groups!AS:AS)=1,OR('Base stats'!Y119="Carnivore",'Base stats'!Y119="Omnivore")),"true","false")</f>
        <v>true</v>
      </c>
      <c r="BJ119" s="2">
        <f>IF(BI119="true",MROUND(IF(AND(AO119&gt;0.5,OR(_xlfn.XLOOKUP(_xlfn.XLOOKUP(B119,'Base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K119" s="2">
        <f t="shared" si="10"/>
        <v>1</v>
      </c>
      <c r="BL119" s="25" t="str">
        <f>IF(_xlfn.XLOOKUP(B119,'Base stats'!B:B,'Base stats'!AK:AK)="Standard","No",MROUND((_xlfn.XLOOKUP(B119,'Base stats'!B:B,'Base stats'!AK:AK)/3.6)/I119,0.1))</f>
        <v>No</v>
      </c>
      <c r="BM119" s="25" t="str">
        <f t="shared" si="11"/>
        <v>false</v>
      </c>
      <c r="BN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O119" s="25" t="str" cm="1">
        <f t="array" ref="BO119">IF(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 = "",
  "No",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
)</f>
        <v>No</v>
      </c>
      <c r="BP119" s="25" t="str">
        <f>IF(
   AND(
      'Base stats'!AK119="Standard",_xlfn.XLOOKUP(_xlfn.XLOOKUP(B119,'Base stats'!B:B,'Base stats'!E:E),Groups!A:A,Groups!AU:AU)=0,
      OR(
      BN119="True"
      )
   ),
   10,
   IF(
       OR(BL119&lt;&gt;"No",_xlfn.XLOOKUP(_xlfn.XLOOKUP(B119,'Base stats'!B:B,'Base stats'!E:E),Groups!A:A,Groups!AU:AU)=1),
      1,
      "No"
   )
)</f>
        <v>No</v>
      </c>
      <c r="BQ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stats'!AS:AS) * 1.8) * 2) * 2.5 + 10 + I119 * 2,5)+IF(_xlfn.XLOOKUP(B119,'Base stats'!B:B,'Base stats'!AH:AH)=1,50,0)</f>
        <v>70</v>
      </c>
      <c r="BR119" s="8">
        <f t="shared" si="12"/>
        <v>0.4</v>
      </c>
      <c r="BS119" s="8" t="str">
        <f>_xlfn.XLOOKUP(B119,'Base stats'!B:B,'Base stats'!AD:AD)</f>
        <v>2~6</v>
      </c>
      <c r="BT119" s="2" t="str">
        <f>IF(AND(J119&lt;=0.95,OR(_xlfn.XLOOKUP(B119,'Base stats'!B:B,'Base stats'!AH:AH)=1,_xlfn.XLOOKUP(B119,'Base stats'!B:B,'Base stats'!Y:Y)="Carnivore",_xlfn.XLOOKUP(B119,'Base stats'!B:B,'Base stats'!Y:Y)="Omnivore",BD119&gt;0.1)),"true","false")</f>
        <v>true</v>
      </c>
      <c r="BU119" s="2" t="str">
        <f>IF(_xlfn.XLOOKUP(B119,'Base stats'!B:B,'Base stats'!AF:AF)=1,"true","false")</f>
        <v>false</v>
      </c>
      <c r="BV119" s="25" t="str">
        <f>IF(E119="BaseInsect","AnimalInsect",
IF(J119&gt;0.95,"AnimalExotic",
_xlfn.TEXTJOIN(", ",TRUE,
IF(OR(_xlfn.XLOOKUP(B119,'Base stats'!B:B,'Base stats'!AJ:AJ)=1,AND(_xlfn.XLOOKUP(B119,'Base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stats'!AH:AH)=1,AND(BH119&lt;&gt;"None",BQ119&gt;=60),ISNUMBER(SEARCH("Attack target",BO119))),"AnimalFighter","")
)))</f>
        <v>AnimalCommon, AnimalFighter</v>
      </c>
      <c r="BW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),_xlfn.XLOOKUP(B119,B:B,BW:BW))</f>
        <v>Tundra</v>
      </c>
      <c r="BX119" s="25" t="str">
        <f>IF(_xlfn.XLOOKUP(B119,'Base stats'!B:B,'Base stats'!AG:AG)=1,"true","false")</f>
        <v>false</v>
      </c>
      <c r="BY119" s="25">
        <f>IF(_xlfn.XLOOKUP(B119,'Base stats'!B:B,'Base stats'!N:N)=1,"No",MAX(0.01,MIN(MROUND(IF(OR(_xlfn.XLOOKUP(B119,'Base stats'!B:B,'Base stats'!AJ:AJ)=1,AND(BI119="True",CB119="False")),POWER(10,3.47*LOG10(_xlfn.XLOOKUP(B119,'Base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stats'!AH:AH)=1),0.5,1)/100,0.025),1)))</f>
        <v>7.5000000000000011E-2</v>
      </c>
      <c r="BZ119" s="25" t="str">
        <f>IF(P119="Standard","No",MAX(0.01,IF(_xlfn.XLOOKUP(B119,'Base stats'!B:B,'Base stats'!N:N)=0,MROUND(BY119*P119,0.05),MIN(1,MAX(0.025,MROUND(IF(OR(CB119="true",AND(BI119="false",BN119="false")),POWER(10,4.15*LOG10(_xlfn.XLOOKUP(B119,'Base stats'!B:B,'Base stats'!C:C)*1000)^-0.73),POWER(10,3.47*LOG10(_xlfn.XLOOKUP(B119,'Base stats'!B:B,'Base stats'!C:C)*1000)^-0.96))*IF(_xlfn.XLOOKUP(B119,'Base stats'!B:B,'Base stats'!AH:AH)=1,0.5,1)/100,0.025))))))</f>
        <v>No</v>
      </c>
      <c r="CA119" s="25" t="str">
        <f>IF(_xlfn.XLOOKUP(_xlfn.XLOOKUP(B119,'Base stats'!B:B,'Base stats'!E:E),Groups!A:A,Groups!AJ:AJ)="Mammal","True","False")</f>
        <v>True</v>
      </c>
      <c r="CB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C119" s="25" t="str">
        <f t="shared" si="13"/>
        <v>False</v>
      </c>
      <c r="CD119" s="25" t="str">
        <f>IF(_xlfn.XLOOKUP(_xlfn.XLOOKUP(B119,'Base stats'!B:B,'Base stats'!E:E),Groups!A:A,Groups!AX:AX),"True","False")</f>
        <v>False</v>
      </c>
      <c r="CE119" s="25" t="str">
        <f>IF(_xlfn.XLOOKUP(_xlfn.XLOOKUP(B119,'Base stats'!B:B,'Base stats'!E:E),Groups!A:A,Groups!AY:AY),"True","False")</f>
        <v>False</v>
      </c>
      <c r="CF119" s="25" t="str">
        <f>IF(_xlfn.XLOOKUP(_xlfn.XLOOKUP(B119,'Base stats'!B:B,'Base stats'!E:E),Groups!A:A,Groups!AW:AW),"True","False")</f>
        <v>False</v>
      </c>
      <c r="CG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H119" s="25" t="str">
        <f>IF(_xlfn.XLOOKUP(_xlfn.XLOOKUP(B119,'Base stats'!B:B,'Base stats'!E:E),Groups!A:A,Groups!BB:BB),"True","False")</f>
        <v>True</v>
      </c>
      <c r="CI119" s="25" t="str">
        <f>IF(_xlfn.XLOOKUP(_xlfn.XLOOKUP(B119,'Base stats'!B:B,'Base stats'!E:E),Groups!A:A,Groups!BA:BA),"True","False")</f>
        <v>False</v>
      </c>
    </row>
    <row r="120" spans="1:87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stats'!AI:AI)=0,BH120="None",_xlfn.XLOOKUP(_xlfn.XLOOKUP(B120,'Base stats'!B:B,'Base stats'!E:E),Groups!A:A,Groups!B:B)=0), (18 + BQ120 * 2.7) * 0.5,
    IF(AND(_xlfn.XLOOKUP(B120,'Base stats'!B:B,'Base stats'!AI:AI)=0,OR(AO120&lt;0.55,AND(BH120="Intermediate",_xlfn.XLOOKUP(_xlfn.XLOOKUP(B120,'Base stats'!B:B,'Base stats'!E:E),Groups!A:A,Groups!B:B)&lt;2))), (18 + BQ120 * 2.7),
      IF(OR(BH120="Advanced",_xlfn.XLOOKUP(B120,'Base stats'!B:B,'Base stats'!AI:AI)=1,_xlfn.XLOOKUP(_xlfn.XLOOKUP(B120,'Base stats'!B:B,'Base stats'!E:E),Groups!A:A,Groups!B:B)=2), (18 + BQ120 * 2.7) + 250, (18 + BQ120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IF(_xlfn.XLOOKUP(B120,'Base stats'!B:B,'Base stats'!AI:AI)=1,0.99,MIN(MROUND((1-0.6282*EXP(-0.459*AO120))*_xlfn.XLOOKUP(_xlfn.XLOOKUP(B120,'Base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W120)),ISNUMBER(SEARCH("IceSheet",BW120))),-50,IF(OR(ISNUMBER(SEARCH("GlacialPlain",BW120)),ISNUMBER(SEARCH("Tundra",BW120))),-40,IF(OR(ISNUMBER(SEARCH("Alpine",BW120)),ISNUMBER(SEARCH("BorealForest",BW120)),ISNUMBER(SEARCH("ColdBog",BW120))),-30,IF(OR(ISNUMBER(SEARCH("TemperateForest",BW120)),ISNUMBER(SEARCH("TemperateSwamp",BW120))),-20,IF(_xlfn.XLOOKUP(_xlfn.XLOOKUP(B120,'Base stats'!B:B,'Base stats'!E:E),Groups!A:A,Groups!F:F)=1,-15,IF(OR(ISNUMBER(SEARCH("Desert",BW120)),ISNUMBER(SEARCH("ExtremeDesert",BW120))),-10,IF(OR(ISNUMBER(SEARCH("Grasslands",BW120)),ISNUMBER(SEARCH("TropicalRainforest",BW120)),ISNUMBER(SEARCH("TropicalSwamp",BW120))),10,0)))))))-IF(CB120="False",MIN(IFERROR(MAX(MROUND(LOG10(_xlfn.XLOOKUP(B120,'Base stats'!B:B,'Base stats'!C:C)^(2/3))*10,5),5),5),30))-_xlfn.XLOOKUP(B120,'Base stats'!B:B,'Base stats'!P:P)+IF(CB120="True",5,0)</f>
        <v>-55</v>
      </c>
      <c r="M120" s="2">
        <f>IF(OR(_xlfn.XLOOKUP(_xlfn.XLOOKUP(B120,'Base stats'!B:B,'Base stats'!E:E),Groups!A:A,Groups!G:G)=2,ISNUMBER(SEARCH("Desert",BW120)),ISNUMBER(SEARCH("ExtremeDesert",BW120)),ISNUMBER(SEARCH("LavaField",BW120))),50,IF(ISNUMBER(SEARCH("Grasslands",BW120)),45,IF(OR(_xlfn.XLOOKUP(_xlfn.XLOOKUP(B120,'Base stats'!B:B,'Base stats'!E:E),Groups!A:A,Groups!G:G)=1,ISNUMBER(SEARCH("TropicalRainforest",BW120)),ISNUMBER(SEARCH("TropicalSwamp",BW120))),40,IF(OR(ISNUMBER(SEARCH("TemperateForest",BW120)),ISNUMBER(SEARCH("TemperateSwamp",BW120))),35,IF(OR(ISNUMBER(SEARCH("Alpine",BW120)),ISNUMBER(SEARCH("BorealForest",BW120)),ISNUMBER(SEARCH("ColdBog",BW120))),30,IF(ISNUMBER(OR(ISNUMBER(SEARCH("GlacialPlain",BW120)),SEARCH("Tundra",BW120))),25,IF(OR(ISNUMBER(SEARCH("SeaIce",BW120)),ISNUMBER(SEARCH("IceSheet",BW120)),ISNUMBER(SEARCH("TropicalSwamp",BW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stats'!AO:AO))*(AO120^0.5)+(_xlfn.XLOOKUP(B120,'Base stats'!B:B,'Base stats'!AO:AO)/1000)^(2/3)+_xlfn.XLOOKUP(B120,'Base stats'!B:B,'Base stats'!AX:AX)/2)+0.5,0.5)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stats'!AP:AP))*(AO120^0.5)+(_xlfn.XLOOKUP(B120,'Base stats'!B:B,'Base stats'!AP:AP)/1000)^(2/3)+_xlfn.XLOOKUP(B120,'Base stats'!B:B,'Base stats'!AX:AX))+_xlfn.XLOOKUP(B120,'Base stats'!B:B,'Base stats'!AV:AV)+0.5,0.5))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stats'!AR:AR))*(AO120^0.5)+(_xlfn.XLOOKUP(B120,'Base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stats'!AQ:AQ)="No","No",MROUND((LOG10(_xlfn.XLOOKUP(B120,'Base stats'!B:B,'Base stats'!AQ:AQ))*(AO120^0.75)+(_xlfn.XLOOKUP(B120,'Base stats'!B:B,'Base stats'!AQ:AQ)/1000)^(2/3)+_xlfn.XLOOKUP(B120,'Base stats'!B:B,'Base stats'!AU:AU)+_xlfn.XLOOKUP(B120,'Base stats'!B:B,'Base stats'!AX:AX))+0.5,0.5))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stats'!AP:AP))*(AO120^0.75)+(_xlfn.XLOOKUP(B120,'Base stats'!B:B,'Base stats'!AP:AP)/1000)^(2/3)+_xlfn.XLOOKUP(B120,'Base stats'!B:B,'Base stats'!AV:AV)+_xlfn.XLOOKUP(B120,'Base stats'!B:B,'Base stats'!AX:AX))+0.5,0.5))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MAX(0.01,MROUND(IF(CB120="True",0.196*(AO120*100*1000)^0.889,IF(_xlfn.XLOOKUP(_xlfn.XLOOKUP(B120,'Base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stats'!AE:AE)</f>
        <v>Leather_Bear</v>
      </c>
      <c r="BB120" s="23" t="str">
        <f>_xlfn.XLOOKUP(_xlfn.XLOOKUP(B120,'Base stats'!B:B,'Base stats'!E:E),Groups!A:A,Groups!AL:AL)</f>
        <v>QuadrupedAnimalWithPaws</v>
      </c>
      <c r="BC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D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E120" s="2" t="str">
        <f>IF(J120&gt;0.3,"No",_xlfn.XLOOKUP(_xlfn.XLOOKUP(Animals!B120,'Base stats'!B:B,'Base stats'!E:E),Groups!A:A,Groups!AP:AP))</f>
        <v>No</v>
      </c>
      <c r="BF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+ 24*(1-IF(BE120="No",0,BE120)) + 16/3, 12),"No")</f>
        <v>No</v>
      </c>
      <c r="BG120" s="2">
        <f>IF(AND(_xlfn.XLOOKUP(_xlfn.XLOOKUP(B120,'Base stats'!B:B,'Base stats'!E:E),Groups!A:A,Groups!AQ:AQ)=1,AO120&lt;=0.35),8,12)</f>
        <v>12</v>
      </c>
      <c r="BH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I120" s="2" t="str">
        <f>IF(AND(_xlfn.XLOOKUP(_xlfn.XLOOKUP(B120,'Base stats'!B:B,'Base stats'!E:E),Groups!A:A,Groups!AS:AS)=1,OR('Base stats'!Y120="Carnivore",'Base stats'!Y120="Omnivore")),"true","false")</f>
        <v>true</v>
      </c>
      <c r="BJ120" s="2">
        <f>IF(BI120="true",MROUND(IF(AND(AO120&gt;0.5,OR(_xlfn.XLOOKUP(_xlfn.XLOOKUP(B120,'Base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K120" s="2">
        <f t="shared" si="10"/>
        <v>1</v>
      </c>
      <c r="BL120" s="25" t="str">
        <f>IF(_xlfn.XLOOKUP(B120,'Base stats'!B:B,'Base stats'!AK:AK)="Standard","No",MROUND((_xlfn.XLOOKUP(B120,'Base stats'!B:B,'Base stats'!AK:AK)/3.6)/I120,0.1))</f>
        <v>No</v>
      </c>
      <c r="BM120" s="25" t="str">
        <f t="shared" si="11"/>
        <v>false</v>
      </c>
      <c r="BN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O120" s="25" t="str" cm="1">
        <f t="array" ref="BO120">IF(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 = "",
  "No",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
)</f>
        <v>AttackTarget, Forage</v>
      </c>
      <c r="BP120" s="25">
        <f>IF(
   AND(
      'Base stats'!AK120="Standard",_xlfn.XLOOKUP(_xlfn.XLOOKUP(B120,'Base stats'!B:B,'Base stats'!E:E),Groups!A:A,Groups!AU:AU)=0,
      OR(
      BN120="True"
      )
   ),
   10,
   IF(
       OR(BL120&lt;&gt;"No",_xlfn.XLOOKUP(_xlfn.XLOOKUP(B120,'Base stats'!B:B,'Base stats'!E:E),Groups!A:A,Groups!AU:AU)=1),
      1,
      "No"
   )
)</f>
        <v>10</v>
      </c>
      <c r="BQ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stats'!AS:AS) * 1.8) * 2) * 2.5 + 10 + I120 * 2,5)+IF(_xlfn.XLOOKUP(B120,'Base stats'!B:B,'Base stats'!AH:AH)=1,50,0)</f>
        <v>170</v>
      </c>
      <c r="BR120" s="8">
        <f t="shared" si="12"/>
        <v>0.9</v>
      </c>
      <c r="BS120" s="8" t="str">
        <f>_xlfn.XLOOKUP(B120,'Base stats'!B:B,'Base stats'!AD:AD)</f>
        <v>No</v>
      </c>
      <c r="BT120" s="2" t="str">
        <f>IF(AND(J120&lt;=0.95,OR(_xlfn.XLOOKUP(B120,'Base stats'!B:B,'Base stats'!AH:AH)=1,_xlfn.XLOOKUP(B120,'Base stats'!B:B,'Base stats'!Y:Y)="Carnivore",_xlfn.XLOOKUP(B120,'Base stats'!B:B,'Base stats'!Y:Y)="Omnivore",BD120&gt;0.1)),"true","false")</f>
        <v>true</v>
      </c>
      <c r="BU120" s="2" t="str">
        <f>IF(_xlfn.XLOOKUP(B120,'Base stats'!B:B,'Base stats'!AF:AF)=1,"true","false")</f>
        <v>false</v>
      </c>
      <c r="BV120" s="25" t="str">
        <f>IF(E120="BaseInsect","AnimalInsect",
IF(J120&gt;0.95,"AnimalExotic",
_xlfn.TEXTJOIN(", ",TRUE,
IF(OR(_xlfn.XLOOKUP(B120,'Base stats'!B:B,'Base stats'!AJ:AJ)=1,AND(_xlfn.XLOOKUP(B120,'Base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stats'!AH:AH)=1,AND(BH120&lt;&gt;"None",BQ120&gt;=60),ISNUMBER(SEARCH("Attack target",BO120))),"AnimalFighter","")
)))</f>
        <v>AnimalUncommon, AnimalFighter</v>
      </c>
      <c r="BW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),_xlfn.XLOOKUP(B120,B:B,BW:BW))</f>
        <v>BorealForest ColdBog TemperateForest TemperateSwamp GlacialPlain</v>
      </c>
      <c r="BX120" s="25" t="str">
        <f>IF(_xlfn.XLOOKUP(B120,'Base stats'!B:B,'Base stats'!AG:AG)=1,"true","false")</f>
        <v>false</v>
      </c>
      <c r="BY120" s="25">
        <f>IF(_xlfn.XLOOKUP(B120,'Base stats'!B:B,'Base stats'!N:N)=1,"No",MAX(0.01,MIN(MROUND(IF(OR(_xlfn.XLOOKUP(B120,'Base stats'!B:B,'Base stats'!AJ:AJ)=1,AND(BI120="True",CB120="False")),POWER(10,3.47*LOG10(_xlfn.XLOOKUP(B120,'Base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stats'!AH:AH)=1),0.5,1)/100,0.025),1)))</f>
        <v>0.05</v>
      </c>
      <c r="BZ120" s="25" t="str">
        <f>IF(P120="Standard","No",MAX(0.01,IF(_xlfn.XLOOKUP(B120,'Base stats'!B:B,'Base stats'!N:N)=0,MROUND(BY120*P120,0.05),MIN(1,MAX(0.025,MROUND(IF(OR(CB120="true",AND(BI120="false",BN120="false")),POWER(10,4.15*LOG10(_xlfn.XLOOKUP(B120,'Base stats'!B:B,'Base stats'!C:C)*1000)^-0.73),POWER(10,3.47*LOG10(_xlfn.XLOOKUP(B120,'Base stats'!B:B,'Base stats'!C:C)*1000)^-0.96))*IF(_xlfn.XLOOKUP(B120,'Base stats'!B:B,'Base stats'!AH:AH)=1,0.5,1)/100,0.025))))))</f>
        <v>No</v>
      </c>
      <c r="CA120" s="25" t="str">
        <f>IF(_xlfn.XLOOKUP(_xlfn.XLOOKUP(B120,'Base stats'!B:B,'Base stats'!E:E),Groups!A:A,Groups!AJ:AJ)="Mammal","True","False")</f>
        <v>True</v>
      </c>
      <c r="CB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C120" s="25" t="str">
        <f t="shared" si="13"/>
        <v>False</v>
      </c>
      <c r="CD120" s="25" t="str">
        <f>IF(_xlfn.XLOOKUP(_xlfn.XLOOKUP(B120,'Base stats'!B:B,'Base stats'!E:E),Groups!A:A,Groups!AX:AX),"True","False")</f>
        <v>False</v>
      </c>
      <c r="CE120" s="25" t="str">
        <f>IF(_xlfn.XLOOKUP(_xlfn.XLOOKUP(B120,'Base stats'!B:B,'Base stats'!E:E),Groups!A:A,Groups!AY:AY),"True","False")</f>
        <v>False</v>
      </c>
      <c r="CF120" s="25" t="str">
        <f>IF(_xlfn.XLOOKUP(_xlfn.XLOOKUP(B120,'Base stats'!B:B,'Base stats'!E:E),Groups!A:A,Groups!AW:AW),"True","False")</f>
        <v>False</v>
      </c>
      <c r="CG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H120" s="25" t="str">
        <f>IF(_xlfn.XLOOKUP(_xlfn.XLOOKUP(B120,'Base stats'!B:B,'Base stats'!E:E),Groups!A:A,Groups!BB:BB),"True","False")</f>
        <v>True</v>
      </c>
      <c r="CI120" s="25" t="str">
        <f>IF(_xlfn.XLOOKUP(_xlfn.XLOOKUP(B120,'Base stats'!B:B,'Base stats'!E:E),Groups!A:A,Groups!BA:BA),"True","False")</f>
        <v>False</v>
      </c>
    </row>
    <row r="121" spans="1:87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stats'!AI:AI)=0,BH121="None",_xlfn.XLOOKUP(_xlfn.XLOOKUP(B121,'Base stats'!B:B,'Base stats'!E:E),Groups!A:A,Groups!B:B)=0), (18 + BQ121 * 2.7) * 0.5,
    IF(AND(_xlfn.XLOOKUP(B121,'Base stats'!B:B,'Base stats'!AI:AI)=0,OR(AO121&lt;0.55,AND(BH121="Intermediate",_xlfn.XLOOKUP(_xlfn.XLOOKUP(B121,'Base stats'!B:B,'Base stats'!E:E),Groups!A:A,Groups!B:B)&lt;2))), (18 + BQ121 * 2.7),
      IF(OR(BH121="Advanced",_xlfn.XLOOKUP(B121,'Base stats'!B:B,'Base stats'!AI:AI)=1,_xlfn.XLOOKUP(_xlfn.XLOOKUP(B121,'Base stats'!B:B,'Base stats'!E:E),Groups!A:A,Groups!B:B)=2), (18 + BQ121 * 2.7) + 250, (18 + BQ121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IF(_xlfn.XLOOKUP(B121,'Base stats'!B:B,'Base stats'!AI:AI)=1,0.99,MIN(MROUND((1-0.6282*EXP(-0.459*AO121))*_xlfn.XLOOKUP(_xlfn.XLOOKUP(B121,'Base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W121)),ISNUMBER(SEARCH("IceSheet",BW121))),-50,IF(OR(ISNUMBER(SEARCH("GlacialPlain",BW121)),ISNUMBER(SEARCH("Tundra",BW121))),-40,IF(OR(ISNUMBER(SEARCH("Alpine",BW121)),ISNUMBER(SEARCH("BorealForest",BW121)),ISNUMBER(SEARCH("ColdBog",BW121))),-30,IF(OR(ISNUMBER(SEARCH("TemperateForest",BW121)),ISNUMBER(SEARCH("TemperateSwamp",BW121))),-20,IF(_xlfn.XLOOKUP(_xlfn.XLOOKUP(B121,'Base stats'!B:B,'Base stats'!E:E),Groups!A:A,Groups!F:F)=1,-15,IF(OR(ISNUMBER(SEARCH("Desert",BW121)),ISNUMBER(SEARCH("ExtremeDesert",BW121))),-10,IF(OR(ISNUMBER(SEARCH("Grasslands",BW121)),ISNUMBER(SEARCH("TropicalRainforest",BW121)),ISNUMBER(SEARCH("TropicalSwamp",BW121))),10,0)))))))-IF(CB121="False",MIN(IFERROR(MAX(MROUND(LOG10(_xlfn.XLOOKUP(B121,'Base stats'!B:B,'Base stats'!C:C)^(2/3))*10,5),5),5),30))-_xlfn.XLOOKUP(B121,'Base stats'!B:B,'Base stats'!P:P)+IF(CB121="True",5,0)</f>
        <v>-25</v>
      </c>
      <c r="M121" s="2">
        <f>IF(OR(_xlfn.XLOOKUP(_xlfn.XLOOKUP(B121,'Base stats'!B:B,'Base stats'!E:E),Groups!A:A,Groups!G:G)=2,ISNUMBER(SEARCH("Desert",BW121)),ISNUMBER(SEARCH("ExtremeDesert",BW121)),ISNUMBER(SEARCH("LavaField",BW121))),50,IF(ISNUMBER(SEARCH("Grasslands",BW121)),45,IF(OR(_xlfn.XLOOKUP(_xlfn.XLOOKUP(B121,'Base stats'!B:B,'Base stats'!E:E),Groups!A:A,Groups!G:G)=1,ISNUMBER(SEARCH("TropicalRainforest",BW121)),ISNUMBER(SEARCH("TropicalSwamp",BW121))),40,IF(OR(ISNUMBER(SEARCH("TemperateForest",BW121)),ISNUMBER(SEARCH("TemperateSwamp",BW121))),35,IF(OR(ISNUMBER(SEARCH("Alpine",BW121)),ISNUMBER(SEARCH("BorealForest",BW121)),ISNUMBER(SEARCH("ColdBog",BW121))),30,IF(ISNUMBER(OR(ISNUMBER(SEARCH("GlacialPlain",BW121)),SEARCH("Tundra",BW121))),25,IF(OR(ISNUMBER(SEARCH("SeaIce",BW121)),ISNUMBER(SEARCH("IceSheet",BW121)),ISNUMBER(SEARCH("TropicalSwamp",BW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stats'!AO:AO))*(AO121^0.5)+(_xlfn.XLOOKUP(B121,'Base stats'!B:B,'Base stats'!AO:AO)/1000)^(2/3)+_xlfn.XLOOKUP(B121,'Base stats'!B:B,'Base stats'!AX:AX)/2)+0.5,0.5)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stats'!AP:AP))*(AO121^0.5)+(_xlfn.XLOOKUP(B121,'Base stats'!B:B,'Base stats'!AP:AP)/1000)^(2/3)+_xlfn.XLOOKUP(B121,'Base stats'!B:B,'Base stats'!AX:AX))+_xlfn.XLOOKUP(B121,'Base stats'!B:B,'Base stats'!AV:AV)+0.5,0.5))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stats'!AR:AR))*(AO121^0.5)+(_xlfn.XLOOKUP(B121,'Base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stats'!AQ:AQ)="No","No",MROUND((LOG10(_xlfn.XLOOKUP(B121,'Base stats'!B:B,'Base stats'!AQ:AQ))*(AO121^0.75)+(_xlfn.XLOOKUP(B121,'Base stats'!B:B,'Base stats'!AQ:AQ)/1000)^(2/3)+_xlfn.XLOOKUP(B121,'Base stats'!B:B,'Base stats'!AU:AU)+_xlfn.XLOOKUP(B121,'Base stats'!B:B,'Base stats'!AX:AX))+0.5,0.5))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stats'!AP:AP))*(AO121^0.75)+(_xlfn.XLOOKUP(B121,'Base stats'!B:B,'Base stats'!AP:AP)/1000)^(2/3)+_xlfn.XLOOKUP(B121,'Base stats'!B:B,'Base stats'!AV:AV)+_xlfn.XLOOKUP(B121,'Base stats'!B:B,'Base stats'!AX:AX))+0.5,0.5))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MAX(0.01,MROUND(IF(CB121="True",0.196*(AO121*100*1000)^0.889,IF(_xlfn.XLOOKUP(_xlfn.XLOOKUP(B121,'Base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stats'!AE:AE)</f>
        <v>Leather_Dog</v>
      </c>
      <c r="BB121" s="23" t="str">
        <f>_xlfn.XLOOKUP(_xlfn.XLOOKUP(B121,'Base stats'!B:B,'Base stats'!E:E),Groups!A:A,Groups!AL:AL)</f>
        <v>QuadrupedAnimalWithPawsAndTail</v>
      </c>
      <c r="BC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D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E121" s="2" t="str">
        <f>IF(J121&gt;0.3,"No",_xlfn.XLOOKUP(_xlfn.XLOOKUP(Animals!B121,'Base stats'!B:B,'Base stats'!E:E),Groups!A:A,Groups!AP:AP))</f>
        <v>No</v>
      </c>
      <c r="BF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+ 24*(1-IF(BE121="No",0,BE121)) + 16/3, 12),"No")</f>
        <v>No</v>
      </c>
      <c r="BG121" s="2">
        <f>IF(AND(_xlfn.XLOOKUP(_xlfn.XLOOKUP(B121,'Base stats'!B:B,'Base stats'!E:E),Groups!A:A,Groups!AQ:AQ)=1,AO121&lt;=0.35),8,12)</f>
        <v>12</v>
      </c>
      <c r="BH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I121" s="2" t="str">
        <f>IF(AND(_xlfn.XLOOKUP(_xlfn.XLOOKUP(B121,'Base stats'!B:B,'Base stats'!E:E),Groups!A:A,Groups!AS:AS)=1,OR('Base stats'!Y121="Carnivore",'Base stats'!Y121="Omnivore")),"true","false")</f>
        <v>true</v>
      </c>
      <c r="BJ121" s="2">
        <f>IF(BI121="true",MROUND(IF(AND(AO121&gt;0.5,OR(_xlfn.XLOOKUP(_xlfn.XLOOKUP(B121,'Base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K121" s="2">
        <f t="shared" si="10"/>
        <v>1</v>
      </c>
      <c r="BL121" s="25" t="str">
        <f>IF(_xlfn.XLOOKUP(B121,'Base stats'!B:B,'Base stats'!AK:AK)="Standard","No",MROUND((_xlfn.XLOOKUP(B121,'Base stats'!B:B,'Base stats'!AK:AK)/3.6)/I121,0.1))</f>
        <v>No</v>
      </c>
      <c r="BM121" s="25" t="str">
        <f t="shared" si="11"/>
        <v>false</v>
      </c>
      <c r="BN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O121" s="25" t="str" cm="1">
        <f t="array" ref="BO121">IF(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 = "",
  "No",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
)</f>
        <v>AttackTarget</v>
      </c>
      <c r="BP121" s="25" t="str">
        <f>IF(
   AND(
      'Base stats'!AK121="Standard",_xlfn.XLOOKUP(_xlfn.XLOOKUP(B121,'Base stats'!B:B,'Base stats'!E:E),Groups!A:A,Groups!AU:AU)=0,
      OR(
      BN121="True"
      )
   ),
   10,
   IF(
       OR(BL121&lt;&gt;"No",_xlfn.XLOOKUP(_xlfn.XLOOKUP(B121,'Base stats'!B:B,'Base stats'!E:E),Groups!A:A,Groups!AU:AU)=1),
      1,
      "No"
   )
)</f>
        <v>No</v>
      </c>
      <c r="BQ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stats'!AS:AS) * 1.8) * 2) * 2.5 + 10 + I121 * 2,5)+IF(_xlfn.XLOOKUP(B121,'Base stats'!B:B,'Base stats'!AH:AH)=1,50,0)</f>
        <v>115</v>
      </c>
      <c r="BR121" s="8">
        <f t="shared" si="12"/>
        <v>0.65</v>
      </c>
      <c r="BS121" s="8" t="str">
        <f>_xlfn.XLOOKUP(B121,'Base stats'!B:B,'Base stats'!AD:AD)</f>
        <v>2~6</v>
      </c>
      <c r="BT121" s="2" t="str">
        <f>IF(AND(J121&lt;=0.95,OR(_xlfn.XLOOKUP(B121,'Base stats'!B:B,'Base stats'!AH:AH)=1,_xlfn.XLOOKUP(B121,'Base stats'!B:B,'Base stats'!Y:Y)="Carnivore",_xlfn.XLOOKUP(B121,'Base stats'!B:B,'Base stats'!Y:Y)="Omnivore",BD121&gt;0.1)),"true","false")</f>
        <v>true</v>
      </c>
      <c r="BU121" s="2" t="str">
        <f>IF(_xlfn.XLOOKUP(B121,'Base stats'!B:B,'Base stats'!AF:AF)=1,"true","false")</f>
        <v>false</v>
      </c>
      <c r="BV121" s="25" t="str">
        <f>IF(E121="BaseInsect","AnimalInsect",
IF(J121&gt;0.95,"AnimalExotic",
_xlfn.TEXTJOIN(", ",TRUE,
IF(OR(_xlfn.XLOOKUP(B121,'Base stats'!B:B,'Base stats'!AJ:AJ)=1,AND(_xlfn.XLOOKUP(B121,'Base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stats'!AH:AH)=1,AND(BH121&lt;&gt;"None",BQ121&gt;=60),ISNUMBER(SEARCH("Attack target",BO121))),"AnimalFighter","")
)))</f>
        <v>AnimalCommon, AnimalFighter</v>
      </c>
      <c r="BW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),_xlfn.XLOOKUP(B121,B:B,BW:BW))</f>
        <v>AridShrubland Desert Grasslands</v>
      </c>
      <c r="BX121" s="25" t="str">
        <f>IF(_xlfn.XLOOKUP(B121,'Base stats'!B:B,'Base stats'!AG:AG)=1,"true","false")</f>
        <v>false</v>
      </c>
      <c r="BY121" s="25">
        <f>IF(_xlfn.XLOOKUP(B121,'Base stats'!B:B,'Base stats'!N:N)=1,"No",MAX(0.01,MIN(MROUND(IF(OR(_xlfn.XLOOKUP(B121,'Base stats'!B:B,'Base stats'!AJ:AJ)=1,AND(BI121="True",CB121="False")),POWER(10,3.47*LOG10(_xlfn.XLOOKUP(B121,'Base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stats'!AH:AH)=1),0.5,1)/100,0.025),1)))</f>
        <v>0.05</v>
      </c>
      <c r="BZ121" s="25" t="str">
        <f>IF(P121="Standard","No",MAX(0.01,IF(_xlfn.XLOOKUP(B121,'Base stats'!B:B,'Base stats'!N:N)=0,MROUND(BY121*P121,0.05),MIN(1,MAX(0.025,MROUND(IF(OR(CB121="true",AND(BI121="false",BN121="false")),POWER(10,4.15*LOG10(_xlfn.XLOOKUP(B121,'Base stats'!B:B,'Base stats'!C:C)*1000)^-0.73),POWER(10,3.47*LOG10(_xlfn.XLOOKUP(B121,'Base stats'!B:B,'Base stats'!C:C)*1000)^-0.96))*IF(_xlfn.XLOOKUP(B121,'Base stats'!B:B,'Base stats'!AH:AH)=1,0.5,1)/100,0.025))))))</f>
        <v>No</v>
      </c>
      <c r="CA121" s="25" t="str">
        <f>IF(_xlfn.XLOOKUP(_xlfn.XLOOKUP(B121,'Base stats'!B:B,'Base stats'!E:E),Groups!A:A,Groups!AJ:AJ)="Mammal","True","False")</f>
        <v>True</v>
      </c>
      <c r="CB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C121" s="25" t="str">
        <f t="shared" si="13"/>
        <v>False</v>
      </c>
      <c r="CD121" s="25" t="str">
        <f>IF(_xlfn.XLOOKUP(_xlfn.XLOOKUP(B121,'Base stats'!B:B,'Base stats'!E:E),Groups!A:A,Groups!AX:AX),"True","False")</f>
        <v>False</v>
      </c>
      <c r="CE121" s="25" t="str">
        <f>IF(_xlfn.XLOOKUP(_xlfn.XLOOKUP(B121,'Base stats'!B:B,'Base stats'!E:E),Groups!A:A,Groups!AY:AY),"True","False")</f>
        <v>False</v>
      </c>
      <c r="CF121" s="25" t="str">
        <f>IF(_xlfn.XLOOKUP(_xlfn.XLOOKUP(B121,'Base stats'!B:B,'Base stats'!E:E),Groups!A:A,Groups!AW:AW),"True","False")</f>
        <v>False</v>
      </c>
      <c r="CG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H121" s="25" t="str">
        <f>IF(_xlfn.XLOOKUP(_xlfn.XLOOKUP(B121,'Base stats'!B:B,'Base stats'!E:E),Groups!A:A,Groups!BB:BB),"True","False")</f>
        <v>True</v>
      </c>
      <c r="CI121" s="25" t="str">
        <f>IF(_xlfn.XLOOKUP(_xlfn.XLOOKUP(B121,'Base stats'!B:B,'Base stats'!E:E),Groups!A:A,Groups!BA:BA),"True","False")</f>
        <v>False</v>
      </c>
    </row>
    <row r="122" spans="1:87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stats'!AI:AI)=0,BH122="None",_xlfn.XLOOKUP(_xlfn.XLOOKUP(B122,'Base stats'!B:B,'Base stats'!E:E),Groups!A:A,Groups!B:B)=0), (18 + BQ122 * 2.7) * 0.5,
    IF(AND(_xlfn.XLOOKUP(B122,'Base stats'!B:B,'Base stats'!AI:AI)=0,OR(AO122&lt;0.55,AND(BH122="Intermediate",_xlfn.XLOOKUP(_xlfn.XLOOKUP(B122,'Base stats'!B:B,'Base stats'!E:E),Groups!A:A,Groups!B:B)&lt;2))), (18 + BQ122 * 2.7),
      IF(OR(BH122="Advanced",_xlfn.XLOOKUP(B122,'Base stats'!B:B,'Base stats'!AI:AI)=1,_xlfn.XLOOKUP(_xlfn.XLOOKUP(B122,'Base stats'!B:B,'Base stats'!E:E),Groups!A:A,Groups!B:B)=2), (18 + BQ122 * 2.7) + 250, (18 + BQ122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IF(_xlfn.XLOOKUP(B122,'Base stats'!B:B,'Base stats'!AI:AI)=1,0.99,MIN(MROUND((1-0.6282*EXP(-0.459*AO122))*_xlfn.XLOOKUP(_xlfn.XLOOKUP(B122,'Base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W122)),ISNUMBER(SEARCH("IceSheet",BW122))),-50,IF(OR(ISNUMBER(SEARCH("GlacialPlain",BW122)),ISNUMBER(SEARCH("Tundra",BW122))),-40,IF(OR(ISNUMBER(SEARCH("Alpine",BW122)),ISNUMBER(SEARCH("BorealForest",BW122)),ISNUMBER(SEARCH("ColdBog",BW122))),-30,IF(OR(ISNUMBER(SEARCH("TemperateForest",BW122)),ISNUMBER(SEARCH("TemperateSwamp",BW122))),-20,IF(_xlfn.XLOOKUP(_xlfn.XLOOKUP(B122,'Base stats'!B:B,'Base stats'!E:E),Groups!A:A,Groups!F:F)=1,-15,IF(OR(ISNUMBER(SEARCH("Desert",BW122)),ISNUMBER(SEARCH("ExtremeDesert",BW122))),-10,IF(OR(ISNUMBER(SEARCH("Grasslands",BW122)),ISNUMBER(SEARCH("TropicalRainforest",BW122)),ISNUMBER(SEARCH("TropicalSwamp",BW122))),10,0)))))))-IF(CB122="False",MIN(IFERROR(MAX(MROUND(LOG10(_xlfn.XLOOKUP(B122,'Base stats'!B:B,'Base stats'!C:C)^(2/3))*10,5),5),5),30))-_xlfn.XLOOKUP(B122,'Base stats'!B:B,'Base stats'!P:P)+IF(CB122="True",5,0)</f>
        <v>-5</v>
      </c>
      <c r="M122" s="2">
        <f>IF(OR(_xlfn.XLOOKUP(_xlfn.XLOOKUP(B122,'Base stats'!B:B,'Base stats'!E:E),Groups!A:A,Groups!G:G)=2,ISNUMBER(SEARCH("Desert",BW122)),ISNUMBER(SEARCH("ExtremeDesert",BW122)),ISNUMBER(SEARCH("LavaField",BW122))),50,IF(ISNUMBER(SEARCH("Grasslands",BW122)),45,IF(OR(_xlfn.XLOOKUP(_xlfn.XLOOKUP(B122,'Base stats'!B:B,'Base stats'!E:E),Groups!A:A,Groups!G:G)=1,ISNUMBER(SEARCH("TropicalRainforest",BW122)),ISNUMBER(SEARCH("TropicalSwamp",BW122))),40,IF(OR(ISNUMBER(SEARCH("TemperateForest",BW122)),ISNUMBER(SEARCH("TemperateSwamp",BW122))),35,IF(OR(ISNUMBER(SEARCH("Alpine",BW122)),ISNUMBER(SEARCH("BorealForest",BW122)),ISNUMBER(SEARCH("ColdBog",BW122))),30,IF(ISNUMBER(OR(ISNUMBER(SEARCH("GlacialPlain",BW122)),SEARCH("Tundra",BW122))),25,IF(OR(ISNUMBER(SEARCH("SeaIce",BW122)),ISNUMBER(SEARCH("IceSheet",BW122)),ISNUMBER(SEARCH("TropicalSwamp",BW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stats'!AO:AO))*(AO122^0.5)+(_xlfn.XLOOKUP(B122,'Base stats'!B:B,'Base stats'!AO:AO)/1000)^(2/3)+_xlfn.XLOOKUP(B122,'Base stats'!B:B,'Base stats'!AX:AX)/2)+0.5,0.5)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stats'!AP:AP))*(AO122^0.5)+(_xlfn.XLOOKUP(B122,'Base stats'!B:B,'Base stats'!AP:AP)/1000)^(2/3)+_xlfn.XLOOKUP(B122,'Base stats'!B:B,'Base stats'!AX:AX))+_xlfn.XLOOKUP(B122,'Base stats'!B:B,'Base stats'!AV:AV)+0.5,0.5))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stats'!AR:AR))*(AO122^0.5)+(_xlfn.XLOOKUP(B122,'Base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stats'!AQ:AQ)="No","No",MROUND((LOG10(_xlfn.XLOOKUP(B122,'Base stats'!B:B,'Base stats'!AQ:AQ))*(AO122^0.75)+(_xlfn.XLOOKUP(B122,'Base stats'!B:B,'Base stats'!AQ:AQ)/1000)^(2/3)+_xlfn.XLOOKUP(B122,'Base stats'!B:B,'Base stats'!AU:AU)+_xlfn.XLOOKUP(B122,'Base stats'!B:B,'Base stats'!AX:AX))+0.5,0.5))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stats'!AP:AP))*(AO122^0.75)+(_xlfn.XLOOKUP(B122,'Base stats'!B:B,'Base stats'!AP:AP)/1000)^(2/3)+_xlfn.XLOOKUP(B122,'Base stats'!B:B,'Base stats'!AV:AV)+_xlfn.XLOOKUP(B122,'Base stats'!B:B,'Base stats'!AX:AX))+0.5,0.5))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MAX(0.01,MROUND(IF(CB122="True",0.196*(AO122*100*1000)^0.889,IF(_xlfn.XLOOKUP(_xlfn.XLOOKUP(B122,'Base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stats'!AE:AE)</f>
        <v>Leather_Lizard</v>
      </c>
      <c r="BB122" s="23" t="str">
        <f>_xlfn.XLOOKUP(_xlfn.XLOOKUP(B122,'Base stats'!B:B,'Base stats'!E:E),Groups!A:A,Groups!AL:AL)</f>
        <v>TurtleLike</v>
      </c>
      <c r="BC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D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E122" s="2" t="str">
        <f>IF(J122&gt;0.3,"No",_xlfn.XLOOKUP(_xlfn.XLOOKUP(Animals!B122,'Base stats'!B:B,'Base stats'!E:E),Groups!A:A,Groups!AP:AP))</f>
        <v>No</v>
      </c>
      <c r="BF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+ 24*(1-IF(BE122="No",0,BE122)) + 16/3, 12),"No")</f>
        <v>No</v>
      </c>
      <c r="BG122" s="2">
        <f>IF(AND(_xlfn.XLOOKUP(_xlfn.XLOOKUP(B122,'Base stats'!B:B,'Base stats'!E:E),Groups!A:A,Groups!AQ:AQ)=1,AO122&lt;=0.35),8,12)</f>
        <v>12</v>
      </c>
      <c r="BH122" s="2" t="str">
        <f>IF(_xlfn.XLOOKUP(_xlfn.XLOOKUP(B122,'Base stats'!B:B,'Base stats'!E:E),Groups!A:A,Groups!D:D)=0,_xlfn.XLOOKUP(_xlfn.XLOOKUP(B122,'Base stats'!B:B,'Base stats'!E:E),Groups!A:A,Groups!AR:AR),"None")</f>
        <v>None</v>
      </c>
      <c r="BI122" s="2" t="str">
        <f>IF(AND(_xlfn.XLOOKUP(_xlfn.XLOOKUP(B122,'Base stats'!B:B,'Base stats'!E:E),Groups!A:A,Groups!AS:AS)=1,OR('Base stats'!Y122="Carnivore",'Base stats'!Y122="Omnivore")),"true","false")</f>
        <v>false</v>
      </c>
      <c r="BJ122" s="2" t="str">
        <f>IF(BI122="true",MROUND(IF(AND(AO122&gt;0.5,OR(_xlfn.XLOOKUP(_xlfn.XLOOKUP(B122,'Base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K122" s="2">
        <f t="shared" si="10"/>
        <v>0</v>
      </c>
      <c r="BL122" s="25" t="str">
        <f>IF(_xlfn.XLOOKUP(B122,'Base stats'!B:B,'Base stats'!AK:AK)="Standard","No",MROUND((_xlfn.XLOOKUP(B122,'Base stats'!B:B,'Base stats'!AK:AK)/3.6)/I122,0.1))</f>
        <v>No</v>
      </c>
      <c r="BM122" s="25" t="str">
        <f t="shared" si="11"/>
        <v>false</v>
      </c>
      <c r="BN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O122" s="25" t="str" cm="1">
        <f t="array" ref="BO122">IF(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 = "",
  "No",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
)</f>
        <v>No</v>
      </c>
      <c r="BP122" s="25" t="str">
        <f>IF(
   AND(
      'Base stats'!AK122="Standard",_xlfn.XLOOKUP(_xlfn.XLOOKUP(B122,'Base stats'!B:B,'Base stats'!E:E),Groups!A:A,Groups!AU:AU)=0,
      OR(
      BN122="True"
      )
   ),
   10,
   IF(
       OR(BL122&lt;&gt;"No",_xlfn.XLOOKUP(_xlfn.XLOOKUP(B122,'Base stats'!B:B,'Base stats'!E:E),Groups!A:A,Groups!AU:AU)=1),
      1,
      "No"
   )
)</f>
        <v>No</v>
      </c>
      <c r="BQ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stats'!AS:AS) * 1.8) * 2) * 2.5 + 10 + I122 * 2,5)+IF(_xlfn.XLOOKUP(B122,'Base stats'!B:B,'Base stats'!AH:AH)=1,50,0)</f>
        <v>95</v>
      </c>
      <c r="BR122" s="8">
        <f t="shared" si="12"/>
        <v>0.25</v>
      </c>
      <c r="BS122" s="8" t="str">
        <f>_xlfn.XLOOKUP(B122,'Base stats'!B:B,'Base stats'!AD:AD)</f>
        <v>No</v>
      </c>
      <c r="BT122" s="2" t="str">
        <f>IF(AND(J122&lt;=0.95,OR(_xlfn.XLOOKUP(B122,'Base stats'!B:B,'Base stats'!AH:AH)=1,_xlfn.XLOOKUP(B122,'Base stats'!B:B,'Base stats'!Y:Y)="Carnivore",_xlfn.XLOOKUP(B122,'Base stats'!B:B,'Base stats'!Y:Y)="Omnivore",BD122&gt;0.1)),"true","false")</f>
        <v>false</v>
      </c>
      <c r="BU122" s="2" t="str">
        <f>IF(_xlfn.XLOOKUP(B122,'Base stats'!B:B,'Base stats'!AF:AF)=1,"true","false")</f>
        <v>false</v>
      </c>
      <c r="BV122" s="25" t="str">
        <f>IF(E122="BaseInsect","AnimalInsect",
IF(J122&gt;0.95,"AnimalExotic",
_xlfn.TEXTJOIN(", ",TRUE,
IF(OR(_xlfn.XLOOKUP(B122,'Base stats'!B:B,'Base stats'!AJ:AJ)=1,AND(_xlfn.XLOOKUP(B122,'Base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stats'!AH:AH)=1,AND(BH122&lt;&gt;"None",BQ122&gt;=60),ISNUMBER(SEARCH("Attack target",BO122))),"AnimalFighter","")
)))</f>
        <v>AnimalUncommon</v>
      </c>
      <c r="BW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),_xlfn.XLOOKUP(B122,B:B,BW:BW))</f>
        <v>AridShrubland Desert ExtremeDesert Grasslands LavaField</v>
      </c>
      <c r="BX122" s="25" t="str">
        <f>IF(_xlfn.XLOOKUP(B122,'Base stats'!B:B,'Base stats'!AG:AG)=1,"true","false")</f>
        <v>false</v>
      </c>
      <c r="BY122" s="25">
        <f>IF(_xlfn.XLOOKUP(B122,'Base stats'!B:B,'Base stats'!N:N)=1,"No",MAX(0.01,MIN(MROUND(IF(OR(_xlfn.XLOOKUP(B122,'Base stats'!B:B,'Base stats'!AJ:AJ)=1,AND(BI122="True",CB122="False")),POWER(10,3.47*LOG10(_xlfn.XLOOKUP(B122,'Base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stats'!AH:AH)=1),0.5,1)/100,0.025),1)))</f>
        <v>0.22500000000000001</v>
      </c>
      <c r="BZ122" s="25" t="str">
        <f>IF(P122="Standard","No",MAX(0.01,IF(_xlfn.XLOOKUP(B122,'Base stats'!B:B,'Base stats'!N:N)=0,MROUND(BY122*P122,0.05),MIN(1,MAX(0.025,MROUND(IF(OR(CB122="true",AND(BI122="false",BN122="false")),POWER(10,4.15*LOG10(_xlfn.XLOOKUP(B122,'Base stats'!B:B,'Base stats'!C:C)*1000)^-0.73),POWER(10,3.47*LOG10(_xlfn.XLOOKUP(B122,'Base stats'!B:B,'Base stats'!C:C)*1000)^-0.96))*IF(_xlfn.XLOOKUP(B122,'Base stats'!B:B,'Base stats'!AH:AH)=1,0.5,1)/100,0.025))))))</f>
        <v>No</v>
      </c>
      <c r="CA122" s="25" t="str">
        <f>IF(_xlfn.XLOOKUP(_xlfn.XLOOKUP(B122,'Base stats'!B:B,'Base stats'!E:E),Groups!A:A,Groups!AJ:AJ)="Mammal","True","False")</f>
        <v>False</v>
      </c>
      <c r="CB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C122" s="25" t="str">
        <f t="shared" si="13"/>
        <v>False</v>
      </c>
      <c r="CD122" s="25" t="str">
        <f>IF(_xlfn.XLOOKUP(_xlfn.XLOOKUP(B122,'Base stats'!B:B,'Base stats'!E:E),Groups!A:A,Groups!AX:AX),"True","False")</f>
        <v>False</v>
      </c>
      <c r="CE122" s="25" t="str">
        <f>IF(_xlfn.XLOOKUP(_xlfn.XLOOKUP(B122,'Base stats'!B:B,'Base stats'!E:E),Groups!A:A,Groups!AY:AY),"True","False")</f>
        <v>False</v>
      </c>
      <c r="CF122" s="25" t="str">
        <f>IF(_xlfn.XLOOKUP(_xlfn.XLOOKUP(B122,'Base stats'!B:B,'Base stats'!E:E),Groups!A:A,Groups!AW:AW),"True","False")</f>
        <v>False</v>
      </c>
      <c r="CG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H122" s="25" t="str">
        <f>IF(_xlfn.XLOOKUP(_xlfn.XLOOKUP(B122,'Base stats'!B:B,'Base stats'!E:E),Groups!A:A,Groups!BB:BB),"True","False")</f>
        <v>False</v>
      </c>
      <c r="CI122" s="25" t="str">
        <f>IF(_xlfn.XLOOKUP(_xlfn.XLOOKUP(B122,'Base stats'!B:B,'Base stats'!E:E),Groups!A:A,Groups!BA:BA),"True","False")</f>
        <v>False</v>
      </c>
    </row>
    <row r="123" spans="1:87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stats'!AI:AI)=0,BH123="None",_xlfn.XLOOKUP(_xlfn.XLOOKUP(B123,'Base stats'!B:B,'Base stats'!E:E),Groups!A:A,Groups!B:B)=0), (18 + BQ123 * 2.7) * 0.5,
    IF(AND(_xlfn.XLOOKUP(B123,'Base stats'!B:B,'Base stats'!AI:AI)=0,OR(AO123&lt;0.55,AND(BH123="Intermediate",_xlfn.XLOOKUP(_xlfn.XLOOKUP(B123,'Base stats'!B:B,'Base stats'!E:E),Groups!A:A,Groups!B:B)&lt;2))), (18 + BQ123 * 2.7),
      IF(OR(BH123="Advanced",_xlfn.XLOOKUP(B123,'Base stats'!B:B,'Base stats'!AI:AI)=1,_xlfn.XLOOKUP(_xlfn.XLOOKUP(B123,'Base stats'!B:B,'Base stats'!E:E),Groups!A:A,Groups!B:B)=2), (18 + BQ123 * 2.7) + 250, (18 + BQ123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IF(_xlfn.XLOOKUP(B123,'Base stats'!B:B,'Base stats'!AI:AI)=1,0.99,MIN(MROUND((1-0.6282*EXP(-0.459*AO123))*_xlfn.XLOOKUP(_xlfn.XLOOKUP(B123,'Base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W123)),ISNUMBER(SEARCH("IceSheet",BW123))),-50,IF(OR(ISNUMBER(SEARCH("GlacialPlain",BW123)),ISNUMBER(SEARCH("Tundra",BW123))),-40,IF(OR(ISNUMBER(SEARCH("Alpine",BW123)),ISNUMBER(SEARCH("BorealForest",BW123)),ISNUMBER(SEARCH("ColdBog",BW123))),-30,IF(OR(ISNUMBER(SEARCH("TemperateForest",BW123)),ISNUMBER(SEARCH("TemperateSwamp",BW123))),-20,IF(_xlfn.XLOOKUP(_xlfn.XLOOKUP(B123,'Base stats'!B:B,'Base stats'!E:E),Groups!A:A,Groups!F:F)=1,-15,IF(OR(ISNUMBER(SEARCH("Desert",BW123)),ISNUMBER(SEARCH("ExtremeDesert",BW123))),-10,IF(OR(ISNUMBER(SEARCH("Grasslands",BW123)),ISNUMBER(SEARCH("TropicalRainforest",BW123)),ISNUMBER(SEARCH("TropicalSwamp",BW123))),10,0)))))))-IF(CB123="False",MIN(IFERROR(MAX(MROUND(LOG10(_xlfn.XLOOKUP(B123,'Base stats'!B:B,'Base stats'!C:C)^(2/3))*10,5),5),5),30))-_xlfn.XLOOKUP(B123,'Base stats'!B:B,'Base stats'!P:P)+IF(CB123="True",5,0)</f>
        <v>-30</v>
      </c>
      <c r="M123" s="2">
        <f>IF(OR(_xlfn.XLOOKUP(_xlfn.XLOOKUP(B123,'Base stats'!B:B,'Base stats'!E:E),Groups!A:A,Groups!G:G)=2,ISNUMBER(SEARCH("Desert",BW123)),ISNUMBER(SEARCH("ExtremeDesert",BW123)),ISNUMBER(SEARCH("LavaField",BW123))),50,IF(ISNUMBER(SEARCH("Grasslands",BW123)),45,IF(OR(_xlfn.XLOOKUP(_xlfn.XLOOKUP(B123,'Base stats'!B:B,'Base stats'!E:E),Groups!A:A,Groups!G:G)=1,ISNUMBER(SEARCH("TropicalRainforest",BW123)),ISNUMBER(SEARCH("TropicalSwamp",BW123))),40,IF(OR(ISNUMBER(SEARCH("TemperateForest",BW123)),ISNUMBER(SEARCH("TemperateSwamp",BW123))),35,IF(OR(ISNUMBER(SEARCH("Alpine",BW123)),ISNUMBER(SEARCH("BorealForest",BW123)),ISNUMBER(SEARCH("ColdBog",BW123))),30,IF(ISNUMBER(OR(ISNUMBER(SEARCH("GlacialPlain",BW123)),SEARCH("Tundra",BW123))),25,IF(OR(ISNUMBER(SEARCH("SeaIce",BW123)),ISNUMBER(SEARCH("IceSheet",BW123)),ISNUMBER(SEARCH("TropicalSwamp",BW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stats'!AO:AO))*(AO123^0.5)+(_xlfn.XLOOKUP(B123,'Base stats'!B:B,'Base stats'!AO:AO)/1000)^(2/3)+_xlfn.XLOOKUP(B123,'Base stats'!B:B,'Base stats'!AX:AX)/2)+0.5,0.5)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stats'!AP:AP))*(AO123^0.5)+(_xlfn.XLOOKUP(B123,'Base stats'!B:B,'Base stats'!AP:AP)/1000)^(2/3)+_xlfn.XLOOKUP(B123,'Base stats'!B:B,'Base stats'!AX:AX))+_xlfn.XLOOKUP(B123,'Base stats'!B:B,'Base stats'!AV:AV)+0.5,0.5))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stats'!AR:AR))*(AO123^0.5)+(_xlfn.XLOOKUP(B123,'Base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stats'!AQ:AQ)="No","No",MROUND((LOG10(_xlfn.XLOOKUP(B123,'Base stats'!B:B,'Base stats'!AQ:AQ))*(AO123^0.75)+(_xlfn.XLOOKUP(B123,'Base stats'!B:B,'Base stats'!AQ:AQ)/1000)^(2/3)+_xlfn.XLOOKUP(B123,'Base stats'!B:B,'Base stats'!AU:AU)+_xlfn.XLOOKUP(B123,'Base stats'!B:B,'Base stats'!AX:AX))+0.5,0.5))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stats'!AP:AP))*(AO123^0.75)+(_xlfn.XLOOKUP(B123,'Base stats'!B:B,'Base stats'!AP:AP)/1000)^(2/3)+_xlfn.XLOOKUP(B123,'Base stats'!B:B,'Base stats'!AV:AV)+_xlfn.XLOOKUP(B123,'Base stats'!B:B,'Base stats'!AX:AX))+0.5,0.5))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MAX(0.01,MROUND(IF(CB123="True",0.196*(AO123*100*1000)^0.889,IF(_xlfn.XLOOKUP(_xlfn.XLOOKUP(B123,'Base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stats'!AE:AE)</f>
        <v>Leather_Panthera</v>
      </c>
      <c r="BB123" s="23" t="str">
        <f>_xlfn.XLOOKUP(_xlfn.XLOOKUP(B123,'Base stats'!B:B,'Base stats'!E:E),Groups!A:A,Groups!AL:AL)</f>
        <v>QuadrupedAnimalWithPawsAndTail</v>
      </c>
      <c r="BC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D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E123" s="2" t="str">
        <f>IF(J123&gt;0.3,"No",_xlfn.XLOOKUP(_xlfn.XLOOKUP(Animals!B123,'Base stats'!B:B,'Base stats'!E:E),Groups!A:A,Groups!AP:AP))</f>
        <v>No</v>
      </c>
      <c r="BF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+ 24*(1-IF(BE123="No",0,BE123)) + 16/3, 12),"No")</f>
        <v>No</v>
      </c>
      <c r="BG123" s="2">
        <f>IF(AND(_xlfn.XLOOKUP(_xlfn.XLOOKUP(B123,'Base stats'!B:B,'Base stats'!E:E),Groups!A:A,Groups!AQ:AQ)=1,AO123&lt;=0.35),8,12)</f>
        <v>12</v>
      </c>
      <c r="BH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I123" s="2" t="str">
        <f>IF(AND(_xlfn.XLOOKUP(_xlfn.XLOOKUP(B123,'Base stats'!B:B,'Base stats'!E:E),Groups!A:A,Groups!AS:AS)=1,OR('Base stats'!Y123="Carnivore",'Base stats'!Y123="Omnivore")),"true","false")</f>
        <v>true</v>
      </c>
      <c r="BJ123" s="2">
        <f>IF(BI123="true",MROUND(IF(AND(AO123&gt;0.5,OR(_xlfn.XLOOKUP(_xlfn.XLOOKUP(B123,'Base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K123" s="2">
        <f t="shared" si="10"/>
        <v>1</v>
      </c>
      <c r="BL123" s="25" t="str">
        <f>IF(_xlfn.XLOOKUP(B123,'Base stats'!B:B,'Base stats'!AK:AK)="Standard","No",MROUND((_xlfn.XLOOKUP(B123,'Base stats'!B:B,'Base stats'!AK:AK)/3.6)/I123,0.1))</f>
        <v>No</v>
      </c>
      <c r="BM123" s="25" t="str">
        <f t="shared" si="11"/>
        <v>false</v>
      </c>
      <c r="BN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O123" s="25" t="str" cm="1">
        <f t="array" ref="BO123">IF(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 = "",
  "No",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
)</f>
        <v>AttackTarget</v>
      </c>
      <c r="BP123" s="25" t="str">
        <f>IF(
   AND(
      'Base stats'!AK123="Standard",_xlfn.XLOOKUP(_xlfn.XLOOKUP(B123,'Base stats'!B:B,'Base stats'!E:E),Groups!A:A,Groups!AU:AU)=0,
      OR(
      BN123="True"
      )
   ),
   10,
   IF(
       OR(BL123&lt;&gt;"No",_xlfn.XLOOKUP(_xlfn.XLOOKUP(B123,'Base stats'!B:B,'Base stats'!E:E),Groups!A:A,Groups!AU:AU)=1),
      1,
      "No"
   )
)</f>
        <v>No</v>
      </c>
      <c r="BQ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stats'!AS:AS) * 1.8) * 2) * 2.5 + 10 + I123 * 2,5)+IF(_xlfn.XLOOKUP(B123,'Base stats'!B:B,'Base stats'!AH:AH)=1,50,0)</f>
        <v>205</v>
      </c>
      <c r="BR123" s="8">
        <f t="shared" si="12"/>
        <v>1</v>
      </c>
      <c r="BS123" s="8" t="str">
        <f>_xlfn.XLOOKUP(B123,'Base stats'!B:B,'Base stats'!AD:AD)</f>
        <v>2~6</v>
      </c>
      <c r="BT123" s="2" t="str">
        <f>IF(AND(J123&lt;=0.95,OR(_xlfn.XLOOKUP(B123,'Base stats'!B:B,'Base stats'!AH:AH)=1,_xlfn.XLOOKUP(B123,'Base stats'!B:B,'Base stats'!Y:Y)="Carnivore",_xlfn.XLOOKUP(B123,'Base stats'!B:B,'Base stats'!Y:Y)="Omnivore",BD123&gt;0.1)),"true","false")</f>
        <v>true</v>
      </c>
      <c r="BU123" s="2" t="str">
        <f>IF(_xlfn.XLOOKUP(B123,'Base stats'!B:B,'Base stats'!AF:AF)=1,"true","false")</f>
        <v>false</v>
      </c>
      <c r="BV123" s="25" t="str">
        <f>IF(E123="BaseInsect","AnimalInsect",
IF(J123&gt;0.95,"AnimalExotic",
_xlfn.TEXTJOIN(", ",TRUE,
IF(OR(_xlfn.XLOOKUP(B123,'Base stats'!B:B,'Base stats'!AJ:AJ)=1,AND(_xlfn.XLOOKUP(B123,'Base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stats'!AH:AH)=1,AND(BH123&lt;&gt;"None",BQ123&gt;=60),ISNUMBER(SEARCH("Attack target",BO123))),"AnimalFighter","")
)))</f>
        <v>AnimalUncommon, AnimalFighter</v>
      </c>
      <c r="BW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),_xlfn.XLOOKUP(B123,B:B,BW:BW))</f>
        <v>AridShrubland Desert Grasslands LavaField</v>
      </c>
      <c r="BX123" s="25" t="str">
        <f>IF(_xlfn.XLOOKUP(B123,'Base stats'!B:B,'Base stats'!AG:AG)=1,"true","false")</f>
        <v>false</v>
      </c>
      <c r="BY123" s="25">
        <f>IF(_xlfn.XLOOKUP(B123,'Base stats'!B:B,'Base stats'!N:N)=1,"No",MAX(0.01,MIN(MROUND(IF(OR(_xlfn.XLOOKUP(B123,'Base stats'!B:B,'Base stats'!AJ:AJ)=1,AND(BI123="True",CB123="False")),POWER(10,3.47*LOG10(_xlfn.XLOOKUP(B123,'Base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stats'!AH:AH)=1),0.5,1)/100,0.025),1)))</f>
        <v>0.05</v>
      </c>
      <c r="BZ123" s="25" t="str">
        <f>IF(P123="Standard","No",MAX(0.01,IF(_xlfn.XLOOKUP(B123,'Base stats'!B:B,'Base stats'!N:N)=0,MROUND(BY123*P123,0.05),MIN(1,MAX(0.025,MROUND(IF(OR(CB123="true",AND(BI123="false",BN123="false")),POWER(10,4.15*LOG10(_xlfn.XLOOKUP(B123,'Base stats'!B:B,'Base stats'!C:C)*1000)^-0.73),POWER(10,3.47*LOG10(_xlfn.XLOOKUP(B123,'Base stats'!B:B,'Base stats'!C:C)*1000)^-0.96))*IF(_xlfn.XLOOKUP(B123,'Base stats'!B:B,'Base stats'!AH:AH)=1,0.5,1)/100,0.025))))))</f>
        <v>No</v>
      </c>
      <c r="CA123" s="25" t="str">
        <f>IF(_xlfn.XLOOKUP(_xlfn.XLOOKUP(B123,'Base stats'!B:B,'Base stats'!E:E),Groups!A:A,Groups!AJ:AJ)="Mammal","True","False")</f>
        <v>True</v>
      </c>
      <c r="CB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C123" s="25" t="str">
        <f t="shared" si="13"/>
        <v>False</v>
      </c>
      <c r="CD123" s="25" t="str">
        <f>IF(_xlfn.XLOOKUP(_xlfn.XLOOKUP(B123,'Base stats'!B:B,'Base stats'!E:E),Groups!A:A,Groups!AX:AX),"True","False")</f>
        <v>False</v>
      </c>
      <c r="CE123" s="25" t="str">
        <f>IF(_xlfn.XLOOKUP(_xlfn.XLOOKUP(B123,'Base stats'!B:B,'Base stats'!E:E),Groups!A:A,Groups!AY:AY),"True","False")</f>
        <v>False</v>
      </c>
      <c r="CF123" s="25" t="str">
        <f>IF(_xlfn.XLOOKUP(_xlfn.XLOOKUP(B123,'Base stats'!B:B,'Base stats'!E:E),Groups!A:A,Groups!AW:AW),"True","False")</f>
        <v>False</v>
      </c>
      <c r="CG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H123" s="25" t="str">
        <f>IF(_xlfn.XLOOKUP(_xlfn.XLOOKUP(B123,'Base stats'!B:B,'Base stats'!E:E),Groups!A:A,Groups!BB:BB),"True","False")</f>
        <v>True</v>
      </c>
      <c r="CI123" s="25" t="str">
        <f>IF(_xlfn.XLOOKUP(_xlfn.XLOOKUP(B123,'Base stats'!B:B,'Base stats'!E:E),Groups!A:A,Groups!BA:BA),"True","False")</f>
        <v>False</v>
      </c>
    </row>
    <row r="124" spans="1:87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stats'!AI:AI)=0,BH124="None",_xlfn.XLOOKUP(_xlfn.XLOOKUP(B124,'Base stats'!B:B,'Base stats'!E:E),Groups!A:A,Groups!B:B)=0), (18 + BQ124 * 2.7) * 0.5,
    IF(AND(_xlfn.XLOOKUP(B124,'Base stats'!B:B,'Base stats'!AI:AI)=0,OR(AO124&lt;0.55,AND(BH124="Intermediate",_xlfn.XLOOKUP(_xlfn.XLOOKUP(B124,'Base stats'!B:B,'Base stats'!E:E),Groups!A:A,Groups!B:B)&lt;2))), (18 + BQ124 * 2.7),
      IF(OR(BH124="Advanced",_xlfn.XLOOKUP(B124,'Base stats'!B:B,'Base stats'!AI:AI)=1,_xlfn.XLOOKUP(_xlfn.XLOOKUP(B124,'Base stats'!B:B,'Base stats'!E:E),Groups!A:A,Groups!B:B)=2), (18 + BQ124 * 2.7) + 250, (18 + BQ124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IF(_xlfn.XLOOKUP(B124,'Base stats'!B:B,'Base stats'!AI:AI)=1,0.99,MIN(MROUND((1-0.6282*EXP(-0.459*AO124))*_xlfn.XLOOKUP(_xlfn.XLOOKUP(B124,'Base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W124)),ISNUMBER(SEARCH("IceSheet",BW124))),-50,IF(OR(ISNUMBER(SEARCH("GlacialPlain",BW124)),ISNUMBER(SEARCH("Tundra",BW124))),-40,IF(OR(ISNUMBER(SEARCH("Alpine",BW124)),ISNUMBER(SEARCH("BorealForest",BW124)),ISNUMBER(SEARCH("ColdBog",BW124))),-30,IF(OR(ISNUMBER(SEARCH("TemperateForest",BW124)),ISNUMBER(SEARCH("TemperateSwamp",BW124))),-20,IF(_xlfn.XLOOKUP(_xlfn.XLOOKUP(B124,'Base stats'!B:B,'Base stats'!E:E),Groups!A:A,Groups!F:F)=1,-15,IF(OR(ISNUMBER(SEARCH("Desert",BW124)),ISNUMBER(SEARCH("ExtremeDesert",BW124))),-10,IF(OR(ISNUMBER(SEARCH("Grasslands",BW124)),ISNUMBER(SEARCH("TropicalRainforest",BW124)),ISNUMBER(SEARCH("TropicalSwamp",BW124))),10,0)))))))-IF(CB124="False",MIN(IFERROR(MAX(MROUND(LOG10(_xlfn.XLOOKUP(B124,'Base stats'!B:B,'Base stats'!C:C)^(2/3))*10,5),5),5),30))-_xlfn.XLOOKUP(B124,'Base stats'!B:B,'Base stats'!P:P)+IF(CB124="True",5,0)</f>
        <v>-5</v>
      </c>
      <c r="M124" s="2">
        <f>IF(OR(_xlfn.XLOOKUP(_xlfn.XLOOKUP(B124,'Base stats'!B:B,'Base stats'!E:E),Groups!A:A,Groups!G:G)=2,ISNUMBER(SEARCH("Desert",BW124)),ISNUMBER(SEARCH("ExtremeDesert",BW124)),ISNUMBER(SEARCH("LavaField",BW124))),50,IF(ISNUMBER(SEARCH("Grasslands",BW124)),45,IF(OR(_xlfn.XLOOKUP(_xlfn.XLOOKUP(B124,'Base stats'!B:B,'Base stats'!E:E),Groups!A:A,Groups!G:G)=1,ISNUMBER(SEARCH("TropicalRainforest",BW124)),ISNUMBER(SEARCH("TropicalSwamp",BW124))),40,IF(OR(ISNUMBER(SEARCH("TemperateForest",BW124)),ISNUMBER(SEARCH("TemperateSwamp",BW124))),35,IF(OR(ISNUMBER(SEARCH("Alpine",BW124)),ISNUMBER(SEARCH("BorealForest",BW124)),ISNUMBER(SEARCH("ColdBog",BW124))),30,IF(ISNUMBER(OR(ISNUMBER(SEARCH("GlacialPlain",BW124)),SEARCH("Tundra",BW124))),25,IF(OR(ISNUMBER(SEARCH("SeaIce",BW124)),ISNUMBER(SEARCH("IceSheet",BW124)),ISNUMBER(SEARCH("TropicalSwamp",BW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stats'!AO:AO))*(AO124^0.5)+(_xlfn.XLOOKUP(B124,'Base stats'!B:B,'Base stats'!AO:AO)/1000)^(2/3)+_xlfn.XLOOKUP(B124,'Base stats'!B:B,'Base stats'!AX:AX)/2)+0.5,0.5)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stats'!AP:AP))*(AO124^0.5)+(_xlfn.XLOOKUP(B124,'Base stats'!B:B,'Base stats'!AP:AP)/1000)^(2/3)+_xlfn.XLOOKUP(B124,'Base stats'!B:B,'Base stats'!AX:AX))+_xlfn.XLOOKUP(B124,'Base stats'!B:B,'Base stats'!AV:AV)+0.5,0.5))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stats'!AR:AR))*(AO124^0.5)+(_xlfn.XLOOKUP(B124,'Base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stats'!AQ:AQ)="No","No",MROUND((LOG10(_xlfn.XLOOKUP(B124,'Base stats'!B:B,'Base stats'!AQ:AQ))*(AO124^0.75)+(_xlfn.XLOOKUP(B124,'Base stats'!B:B,'Base stats'!AQ:AQ)/1000)^(2/3)+_xlfn.XLOOKUP(B124,'Base stats'!B:B,'Base stats'!AU:AU)+_xlfn.XLOOKUP(B124,'Base stats'!B:B,'Base stats'!AX:AX))+0.5,0.5))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stats'!AP:AP))*(AO124^0.75)+(_xlfn.XLOOKUP(B124,'Base stats'!B:B,'Base stats'!AP:AP)/1000)^(2/3)+_xlfn.XLOOKUP(B124,'Base stats'!B:B,'Base stats'!AV:AV)+_xlfn.XLOOKUP(B124,'Base stats'!B:B,'Base stats'!AX:AX))+0.5,0.5))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MAX(0.01,MROUND(IF(CB124="True",0.196*(AO124*100*1000)^0.889,IF(_xlfn.XLOOKUP(_xlfn.XLOOKUP(B124,'Base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stats'!AE:AE)</f>
        <v>Leather_Lizard</v>
      </c>
      <c r="BB124" s="23" t="str">
        <f>_xlfn.XLOOKUP(_xlfn.XLOOKUP(B124,'Base stats'!B:B,'Base stats'!E:E),Groups!A:A,Groups!AL:AL)</f>
        <v>QuadrupedAnimalWithClawsTailAndJowl</v>
      </c>
      <c r="BC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D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E124" s="2" t="str">
        <f>IF(J124&gt;0.3,"No",_xlfn.XLOOKUP(_xlfn.XLOOKUP(Animals!B124,'Base stats'!B:B,'Base stats'!E:E),Groups!A:A,Groups!AP:AP))</f>
        <v>No</v>
      </c>
      <c r="BF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+ 24*(1-IF(BE124="No",0,BE124)) + 16/3, 12),"No")</f>
        <v>No</v>
      </c>
      <c r="BG124" s="2">
        <f>IF(AND(_xlfn.XLOOKUP(_xlfn.XLOOKUP(B124,'Base stats'!B:B,'Base stats'!E:E),Groups!A:A,Groups!AQ:AQ)=1,AO124&lt;=0.35),8,12)</f>
        <v>12</v>
      </c>
      <c r="BH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I124" s="2" t="str">
        <f>IF(AND(_xlfn.XLOOKUP(_xlfn.XLOOKUP(B124,'Base stats'!B:B,'Base stats'!E:E),Groups!A:A,Groups!AS:AS)=1,OR('Base stats'!Y124="Carnivore",'Base stats'!Y124="Omnivore")),"true","false")</f>
        <v>true</v>
      </c>
      <c r="BJ124" s="2">
        <f>IF(BI124="true",MROUND(IF(AND(AO124&gt;0.5,OR(_xlfn.XLOOKUP(_xlfn.XLOOKUP(B124,'Base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K124" s="2">
        <f t="shared" si="10"/>
        <v>1</v>
      </c>
      <c r="BL124" s="25" t="str">
        <f>IF(_xlfn.XLOOKUP(B124,'Base stats'!B:B,'Base stats'!AK:AK)="Standard","No",MROUND((_xlfn.XLOOKUP(B124,'Base stats'!B:B,'Base stats'!AK:AK)/3.6)/I124,0.1))</f>
        <v>No</v>
      </c>
      <c r="BM124" s="25" t="str">
        <f t="shared" si="11"/>
        <v>false</v>
      </c>
      <c r="BN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O124" s="25" t="str" cm="1">
        <f t="array" ref="BO124">IF(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 = "",
  "No",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
)</f>
        <v>No</v>
      </c>
      <c r="BP124" s="25" t="str">
        <f>IF(
   AND(
      'Base stats'!AK124="Standard",_xlfn.XLOOKUP(_xlfn.XLOOKUP(B124,'Base stats'!B:B,'Base stats'!E:E),Groups!A:A,Groups!AU:AU)=0,
      OR(
      BN124="True"
      )
   ),
   10,
   IF(
       OR(BL124&lt;&gt;"No",_xlfn.XLOOKUP(_xlfn.XLOOKUP(B124,'Base stats'!B:B,'Base stats'!E:E),Groups!A:A,Groups!AU:AU)=1),
      1,
      "No"
   )
)</f>
        <v>No</v>
      </c>
      <c r="BQ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stats'!AS:AS) * 1.8) * 2) * 2.5 + 10 + I124 * 2,5)+IF(_xlfn.XLOOKUP(B124,'Base stats'!B:B,'Base stats'!AH:AH)=1,50,0)</f>
        <v>25</v>
      </c>
      <c r="BR124" s="8">
        <f t="shared" si="12"/>
        <v>0.05</v>
      </c>
      <c r="BS124" s="8" t="str">
        <f>_xlfn.XLOOKUP(B124,'Base stats'!B:B,'Base stats'!AD:AD)</f>
        <v>No</v>
      </c>
      <c r="BT124" s="2" t="str">
        <f>IF(AND(J124&lt;=0.95,OR(_xlfn.XLOOKUP(B124,'Base stats'!B:B,'Base stats'!AH:AH)=1,_xlfn.XLOOKUP(B124,'Base stats'!B:B,'Base stats'!Y:Y)="Carnivore",_xlfn.XLOOKUP(B124,'Base stats'!B:B,'Base stats'!Y:Y)="Omnivore",BD124&gt;0.1)),"true","false")</f>
        <v>true</v>
      </c>
      <c r="BU124" s="2" t="str">
        <f>IF(_xlfn.XLOOKUP(B124,'Base stats'!B:B,'Base stats'!AF:AF)=1,"true","false")</f>
        <v>false</v>
      </c>
      <c r="BV124" s="25" t="str">
        <f>IF(E124="BaseInsect","AnimalInsect",
IF(J124&gt;0.95,"AnimalExotic",
_xlfn.TEXTJOIN(", ",TRUE,
IF(OR(_xlfn.XLOOKUP(B124,'Base stats'!B:B,'Base stats'!AJ:AJ)=1,AND(_xlfn.XLOOKUP(B124,'Base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stats'!AH:AH)=1,AND(BH124&lt;&gt;"None",BQ124&gt;=60),ISNUMBER(SEARCH("Attack target",BO124))),"AnimalFighter","")
)))</f>
        <v>AnimalUncommon</v>
      </c>
      <c r="BW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),_xlfn.XLOOKUP(B124,B:B,BW:BW))</f>
        <v>AridShrubland Desert ExtremeDesert LavaField</v>
      </c>
      <c r="BX124" s="25" t="str">
        <f>IF(_xlfn.XLOOKUP(B124,'Base stats'!B:B,'Base stats'!AG:AG)=1,"true","false")</f>
        <v>false</v>
      </c>
      <c r="BY124" s="25">
        <f>IF(_xlfn.XLOOKUP(B124,'Base stats'!B:B,'Base stats'!N:N)=1,"No",MAX(0.01,MIN(MROUND(IF(OR(_xlfn.XLOOKUP(B124,'Base stats'!B:B,'Base stats'!AJ:AJ)=1,AND(BI124="True",CB124="False")),POWER(10,3.47*LOG10(_xlfn.XLOOKUP(B124,'Base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stats'!AH:AH)=1),0.5,1)/100,0.025),1)))</f>
        <v>0.65</v>
      </c>
      <c r="BZ124" s="25" t="str">
        <f>IF(P124="Standard","No",MAX(0.01,IF(_xlfn.XLOOKUP(B124,'Base stats'!B:B,'Base stats'!N:N)=0,MROUND(BY124*P124,0.05),MIN(1,MAX(0.025,MROUND(IF(OR(CB124="true",AND(BI124="false",BN124="false")),POWER(10,4.15*LOG10(_xlfn.XLOOKUP(B124,'Base stats'!B:B,'Base stats'!C:C)*1000)^-0.73),POWER(10,3.47*LOG10(_xlfn.XLOOKUP(B124,'Base stats'!B:B,'Base stats'!C:C)*1000)^-0.96))*IF(_xlfn.XLOOKUP(B124,'Base stats'!B:B,'Base stats'!AH:AH)=1,0.5,1)/100,0.025))))))</f>
        <v>No</v>
      </c>
      <c r="CA124" s="25" t="str">
        <f>IF(_xlfn.XLOOKUP(_xlfn.XLOOKUP(B124,'Base stats'!B:B,'Base stats'!E:E),Groups!A:A,Groups!AJ:AJ)="Mammal","True","False")</f>
        <v>False</v>
      </c>
      <c r="CB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C124" s="25" t="str">
        <f t="shared" si="13"/>
        <v>False</v>
      </c>
      <c r="CD124" s="25" t="str">
        <f>IF(_xlfn.XLOOKUP(_xlfn.XLOOKUP(B124,'Base stats'!B:B,'Base stats'!E:E),Groups!A:A,Groups!AX:AX),"True","False")</f>
        <v>False</v>
      </c>
      <c r="CE124" s="25" t="str">
        <f>IF(_xlfn.XLOOKUP(_xlfn.XLOOKUP(B124,'Base stats'!B:B,'Base stats'!E:E),Groups!A:A,Groups!AY:AY),"True","False")</f>
        <v>False</v>
      </c>
      <c r="CF124" s="25" t="str">
        <f>IF(_xlfn.XLOOKUP(_xlfn.XLOOKUP(B124,'Base stats'!B:B,'Base stats'!E:E),Groups!A:A,Groups!AW:AW),"True","False")</f>
        <v>False</v>
      </c>
      <c r="CG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H124" s="25" t="str">
        <f>IF(_xlfn.XLOOKUP(_xlfn.XLOOKUP(B124,'Base stats'!B:B,'Base stats'!E:E),Groups!A:A,Groups!BB:BB),"True","False")</f>
        <v>False</v>
      </c>
      <c r="CI124" s="25" t="str">
        <f>IF(_xlfn.XLOOKUP(_xlfn.XLOOKUP(B124,'Base stats'!B:B,'Base stats'!E:E),Groups!A:A,Groups!BA:BA),"True","False")</f>
        <v>False</v>
      </c>
    </row>
    <row r="125" spans="1:87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stats'!AI:AI)=0,BH125="None",_xlfn.XLOOKUP(_xlfn.XLOOKUP(B125,'Base stats'!B:B,'Base stats'!E:E),Groups!A:A,Groups!B:B)=0), (18 + BQ125 * 2.7) * 0.5,
    IF(AND(_xlfn.XLOOKUP(B125,'Base stats'!B:B,'Base stats'!AI:AI)=0,OR(AO125&lt;0.55,AND(BH125="Intermediate",_xlfn.XLOOKUP(_xlfn.XLOOKUP(B125,'Base stats'!B:B,'Base stats'!E:E),Groups!A:A,Groups!B:B)&lt;2))), (18 + BQ125 * 2.7),
      IF(OR(BH125="Advanced",_xlfn.XLOOKUP(B125,'Base stats'!B:B,'Base stats'!AI:AI)=1,_xlfn.XLOOKUP(_xlfn.XLOOKUP(B125,'Base stats'!B:B,'Base stats'!E:E),Groups!A:A,Groups!B:B)=2), (18 + BQ125 * 2.7) + 250, (18 + BQ125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IF(_xlfn.XLOOKUP(B125,'Base stats'!B:B,'Base stats'!AI:AI)=1,0.99,MIN(MROUND((1-0.6282*EXP(-0.459*AO125))*_xlfn.XLOOKUP(_xlfn.XLOOKUP(B125,'Base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W125)),ISNUMBER(SEARCH("IceSheet",BW125))),-50,IF(OR(ISNUMBER(SEARCH("GlacialPlain",BW125)),ISNUMBER(SEARCH("Tundra",BW125))),-40,IF(OR(ISNUMBER(SEARCH("Alpine",BW125)),ISNUMBER(SEARCH("BorealForest",BW125)),ISNUMBER(SEARCH("ColdBog",BW125))),-30,IF(OR(ISNUMBER(SEARCH("TemperateForest",BW125)),ISNUMBER(SEARCH("TemperateSwamp",BW125))),-20,IF(_xlfn.XLOOKUP(_xlfn.XLOOKUP(B125,'Base stats'!B:B,'Base stats'!E:E),Groups!A:A,Groups!F:F)=1,-15,IF(OR(ISNUMBER(SEARCH("Desert",BW125)),ISNUMBER(SEARCH("ExtremeDesert",BW125))),-10,IF(OR(ISNUMBER(SEARCH("Grasslands",BW125)),ISNUMBER(SEARCH("TropicalRainforest",BW125)),ISNUMBER(SEARCH("TropicalSwamp",BW125))),10,0)))))))-IF(CB125="False",MIN(IFERROR(MAX(MROUND(LOG10(_xlfn.XLOOKUP(B125,'Base stats'!B:B,'Base stats'!C:C)^(2/3))*10,5),5),5),30))-_xlfn.XLOOKUP(B125,'Base stats'!B:B,'Base stats'!P:P)+IF(CB125="True",5,0)</f>
        <v>-50</v>
      </c>
      <c r="M125" s="2">
        <f>IF(OR(_xlfn.XLOOKUP(_xlfn.XLOOKUP(B125,'Base stats'!B:B,'Base stats'!E:E),Groups!A:A,Groups!G:G)=2,ISNUMBER(SEARCH("Desert",BW125)),ISNUMBER(SEARCH("ExtremeDesert",BW125)),ISNUMBER(SEARCH("LavaField",BW125))),50,IF(ISNUMBER(SEARCH("Grasslands",BW125)),45,IF(OR(_xlfn.XLOOKUP(_xlfn.XLOOKUP(B125,'Base stats'!B:B,'Base stats'!E:E),Groups!A:A,Groups!G:G)=1,ISNUMBER(SEARCH("TropicalRainforest",BW125)),ISNUMBER(SEARCH("TropicalSwamp",BW125))),40,IF(OR(ISNUMBER(SEARCH("TemperateForest",BW125)),ISNUMBER(SEARCH("TemperateSwamp",BW125))),35,IF(OR(ISNUMBER(SEARCH("Alpine",BW125)),ISNUMBER(SEARCH("BorealForest",BW125)),ISNUMBER(SEARCH("ColdBog",BW125))),30,IF(ISNUMBER(OR(ISNUMBER(SEARCH("GlacialPlain",BW125)),SEARCH("Tundra",BW125))),25,IF(OR(ISNUMBER(SEARCH("SeaIce",BW125)),ISNUMBER(SEARCH("IceSheet",BW125)),ISNUMBER(SEARCH("TropicalSwamp",BW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stats'!AO:AO))*(AO125^0.5)+(_xlfn.XLOOKUP(B125,'Base stats'!B:B,'Base stats'!AO:AO)/1000)^(2/3)+_xlfn.XLOOKUP(B125,'Base stats'!B:B,'Base stats'!AX:AX)/2)+0.5,0.5)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stats'!AP:AP))*(AO125^0.5)+(_xlfn.XLOOKUP(B125,'Base stats'!B:B,'Base stats'!AP:AP)/1000)^(2/3)+_xlfn.XLOOKUP(B125,'Base stats'!B:B,'Base stats'!AX:AX))+_xlfn.XLOOKUP(B125,'Base stats'!B:B,'Base stats'!AV:AV)+0.5,0.5))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stats'!AR:AR))*(AO125^0.5)+(_xlfn.XLOOKUP(B125,'Base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stats'!AQ:AQ)="No","No",MROUND((LOG10(_xlfn.XLOOKUP(B125,'Base stats'!B:B,'Base stats'!AQ:AQ))*(AO125^0.75)+(_xlfn.XLOOKUP(B125,'Base stats'!B:B,'Base stats'!AQ:AQ)/1000)^(2/3)+_xlfn.XLOOKUP(B125,'Base stats'!B:B,'Base stats'!AU:AU)+_xlfn.XLOOKUP(B125,'Base stats'!B:B,'Base stats'!AX:AX))+0.5,0.5))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stats'!AP:AP))*(AO125^0.75)+(_xlfn.XLOOKUP(B125,'Base stats'!B:B,'Base stats'!AP:AP)/1000)^(2/3)+_xlfn.XLOOKUP(B125,'Base stats'!B:B,'Base stats'!AV:AV)+_xlfn.XLOOKUP(B125,'Base stats'!B:B,'Base stats'!AX:AX))+0.5,0.5))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MAX(0.01,MROUND(IF(CB125="True",0.196*(AO125*100*1000)^0.889,IF(_xlfn.XLOOKUP(_xlfn.XLOOKUP(B125,'Base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stats'!AE:AE)</f>
        <v>Leather_Camel</v>
      </c>
      <c r="BB125" s="23" t="str">
        <f>_xlfn.XLOOKUP(_xlfn.XLOOKUP(B125,'Base stats'!B:B,'Base stats'!E:E),Groups!A:A,Groups!AL:AL)</f>
        <v>QuadrupedAnimalWithHoovesAndHump</v>
      </c>
      <c r="BC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D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E125" s="2" t="str">
        <f>IF(J125&gt;0.3,"No",_xlfn.XLOOKUP(_xlfn.XLOOKUP(Animals!B125,'Base stats'!B:B,'Base stats'!E:E),Groups!A:A,Groups!AP:AP))</f>
        <v>No</v>
      </c>
      <c r="BF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+ 24*(1-IF(BE125="No",0,BE125)) + 16/3, 12),"No")</f>
        <v>No</v>
      </c>
      <c r="BG125" s="2">
        <f>IF(AND(_xlfn.XLOOKUP(_xlfn.XLOOKUP(B125,'Base stats'!B:B,'Base stats'!E:E),Groups!A:A,Groups!AQ:AQ)=1,AO125&lt;=0.35),8,12)</f>
        <v>12</v>
      </c>
      <c r="BH125" s="2" t="str">
        <f>IF(_xlfn.XLOOKUP(_xlfn.XLOOKUP(B125,'Base stats'!B:B,'Base stats'!E:E),Groups!A:A,Groups!D:D)=0,_xlfn.XLOOKUP(_xlfn.XLOOKUP(B125,'Base stats'!B:B,'Base stats'!E:E),Groups!A:A,Groups!AR:AR),"None")</f>
        <v>None</v>
      </c>
      <c r="BI125" s="2" t="str">
        <f>IF(AND(_xlfn.XLOOKUP(_xlfn.XLOOKUP(B125,'Base stats'!B:B,'Base stats'!E:E),Groups!A:A,Groups!AS:AS)=1,OR('Base stats'!Y125="Carnivore",'Base stats'!Y125="Omnivore")),"true","false")</f>
        <v>false</v>
      </c>
      <c r="BJ125" s="2" t="str">
        <f>IF(BI125="true",MROUND(IF(AND(AO125&gt;0.5,OR(_xlfn.XLOOKUP(_xlfn.XLOOKUP(B125,'Base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K125" s="2">
        <f t="shared" si="10"/>
        <v>0</v>
      </c>
      <c r="BL125" s="25" t="str">
        <f>IF(_xlfn.XLOOKUP(B125,'Base stats'!B:B,'Base stats'!AK:AK)="Standard","No",MROUND((_xlfn.XLOOKUP(B125,'Base stats'!B:B,'Base stats'!AK:AK)/3.6)/I125,0.1))</f>
        <v>No</v>
      </c>
      <c r="BM125" s="25" t="str">
        <f t="shared" si="11"/>
        <v>false</v>
      </c>
      <c r="BN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O125" s="25" t="str" cm="1">
        <f t="array" ref="BO125">IF(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 = "",
  "No",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
)</f>
        <v>No</v>
      </c>
      <c r="BP125" s="25" t="str">
        <f>IF(
   AND(
      'Base stats'!AK125="Standard",_xlfn.XLOOKUP(_xlfn.XLOOKUP(B125,'Base stats'!B:B,'Base stats'!E:E),Groups!A:A,Groups!AU:AU)=0,
      OR(
      BN125="True"
      )
   ),
   10,
   IF(
       OR(BL125&lt;&gt;"No",_xlfn.XLOOKUP(_xlfn.XLOOKUP(B125,'Base stats'!B:B,'Base stats'!E:E),Groups!A:A,Groups!AU:AU)=1),
      1,
      "No"
   )
)</f>
        <v>No</v>
      </c>
      <c r="BQ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stats'!AS:AS) * 1.8) * 2) * 2.5 + 10 + I125 * 2,5)+IF(_xlfn.XLOOKUP(B125,'Base stats'!B:B,'Base stats'!AH:AH)=1,50,0)</f>
        <v>205</v>
      </c>
      <c r="BR125" s="8">
        <f t="shared" si="12"/>
        <v>1.5</v>
      </c>
      <c r="BS125" s="8" t="str">
        <f>_xlfn.XLOOKUP(B125,'Base stats'!B:B,'Base stats'!AD:AD)</f>
        <v>3~10</v>
      </c>
      <c r="BT125" s="2" t="str">
        <f>IF(AND(J125&lt;=0.95,OR(_xlfn.XLOOKUP(B125,'Base stats'!B:B,'Base stats'!AH:AH)=1,_xlfn.XLOOKUP(B125,'Base stats'!B:B,'Base stats'!Y:Y)="Carnivore",_xlfn.XLOOKUP(B125,'Base stats'!B:B,'Base stats'!Y:Y)="Omnivore",BD125&gt;0.1)),"true","false")</f>
        <v>false</v>
      </c>
      <c r="BU125" s="2" t="str">
        <f>IF(_xlfn.XLOOKUP(B125,'Base stats'!B:B,'Base stats'!AF:AF)=1,"true","false")</f>
        <v>true</v>
      </c>
      <c r="BV125" s="25" t="str">
        <f>IF(E125="BaseInsect","AnimalInsect",
IF(J125&gt;0.95,"AnimalExotic",
_xlfn.TEXTJOIN(", ",TRUE,
IF(OR(_xlfn.XLOOKUP(B125,'Base stats'!B:B,'Base stats'!AJ:AJ)=1,AND(_xlfn.XLOOKUP(B125,'Base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stats'!AH:AH)=1,AND(BH125&lt;&gt;"None",BQ125&gt;=60),ISNUMBER(SEARCH("Attack target",BO125))),"AnimalFighter","")
)))</f>
        <v>AnimalCommon, AnimalFarm</v>
      </c>
      <c r="BW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),_xlfn.XLOOKUP(B125,B:B,BW:BW))</f>
        <v>Alpine</v>
      </c>
      <c r="BX125" s="25" t="str">
        <f>IF(_xlfn.XLOOKUP(B125,'Base stats'!B:B,'Base stats'!AG:AG)=1,"true","false")</f>
        <v>false</v>
      </c>
      <c r="BY125" s="25">
        <f>IF(_xlfn.XLOOKUP(B125,'Base stats'!B:B,'Base stats'!N:N)=1,"No",MAX(0.01,MIN(MROUND(IF(OR(_xlfn.XLOOKUP(B125,'Base stats'!B:B,'Base stats'!AJ:AJ)=1,AND(BI125="True",CB125="False")),POWER(10,3.47*LOG10(_xlfn.XLOOKUP(B125,'Base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stats'!AH:AH)=1),0.5,1)/100,0.025),1)))</f>
        <v>0.15000000000000002</v>
      </c>
      <c r="BZ125" s="25" t="str">
        <f>IF(P125="Standard","No",MAX(0.01,IF(_xlfn.XLOOKUP(B125,'Base stats'!B:B,'Base stats'!N:N)=0,MROUND(BY125*P125,0.05),MIN(1,MAX(0.025,MROUND(IF(OR(CB125="true",AND(BI125="false",BN125="false")),POWER(10,4.15*LOG10(_xlfn.XLOOKUP(B125,'Base stats'!B:B,'Base stats'!C:C)*1000)^-0.73),POWER(10,3.47*LOG10(_xlfn.XLOOKUP(B125,'Base stats'!B:B,'Base stats'!C:C)*1000)^-0.96))*IF(_xlfn.XLOOKUP(B125,'Base stats'!B:B,'Base stats'!AH:AH)=1,0.5,1)/100,0.025))))))</f>
        <v>No</v>
      </c>
      <c r="CA125" s="25" t="str">
        <f>IF(_xlfn.XLOOKUP(_xlfn.XLOOKUP(B125,'Base stats'!B:B,'Base stats'!E:E),Groups!A:A,Groups!AJ:AJ)="Mammal","True","False")</f>
        <v>True</v>
      </c>
      <c r="CB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C125" s="25" t="str">
        <f t="shared" si="13"/>
        <v>False</v>
      </c>
      <c r="CD125" s="25" t="str">
        <f>IF(_xlfn.XLOOKUP(_xlfn.XLOOKUP(B125,'Base stats'!B:B,'Base stats'!E:E),Groups!A:A,Groups!AX:AX),"True","False")</f>
        <v>False</v>
      </c>
      <c r="CE125" s="25" t="str">
        <f>IF(_xlfn.XLOOKUP(_xlfn.XLOOKUP(B125,'Base stats'!B:B,'Base stats'!E:E),Groups!A:A,Groups!AY:AY),"True","False")</f>
        <v>False</v>
      </c>
      <c r="CF125" s="25" t="str">
        <f>IF(_xlfn.XLOOKUP(_xlfn.XLOOKUP(B125,'Base stats'!B:B,'Base stats'!E:E),Groups!A:A,Groups!AW:AW),"True","False")</f>
        <v>False</v>
      </c>
      <c r="CG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H125" s="25" t="str">
        <f>IF(_xlfn.XLOOKUP(_xlfn.XLOOKUP(B125,'Base stats'!B:B,'Base stats'!E:E),Groups!A:A,Groups!BB:BB),"True","False")</f>
        <v>True</v>
      </c>
      <c r="CI125" s="25" t="str">
        <f>IF(_xlfn.XLOOKUP(_xlfn.XLOOKUP(B125,'Base stats'!B:B,'Base stats'!E:E),Groups!A:A,Groups!BA:BA),"True","False")</f>
        <v>False</v>
      </c>
    </row>
    <row r="126" spans="1:87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stats'!AI:AI)=0,BH126="None",_xlfn.XLOOKUP(_xlfn.XLOOKUP(B126,'Base stats'!B:B,'Base stats'!E:E),Groups!A:A,Groups!B:B)=0), (18 + BQ126 * 2.7) * 0.5,
    IF(AND(_xlfn.XLOOKUP(B126,'Base stats'!B:B,'Base stats'!AI:AI)=0,OR(AO126&lt;0.55,AND(BH126="Intermediate",_xlfn.XLOOKUP(_xlfn.XLOOKUP(B126,'Base stats'!B:B,'Base stats'!E:E),Groups!A:A,Groups!B:B)&lt;2))), (18 + BQ126 * 2.7),
      IF(OR(BH126="Advanced",_xlfn.XLOOKUP(B126,'Base stats'!B:B,'Base stats'!AI:AI)=1,_xlfn.XLOOKUP(_xlfn.XLOOKUP(B126,'Base stats'!B:B,'Base stats'!E:E),Groups!A:A,Groups!B:B)=2), (18 + BQ126 * 2.7) + 250, (18 + BQ126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IF(_xlfn.XLOOKUP(B126,'Base stats'!B:B,'Base stats'!AI:AI)=1,0.99,MIN(MROUND((1-0.6282*EXP(-0.459*AO126))*_xlfn.XLOOKUP(_xlfn.XLOOKUP(B126,'Base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W126)),ISNUMBER(SEARCH("IceSheet",BW126))),-50,IF(OR(ISNUMBER(SEARCH("GlacialPlain",BW126)),ISNUMBER(SEARCH("Tundra",BW126))),-40,IF(OR(ISNUMBER(SEARCH("Alpine",BW126)),ISNUMBER(SEARCH("BorealForest",BW126)),ISNUMBER(SEARCH("ColdBog",BW126))),-30,IF(OR(ISNUMBER(SEARCH("TemperateForest",BW126)),ISNUMBER(SEARCH("TemperateSwamp",BW126))),-20,IF(_xlfn.XLOOKUP(_xlfn.XLOOKUP(B126,'Base stats'!B:B,'Base stats'!E:E),Groups!A:A,Groups!F:F)=1,-15,IF(OR(ISNUMBER(SEARCH("Desert",BW126)),ISNUMBER(SEARCH("ExtremeDesert",BW126))),-10,IF(OR(ISNUMBER(SEARCH("Grasslands",BW126)),ISNUMBER(SEARCH("TropicalRainforest",BW126)),ISNUMBER(SEARCH("TropicalSwamp",BW126))),10,0)))))))-IF(CB126="False",MIN(IFERROR(MAX(MROUND(LOG10(_xlfn.XLOOKUP(B126,'Base stats'!B:B,'Base stats'!C:C)^(2/3))*10,5),5),5),30))-_xlfn.XLOOKUP(B126,'Base stats'!B:B,'Base stats'!P:P)+IF(CB126="True",5,0)</f>
        <v>-5</v>
      </c>
      <c r="M126" s="2">
        <f>IF(OR(_xlfn.XLOOKUP(_xlfn.XLOOKUP(B126,'Base stats'!B:B,'Base stats'!E:E),Groups!A:A,Groups!G:G)=2,ISNUMBER(SEARCH("Desert",BW126)),ISNUMBER(SEARCH("ExtremeDesert",BW126)),ISNUMBER(SEARCH("LavaField",BW126))),50,IF(ISNUMBER(SEARCH("Grasslands",BW126)),45,IF(OR(_xlfn.XLOOKUP(_xlfn.XLOOKUP(B126,'Base stats'!B:B,'Base stats'!E:E),Groups!A:A,Groups!G:G)=1,ISNUMBER(SEARCH("TropicalRainforest",BW126)),ISNUMBER(SEARCH("TropicalSwamp",BW126))),40,IF(OR(ISNUMBER(SEARCH("TemperateForest",BW126)),ISNUMBER(SEARCH("TemperateSwamp",BW126))),35,IF(OR(ISNUMBER(SEARCH("Alpine",BW126)),ISNUMBER(SEARCH("BorealForest",BW126)),ISNUMBER(SEARCH("ColdBog",BW126))),30,IF(ISNUMBER(OR(ISNUMBER(SEARCH("GlacialPlain",BW126)),SEARCH("Tundra",BW126))),25,IF(OR(ISNUMBER(SEARCH("SeaIce",BW126)),ISNUMBER(SEARCH("IceSheet",BW126)),ISNUMBER(SEARCH("TropicalSwamp",BW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stats'!AO:AO))*(AO126^0.5)+(_xlfn.XLOOKUP(B126,'Base stats'!B:B,'Base stats'!AO:AO)/1000)^(2/3)+_xlfn.XLOOKUP(B126,'Base stats'!B:B,'Base stats'!AX:AX)/2)+0.5,0.5)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stats'!AP:AP))*(AO126^0.5)+(_xlfn.XLOOKUP(B126,'Base stats'!B:B,'Base stats'!AP:AP)/1000)^(2/3)+_xlfn.XLOOKUP(B126,'Base stats'!B:B,'Base stats'!AX:AX))+_xlfn.XLOOKUP(B126,'Base stats'!B:B,'Base stats'!AV:AV)+0.5,0.5))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stats'!AR:AR))*(AO126^0.5)+(_xlfn.XLOOKUP(B126,'Base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stats'!AQ:AQ)="No","No",MROUND((LOG10(_xlfn.XLOOKUP(B126,'Base stats'!B:B,'Base stats'!AQ:AQ))*(AO126^0.75)+(_xlfn.XLOOKUP(B126,'Base stats'!B:B,'Base stats'!AQ:AQ)/1000)^(2/3)+_xlfn.XLOOKUP(B126,'Base stats'!B:B,'Base stats'!AU:AU)+_xlfn.XLOOKUP(B126,'Base stats'!B:B,'Base stats'!AX:AX))+0.5,0.5))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stats'!AP:AP))*(AO126^0.75)+(_xlfn.XLOOKUP(B126,'Base stats'!B:B,'Base stats'!AP:AP)/1000)^(2/3)+_xlfn.XLOOKUP(B126,'Base stats'!B:B,'Base stats'!AV:AV)+_xlfn.XLOOKUP(B126,'Base stats'!B:B,'Base stats'!AX:AX))+0.5,0.5))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MAX(0.01,MROUND(IF(CB126="True",0.196*(AO126*100*1000)^0.889,IF(_xlfn.XLOOKUP(_xlfn.XLOOKUP(B126,'Base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stats'!AE:AE)</f>
        <v>Leather_Lizard</v>
      </c>
      <c r="BB126" s="23" t="str">
        <f>_xlfn.XLOOKUP(_xlfn.XLOOKUP(B126,'Base stats'!B:B,'Base stats'!E:E),Groups!A:A,Groups!AL:AL)</f>
        <v>Snake</v>
      </c>
      <c r="BC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D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E126" s="2" t="str">
        <f>IF(J126&gt;0.3,"No",_xlfn.XLOOKUP(_xlfn.XLOOKUP(Animals!B126,'Base stats'!B:B,'Base stats'!E:E),Groups!A:A,Groups!AP:AP))</f>
        <v>No</v>
      </c>
      <c r="BF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+ 24*(1-IF(BE126="No",0,BE126)) + 16/3, 12),"No")</f>
        <v>No</v>
      </c>
      <c r="BG126" s="2">
        <f>IF(AND(_xlfn.XLOOKUP(_xlfn.XLOOKUP(B126,'Base stats'!B:B,'Base stats'!E:E),Groups!A:A,Groups!AQ:AQ)=1,AO126&lt;=0.35),8,12)</f>
        <v>12</v>
      </c>
      <c r="BH126" s="2" t="str">
        <f>IF(_xlfn.XLOOKUP(_xlfn.XLOOKUP(B126,'Base stats'!B:B,'Base stats'!E:E),Groups!A:A,Groups!D:D)=0,_xlfn.XLOOKUP(_xlfn.XLOOKUP(B126,'Base stats'!B:B,'Base stats'!E:E),Groups!A:A,Groups!AR:AR),"None")</f>
        <v>None</v>
      </c>
      <c r="BI126" s="2" t="str">
        <f>IF(AND(_xlfn.XLOOKUP(_xlfn.XLOOKUP(B126,'Base stats'!B:B,'Base stats'!E:E),Groups!A:A,Groups!AS:AS)=1,OR('Base stats'!Y126="Carnivore",'Base stats'!Y126="Omnivore")),"true","false")</f>
        <v>true</v>
      </c>
      <c r="BJ126" s="2">
        <f>IF(BI126="true",MROUND(IF(AND(AO126&gt;0.5,OR(_xlfn.XLOOKUP(_xlfn.XLOOKUP(B126,'Base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K126" s="2">
        <f t="shared" si="10"/>
        <v>0</v>
      </c>
      <c r="BL126" s="25" t="str">
        <f>IF(_xlfn.XLOOKUP(B126,'Base stats'!B:B,'Base stats'!AK:AK)="Standard","No",MROUND((_xlfn.XLOOKUP(B126,'Base stats'!B:B,'Base stats'!AK:AK)/3.6)/I126,0.1))</f>
        <v>No</v>
      </c>
      <c r="BM126" s="25" t="str">
        <f t="shared" si="11"/>
        <v>false</v>
      </c>
      <c r="BN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O126" s="25" t="str" cm="1">
        <f t="array" ref="BO126">IF(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 = "",
  "No",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
)</f>
        <v>No</v>
      </c>
      <c r="BP126" s="25" t="str">
        <f>IF(
   AND(
      'Base stats'!AK126="Standard",_xlfn.XLOOKUP(_xlfn.XLOOKUP(B126,'Base stats'!B:B,'Base stats'!E:E),Groups!A:A,Groups!AU:AU)=0,
      OR(
      BN126="True"
      )
   ),
   10,
   IF(
       OR(BL126&lt;&gt;"No",_xlfn.XLOOKUP(_xlfn.XLOOKUP(B126,'Base stats'!B:B,'Base stats'!E:E),Groups!A:A,Groups!AU:AU)=1),
      1,
      "No"
   )
)</f>
        <v>No</v>
      </c>
      <c r="BQ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stats'!AS:AS) * 1.8) * 2) * 2.5 + 10 + I126 * 2,5)+IF(_xlfn.XLOOKUP(B126,'Base stats'!B:B,'Base stats'!AH:AH)=1,50,0)</f>
        <v>45</v>
      </c>
      <c r="BR126" s="8">
        <f t="shared" si="12"/>
        <v>0.1</v>
      </c>
      <c r="BS126" s="8" t="str">
        <f>_xlfn.XLOOKUP(B126,'Base stats'!B:B,'Base stats'!AD:AD)</f>
        <v>No</v>
      </c>
      <c r="BT126" s="2" t="str">
        <f>IF(AND(J126&lt;=0.95,OR(_xlfn.XLOOKUP(B126,'Base stats'!B:B,'Base stats'!AH:AH)=1,_xlfn.XLOOKUP(B126,'Base stats'!B:B,'Base stats'!Y:Y)="Carnivore",_xlfn.XLOOKUP(B126,'Base stats'!B:B,'Base stats'!Y:Y)="Omnivore",BD126&gt;0.1)),"true","false")</f>
        <v>true</v>
      </c>
      <c r="BU126" s="2" t="str">
        <f>IF(_xlfn.XLOOKUP(B126,'Base stats'!B:B,'Base stats'!AF:AF)=1,"true","false")</f>
        <v>false</v>
      </c>
      <c r="BV126" s="25" t="str">
        <f>IF(E126="BaseInsect","AnimalInsect",
IF(J126&gt;0.95,"AnimalExotic",
_xlfn.TEXTJOIN(", ",TRUE,
IF(OR(_xlfn.XLOOKUP(B126,'Base stats'!B:B,'Base stats'!AJ:AJ)=1,AND(_xlfn.XLOOKUP(B126,'Base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stats'!AH:AH)=1,AND(BH126&lt;&gt;"None",BQ126&gt;=60),ISNUMBER(SEARCH("Attack target",BO126))),"AnimalFighter","")
)))</f>
        <v>AnimalUncommon</v>
      </c>
      <c r="BW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),_xlfn.XLOOKUP(B126,B:B,BW:BW))</f>
        <v>AridShrubland Desert ExtremeDesert LavaField</v>
      </c>
      <c r="BX126" s="25" t="str">
        <f>IF(_xlfn.XLOOKUP(B126,'Base stats'!B:B,'Base stats'!AG:AG)=1,"true","false")</f>
        <v>false</v>
      </c>
      <c r="BY126" s="25">
        <f>IF(_xlfn.XLOOKUP(B126,'Base stats'!B:B,'Base stats'!N:N)=1,"No",MAX(0.01,MIN(MROUND(IF(OR(_xlfn.XLOOKUP(B126,'Base stats'!B:B,'Base stats'!AJ:AJ)=1,AND(BI126="True",CB126="False")),POWER(10,3.47*LOG10(_xlfn.XLOOKUP(B126,'Base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stats'!AH:AH)=1),0.5,1)/100,0.025),1)))</f>
        <v>0.375</v>
      </c>
      <c r="BZ126" s="25" t="str">
        <f>IF(P126="Standard","No",MAX(0.01,IF(_xlfn.XLOOKUP(B126,'Base stats'!B:B,'Base stats'!N:N)=0,MROUND(BY126*P126,0.05),MIN(1,MAX(0.025,MROUND(IF(OR(CB126="true",AND(BI126="false",BN126="false")),POWER(10,4.15*LOG10(_xlfn.XLOOKUP(B126,'Base stats'!B:B,'Base stats'!C:C)*1000)^-0.73),POWER(10,3.47*LOG10(_xlfn.XLOOKUP(B126,'Base stats'!B:B,'Base stats'!C:C)*1000)^-0.96))*IF(_xlfn.XLOOKUP(B126,'Base stats'!B:B,'Base stats'!AH:AH)=1,0.5,1)/100,0.025))))))</f>
        <v>No</v>
      </c>
      <c r="CA126" s="25" t="str">
        <f>IF(_xlfn.XLOOKUP(_xlfn.XLOOKUP(B126,'Base stats'!B:B,'Base stats'!E:E),Groups!A:A,Groups!AJ:AJ)="Mammal","True","False")</f>
        <v>False</v>
      </c>
      <c r="CB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C126" s="25" t="str">
        <f t="shared" si="13"/>
        <v>False</v>
      </c>
      <c r="CD126" s="25" t="str">
        <f>IF(_xlfn.XLOOKUP(_xlfn.XLOOKUP(B126,'Base stats'!B:B,'Base stats'!E:E),Groups!A:A,Groups!AX:AX),"True","False")</f>
        <v>False</v>
      </c>
      <c r="CE126" s="25" t="str">
        <f>IF(_xlfn.XLOOKUP(_xlfn.XLOOKUP(B126,'Base stats'!B:B,'Base stats'!E:E),Groups!A:A,Groups!AY:AY),"True","False")</f>
        <v>False</v>
      </c>
      <c r="CF126" s="25" t="str">
        <f>IF(_xlfn.XLOOKUP(_xlfn.XLOOKUP(B126,'Base stats'!B:B,'Base stats'!E:E),Groups!A:A,Groups!AW:AW),"True","False")</f>
        <v>False</v>
      </c>
      <c r="CG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H126" s="25" t="str">
        <f>IF(_xlfn.XLOOKUP(_xlfn.XLOOKUP(B126,'Base stats'!B:B,'Base stats'!E:E),Groups!A:A,Groups!BB:BB),"True","False")</f>
        <v>False</v>
      </c>
      <c r="CI126" s="25" t="str">
        <f>IF(_xlfn.XLOOKUP(_xlfn.XLOOKUP(B126,'Base stats'!B:B,'Base stats'!E:E),Groups!A:A,Groups!BA:BA),"True","False")</f>
        <v>True</v>
      </c>
    </row>
    <row r="127" spans="1:87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stats'!AI:AI)=0,BH127="None",_xlfn.XLOOKUP(_xlfn.XLOOKUP(B127,'Base stats'!B:B,'Base stats'!E:E),Groups!A:A,Groups!B:B)=0), (18 + BQ127 * 2.7) * 0.5,
    IF(AND(_xlfn.XLOOKUP(B127,'Base stats'!B:B,'Base stats'!AI:AI)=0,OR(AO127&lt;0.55,AND(BH127="Intermediate",_xlfn.XLOOKUP(_xlfn.XLOOKUP(B127,'Base stats'!B:B,'Base stats'!E:E),Groups!A:A,Groups!B:B)&lt;2))), (18 + BQ127 * 2.7),
      IF(OR(BH127="Advanced",_xlfn.XLOOKUP(B127,'Base stats'!B:B,'Base stats'!AI:AI)=1,_xlfn.XLOOKUP(_xlfn.XLOOKUP(B127,'Base stats'!B:B,'Base stats'!E:E),Groups!A:A,Groups!B:B)=2), (18 + BQ127 * 2.7) + 250, (18 + BQ127 * 2.7))
    )
  ))
  + AO127 * 80
  + IF(COUNTIF(EggMilk!K$2:K$998, A127) &gt; 0, 125, 0)
  + IF(COUNTIF(EggMilk!P$2:P$998, A127) &gt; 0, 90, 0)
  + IF(COUNTIF(EggMilk!A$2:A$998, A127) &gt; 0, 90, 0)
)
* (0.8 + 0.4 * J127)
* 0.75,25)</f>
        <v>1250</v>
      </c>
      <c r="I127" s="2">
        <f>MROUND(ROUNDDOWN(_xlfn.XLOOKUP(B127,'Base stats'!B:B,'Base stats'!L:L)/3.6/(23.3/11),1),0.5)</f>
        <v>2</v>
      </c>
      <c r="J127" s="2">
        <f>IF(_xlfn.XLOOKUP(B127,'Base stats'!B:B,'Base stats'!AI:AI)=1,0.99,MIN(MROUND((1-0.6282*EXP(-0.459*AO127))*_xlfn.XLOOKUP(_xlfn.XLOOKUP(B127,'Base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</f>
        <v>0.9</v>
      </c>
      <c r="K127" s="2">
        <f>ROUNDUP(AO127*_xlfn.XLOOKUP(_xlfn.XLOOKUP(B127,'Base stats'!B:B,'Base stats'!E:E),Groups!A:A,Groups!E:E),0)</f>
        <v>3</v>
      </c>
      <c r="L127" s="2">
        <f>IF(OR(_xlfn.XLOOKUP(_xlfn.XLOOKUP(B127,'Base stats'!B:B,'Base stats'!E:E),Groups!A:A,Groups!F:F)=2,ISNUMBER(SEARCH("SeaIce",BW127)),ISNUMBER(SEARCH("IceSheet",BW127))),-50,IF(OR(ISNUMBER(SEARCH("GlacialPlain",BW127)),ISNUMBER(SEARCH("Tundra",BW127))),-40,IF(OR(ISNUMBER(SEARCH("Alpine",BW127)),ISNUMBER(SEARCH("BorealForest",BW127)),ISNUMBER(SEARCH("ColdBog",BW127))),-30,IF(OR(ISNUMBER(SEARCH("TemperateForest",BW127)),ISNUMBER(SEARCH("TemperateSwamp",BW127))),-20,IF(_xlfn.XLOOKUP(_xlfn.XLOOKUP(B127,'Base stats'!B:B,'Base stats'!E:E),Groups!A:A,Groups!F:F)=1,-15,IF(OR(ISNUMBER(SEARCH("Desert",BW127)),ISNUMBER(SEARCH("ExtremeDesert",BW127))),-10,IF(OR(ISNUMBER(SEARCH("Grasslands",BW127)),ISNUMBER(SEARCH("TropicalRainforest",BW127)),ISNUMBER(SEARCH("TropicalSwamp",BW127))),10,0)))))))-IF(CB127="False",MIN(IFERROR(MAX(MROUND(LOG10(_xlfn.XLOOKUP(B127,'Base stats'!B:B,'Base stats'!C:C)^(2/3))*10,5),5),5),30))-_xlfn.XLOOKUP(B127,'Base stats'!B:B,'Base stats'!P:P)+IF(CB127="True",5,0)</f>
        <v>5</v>
      </c>
      <c r="M127" s="2">
        <f>IF(OR(_xlfn.XLOOKUP(_xlfn.XLOOKUP(B127,'Base stats'!B:B,'Base stats'!E:E),Groups!A:A,Groups!G:G)=2,ISNUMBER(SEARCH("Desert",BW127)),ISNUMBER(SEARCH("ExtremeDesert",BW127)),ISNUMBER(SEARCH("LavaField",BW127))),50,IF(ISNUMBER(SEARCH("Grasslands",BW127)),45,IF(OR(_xlfn.XLOOKUP(_xlfn.XLOOKUP(B127,'Base stats'!B:B,'Base stats'!E:E),Groups!A:A,Groups!G:G)=1,ISNUMBER(SEARCH("TropicalRainforest",BW127)),ISNUMBER(SEARCH("TropicalSwamp",BW127))),40,IF(OR(ISNUMBER(SEARCH("TemperateForest",BW127)),ISNUMBER(SEARCH("TemperateSwamp",BW127))),35,IF(OR(ISNUMBER(SEARCH("Alpine",BW127)),ISNUMBER(SEARCH("BorealForest",BW127)),ISNUMBER(SEARCH("ColdBog",BW127))),30,IF(ISNUMBER(OR(ISNUMBER(SEARCH("GlacialPlain",BW127)),SEARCH("Tundra",BW127))),25,IF(OR(ISNUMBER(SEARCH("SeaIce",BW127)),ISNUMBER(SEARCH("IceSheet",BW127)),ISNUMBER(SEARCH("TropicalSwamp",BW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1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stats'!AO:AO))*(AO127^0.5)+(_xlfn.XLOOKUP(B127,'Base stats'!B:B,'Base stats'!AO:AO)/1000)^(2/3)+_xlfn.XLOOKUP(B127,'Base stats'!B:B,'Base stats'!AX:AX)/2)+0.5,0.5)</f>
        <v>14.5</v>
      </c>
      <c r="R127" s="7">
        <f>IF(Q127="No","No",MAX(1,MROUND(_xlfn.XLOOKUP(B127,'Base stats'!B:B,'Base stats'!C:C)^0.165,0.05)))</f>
        <v>2.7</v>
      </c>
      <c r="S127" s="13" t="str">
        <f>IF(_xlfn.XLOOKUP(_xlfn.XLOOKUP(B127,'Base stats'!B:B,'Base stats'!E:E),Groups!A:A,Groups!P:P)=0,"No",MROUND((LOG10(_xlfn.XLOOKUP(B127,'Base stats'!B:B,'Base stats'!AP:AP))*(AO127^0.5)+(_xlfn.XLOOKUP(B127,'Base stats'!B:B,'Base stats'!AP:AP)/1000)^(2/3)+_xlfn.XLOOKUP(B127,'Base stats'!B:B,'Base stats'!AX:AX))+_xlfn.XLOOKUP(B127,'Base stats'!B:B,'Base stats'!AV:AV)+0.5,0.5))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 t="str">
        <f>IF(_xlfn.XLOOKUP(B127,'Base stats'!B:B,'Base stats'!W:W)="No","No",MROUND((LOG10(_xlfn.XLOOKUP(B127,'Base stats'!B:B,'Base stats'!AR:AR))*(AO127^0.5)+(_xlfn.XLOOKUP(B127,'Base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Y127" s="7" t="str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Z127" s="7" t="str">
        <f>IF(X127="No","No",_xlfn.XLOOKUP(_xlfn.XLOOKUP(B127,'Base stats'!B:B,'Base stats'!E:E),Groups!A:A,Groups!W:W))</f>
        <v>No</v>
      </c>
      <c r="AA127" s="7" t="str">
        <f>IF(X127="No","No",_xlfn.XLOOKUP(_xlfn.XLOOKUP(B127,'Base stats'!B:B,'Base stats'!E:E),Groups!A:A,Groups!X:X))</f>
        <v>No</v>
      </c>
      <c r="AB127" s="7" t="str">
        <f>IF(X127="No","No",_xlfn.XLOOKUP(_xlfn.XLOOKUP(B127,'Base stats'!B:B,'Base stats'!E:E),Groups!A:A,Groups!Y:Y))</f>
        <v>No</v>
      </c>
      <c r="AC127" s="7" t="str">
        <f>_xlfn.XLOOKUP(Animals!B127,'Base stats'!B:B,'Base stats'!X:X)</f>
        <v>False</v>
      </c>
      <c r="AD127" s="13">
        <f>IF(_xlfn.XLOOKUP(B127,'Base stats'!B:B,'Base stats'!AQ:AQ)="No","No",MROUND((LOG10(_xlfn.XLOOKUP(B127,'Base stats'!B:B,'Base stats'!AQ:AQ))*(AO127^0.75)+(_xlfn.XLOOKUP(B127,'Base stats'!B:B,'Base stats'!AQ:AQ)/1000)^(2/3)+_xlfn.XLOOKUP(B127,'Base stats'!B:B,'Base stats'!AU:AU)+_xlfn.XLOOKUP(B127,'Base stats'!B:B,'Base stats'!AX:AX))+0.5,0.5))</f>
        <v>42.5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stats'!AP:AP))*(AO127^0.75)+(_xlfn.XLOOKUP(B127,'Base stats'!B:B,'Base stats'!AP:AP)/1000)^(2/3)+_xlfn.XLOOKUP(B127,'Base stats'!B:B,'Base stats'!AV:AV)+_xlfn.XLOOKUP(B127,'Base stats'!B:B,'Base stats'!AX:AX))+0.5,0.5))</f>
        <v>36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2.95</v>
      </c>
      <c r="AK127" s="7" t="str">
        <f>IF(AI127="No","No",_xlfn.XLOOKUP(_xlfn.XLOOKUP(B127,'Base stats'!B:B,'Base stats'!E:E),Groups!A:A,Groups!AF:AF))</f>
        <v>HeadAttackTool</v>
      </c>
      <c r="AL127" s="7" t="str">
        <f>IF(AI127="No","No",_xlfn.XLOOKUP(_xlfn.XLOOKUP(B127,'Base stats'!B:B,'Base stats'!E:E),Groups!A:A,Groups!AG:AG))</f>
        <v>stinger</v>
      </c>
      <c r="AM127" s="7" t="str">
        <f>IF(AI127="No","No",_xlfn.XLOOKUP(_xlfn.XLOOKUP(B127,'Base stats'!B:B,'Base stats'!E:E),Groups!A:A,Groups!AH:AH))</f>
        <v>ScratchToxic</v>
      </c>
      <c r="AN127" s="2">
        <f t="shared" si="7"/>
        <v>30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P127" s="8">
        <f>MROUND(AO127*_xlfn.XLOOKUP(_xlfn.XLOOKUP(B127,'Base stats'!B:B,'Base stats'!E:E),Groups!A:A,Groups!AI:AI),0.05)</f>
        <v>2.75</v>
      </c>
      <c r="AQ127" s="8">
        <f>MAX(0.01,MROUND(IF(CB127="True",0.196*(AO127*100*1000)^0.889,IF(_xlfn.XLOOKUP(_xlfn.XLOOKUP(B127,'Base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0.30000000000000004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U127" s="8">
        <f t="shared" si="8"/>
        <v>0.2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stats'!AE:AE)</f>
        <v>No</v>
      </c>
      <c r="BB127" s="23" t="str">
        <f>_xlfn.XLOOKUP(_xlfn.XLOOKUP(B127,'Base stats'!B:B,'Base stats'!E:E),Groups!A:A,Groups!AL:AL)</f>
        <v>BeetleLike</v>
      </c>
      <c r="BC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D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E127" s="2" t="str">
        <f>IF(J127&gt;0.3,"No",_xlfn.XLOOKUP(_xlfn.XLOOKUP(Animals!B127,'Base stats'!B:B,'Base stats'!E:E),Groups!A:A,Groups!AP:AP))</f>
        <v>No</v>
      </c>
      <c r="BF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+ 24*(1-IF(BE127="No",0,BE127)) + 16/3, 12),"No")</f>
        <v>No</v>
      </c>
      <c r="BG127" s="2">
        <f>IF(AND(_xlfn.XLOOKUP(_xlfn.XLOOKUP(B127,'Base stats'!B:B,'Base stats'!E:E),Groups!A:A,Groups!AQ:AQ)=1,AO127&lt;=0.35),8,12)</f>
        <v>12</v>
      </c>
      <c r="BH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I127" s="2" t="str">
        <f>IF(AND(_xlfn.XLOOKUP(_xlfn.XLOOKUP(B127,'Base stats'!B:B,'Base stats'!E:E),Groups!A:A,Groups!AS:AS)=1,OR('Base stats'!Y127="Carnivore",'Base stats'!Y127="Omnivore")),"true","false")</f>
        <v>true</v>
      </c>
      <c r="BJ127" s="2">
        <f>IF(BI127="true",MROUND(IF(AND(AO127&gt;0.5,OR(_xlfn.XLOOKUP(_xlfn.XLOOKUP(B127,'Base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3</v>
      </c>
      <c r="BK127" s="2">
        <f t="shared" si="10"/>
        <v>1</v>
      </c>
      <c r="BL127" s="25" t="str">
        <f>IF(_xlfn.XLOOKUP(B127,'Base stats'!B:B,'Base stats'!AK:AK)="Standard","No",MROUND((_xlfn.XLOOKUP(B127,'Base stats'!B:B,'Base stats'!AK:AK)/3.6)/I127,0.1))</f>
        <v>No</v>
      </c>
      <c r="BM127" s="25" t="str">
        <f t="shared" si="11"/>
        <v>false</v>
      </c>
      <c r="BN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O127" s="25" t="str" cm="1">
        <f t="array" ref="BO127">IF(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 = "",
  "No",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
)</f>
        <v>AttackTarget, AttackTarget</v>
      </c>
      <c r="BP127" s="25" t="str">
        <f>IF(
   AND(
      'Base stats'!AK127="Standard",_xlfn.XLOOKUP(_xlfn.XLOOKUP(B127,'Base stats'!B:B,'Base stats'!E:E),Groups!A:A,Groups!AU:AU)=0,
      OR(
      BN127="True"
      )
   ),
   10,
   IF(
       OR(BL127&lt;&gt;"No",_xlfn.XLOOKUP(_xlfn.XLOOKUP(B127,'Base stats'!B:B,'Base stats'!E:E),Groups!A:A,Groups!AU:AU)=1),
      1,
      "No"
   )
)</f>
        <v>No</v>
      </c>
      <c r="BQ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stats'!AS:AS) * 1.8) * 2) * 2.5 + 10 + I127 * 2,5)+IF(_xlfn.XLOOKUP(B127,'Base stats'!B:B,'Base stats'!AH:AH)=1,50,0)</f>
        <v>355</v>
      </c>
      <c r="BR127" s="8">
        <f t="shared" si="12"/>
        <v>0.8</v>
      </c>
      <c r="BS127" s="8" t="str">
        <f>_xlfn.XLOOKUP(B127,'Base stats'!B:B,'Base stats'!AD:AD)</f>
        <v>No</v>
      </c>
      <c r="BT127" s="2" t="str">
        <f>IF(AND(J127&lt;=0.95,OR(_xlfn.XLOOKUP(B127,'Base stats'!B:B,'Base stats'!AH:AH)=1,_xlfn.XLOOKUP(B127,'Base stats'!B:B,'Base stats'!Y:Y)="Carnivore",_xlfn.XLOOKUP(B127,'Base stats'!B:B,'Base stats'!Y:Y)="Omnivore",BD127&gt;0.1)),"true","false")</f>
        <v>true</v>
      </c>
      <c r="BU127" s="2" t="str">
        <f>IF(_xlfn.XLOOKUP(B127,'Base stats'!B:B,'Base stats'!AF:AF)=1,"true","false")</f>
        <v>false</v>
      </c>
      <c r="BV127" s="25" t="str">
        <f>IF(E127="BaseInsect","AnimalInsect",
IF(J127&gt;0.95,"AnimalExotic",
_xlfn.TEXTJOIN(", ",TRUE,
IF(OR(_xlfn.XLOOKUP(B127,'Base stats'!B:B,'Base stats'!AJ:AJ)=1,AND(_xlfn.XLOOKUP(B127,'Base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stats'!AH:AH)=1,AND(BH127&lt;&gt;"None",BQ127&gt;=60),ISNUMBER(SEARCH("Attack target",BO127))),"AnimalFighter","")
)))</f>
        <v>AnimalInsect</v>
      </c>
      <c r="BW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),_xlfn.XLOOKUP(B127,B:B,BW:BW))</f>
        <v/>
      </c>
      <c r="BX127" s="25" t="str">
        <f>IF(_xlfn.XLOOKUP(B127,'Base stats'!B:B,'Base stats'!AG:AG)=1,"true","false")</f>
        <v>false</v>
      </c>
      <c r="BY127" s="25">
        <f>IF(_xlfn.XLOOKUP(B127,'Base stats'!B:B,'Base stats'!N:N)=1,"No",MAX(0.01,MIN(MROUND(IF(OR(_xlfn.XLOOKUP(B127,'Base stats'!B:B,'Base stats'!AJ:AJ)=1,AND(BI127="True",CB127="False")),POWER(10,3.47*LOG10(_xlfn.XLOOKUP(B127,'Base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stats'!AH:AH)=1),0.5,1)/100,0.025),1)))</f>
        <v>0.15000000000000002</v>
      </c>
      <c r="BZ127" s="25">
        <f>IF(P127="Standard","No",MAX(0.01,IF(_xlfn.XLOOKUP(B127,'Base stats'!B:B,'Base stats'!N:N)=0,MROUND(BY127*P127,0.05),MIN(1,MAX(0.025,MROUND(IF(OR(CB127="true",AND(BI127="false",BN127="false")),POWER(10,4.15*LOG10(_xlfn.XLOOKUP(B127,'Base stats'!B:B,'Base stats'!C:C)*1000)^-0.73),POWER(10,3.47*LOG10(_xlfn.XLOOKUP(B127,'Base stats'!B:B,'Base stats'!C:C)*1000)^-0.96))*IF(_xlfn.XLOOKUP(B127,'Base stats'!B:B,'Base stats'!AH:AH)=1,0.5,1)/100,0.025))))))</f>
        <v>0.15000000000000002</v>
      </c>
      <c r="CA127" s="25" t="str">
        <f>IF(_xlfn.XLOOKUP(_xlfn.XLOOKUP(B127,'Base stats'!B:B,'Base stats'!E:E),Groups!A:A,Groups!AJ:AJ)="Mammal","True","False")</f>
        <v>False</v>
      </c>
      <c r="CB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C127" s="25" t="str">
        <f t="shared" si="13"/>
        <v>False</v>
      </c>
      <c r="CD127" s="25" t="str">
        <f>IF(_xlfn.XLOOKUP(_xlfn.XLOOKUP(B127,'Base stats'!B:B,'Base stats'!E:E),Groups!A:A,Groups!AX:AX),"True","False")</f>
        <v>False</v>
      </c>
      <c r="CE127" s="25" t="str">
        <f>IF(_xlfn.XLOOKUP(_xlfn.XLOOKUP(B127,'Base stats'!B:B,'Base stats'!E:E),Groups!A:A,Groups!AY:AY),"True","False")</f>
        <v>False</v>
      </c>
      <c r="CF127" s="25" t="str">
        <f>IF(_xlfn.XLOOKUP(_xlfn.XLOOKUP(B127,'Base stats'!B:B,'Base stats'!E:E),Groups!A:A,Groups!AW:AW),"True","False")</f>
        <v>False</v>
      </c>
      <c r="CG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H127" s="25" t="str">
        <f>IF(_xlfn.XLOOKUP(_xlfn.XLOOKUP(B127,'Base stats'!B:B,'Base stats'!E:E),Groups!A:A,Groups!BB:BB),"True","False")</f>
        <v>False</v>
      </c>
      <c r="CI127" s="25" t="str">
        <f>IF(_xlfn.XLOOKUP(_xlfn.XLOOKUP(B127,'Base stats'!B:B,'Base stats'!E:E),Groups!A:A,Groups!BA:BA),"True","False")</f>
        <v>False</v>
      </c>
    </row>
    <row r="128" spans="1:87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stats'!AI:AI)=0,BH128="None",_xlfn.XLOOKUP(_xlfn.XLOOKUP(B128,'Base stats'!B:B,'Base stats'!E:E),Groups!A:A,Groups!B:B)=0), (18 + BQ128 * 2.7) * 0.5,
    IF(AND(_xlfn.XLOOKUP(B128,'Base stats'!B:B,'Base stats'!AI:AI)=0,OR(AO128&lt;0.55,AND(BH128="Intermediate",_xlfn.XLOOKUP(_xlfn.XLOOKUP(B128,'Base stats'!B:B,'Base stats'!E:E),Groups!A:A,Groups!B:B)&lt;2))), (18 + BQ128 * 2.7),
      IF(OR(BH128="Advanced",_xlfn.XLOOKUP(B128,'Base stats'!B:B,'Base stats'!AI:AI)=1,_xlfn.XLOOKUP(_xlfn.XLOOKUP(B128,'Base stats'!B:B,'Base stats'!E:E),Groups!A:A,Groups!B:B)=2), (18 + BQ128 * 2.7) + 250, (18 + BQ128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IF(_xlfn.XLOOKUP(B128,'Base stats'!B:B,'Base stats'!AI:AI)=1,0.99,MIN(MROUND((1-0.6282*EXP(-0.459*AO128))*_xlfn.XLOOKUP(_xlfn.XLOOKUP(B128,'Base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W128)),ISNUMBER(SEARCH("IceSheet",BW128))),-50,IF(OR(ISNUMBER(SEARCH("GlacialPlain",BW128)),ISNUMBER(SEARCH("Tundra",BW128))),-40,IF(OR(ISNUMBER(SEARCH("Alpine",BW128)),ISNUMBER(SEARCH("BorealForest",BW128)),ISNUMBER(SEARCH("ColdBog",BW128))),-30,IF(OR(ISNUMBER(SEARCH("TemperateForest",BW128)),ISNUMBER(SEARCH("TemperateSwamp",BW128))),-20,IF(_xlfn.XLOOKUP(_xlfn.XLOOKUP(B128,'Base stats'!B:B,'Base stats'!E:E),Groups!A:A,Groups!F:F)=1,-15,IF(OR(ISNUMBER(SEARCH("Desert",BW128)),ISNUMBER(SEARCH("ExtremeDesert",BW128))),-10,IF(OR(ISNUMBER(SEARCH("Grasslands",BW128)),ISNUMBER(SEARCH("TropicalRainforest",BW128)),ISNUMBER(SEARCH("TropicalSwamp",BW128))),10,0)))))))-IF(CB128="False",MIN(IFERROR(MAX(MROUND(LOG10(_xlfn.XLOOKUP(B128,'Base stats'!B:B,'Base stats'!C:C)^(2/3))*10,5),5),5),30))-_xlfn.XLOOKUP(B128,'Base stats'!B:B,'Base stats'!P:P)+IF(CB128="True",5,0)</f>
        <v>-25</v>
      </c>
      <c r="M128" s="2">
        <f>IF(OR(_xlfn.XLOOKUP(_xlfn.XLOOKUP(B128,'Base stats'!B:B,'Base stats'!E:E),Groups!A:A,Groups!G:G)=2,ISNUMBER(SEARCH("Desert",BW128)),ISNUMBER(SEARCH("ExtremeDesert",BW128)),ISNUMBER(SEARCH("LavaField",BW128))),50,IF(ISNUMBER(SEARCH("Grasslands",BW128)),45,IF(OR(_xlfn.XLOOKUP(_xlfn.XLOOKUP(B128,'Base stats'!B:B,'Base stats'!E:E),Groups!A:A,Groups!G:G)=1,ISNUMBER(SEARCH("TropicalRainforest",BW128)),ISNUMBER(SEARCH("TropicalSwamp",BW128))),40,IF(OR(ISNUMBER(SEARCH("TemperateForest",BW128)),ISNUMBER(SEARCH("TemperateSwamp",BW128))),35,IF(OR(ISNUMBER(SEARCH("Alpine",BW128)),ISNUMBER(SEARCH("BorealForest",BW128)),ISNUMBER(SEARCH("ColdBog",BW128))),30,IF(ISNUMBER(OR(ISNUMBER(SEARCH("GlacialPlain",BW128)),SEARCH("Tundra",BW128))),25,IF(OR(ISNUMBER(SEARCH("SeaIce",BW128)),ISNUMBER(SEARCH("IceSheet",BW128)),ISNUMBER(SEARCH("TropicalSwamp",BW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stats'!AO:AO))*(AO128^0.5)+(_xlfn.XLOOKUP(B128,'Base stats'!B:B,'Base stats'!AO:AO)/1000)^(2/3)+_xlfn.XLOOKUP(B128,'Base stats'!B:B,'Base stats'!AX:AX)/2)+0.5,0.5)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stats'!AP:AP))*(AO128^0.5)+(_xlfn.XLOOKUP(B128,'Base stats'!B:B,'Base stats'!AP:AP)/1000)^(2/3)+_xlfn.XLOOKUP(B128,'Base stats'!B:B,'Base stats'!AX:AX))+_xlfn.XLOOKUP(B128,'Base stats'!B:B,'Base stats'!AV:AV)+0.5,0.5))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stats'!AR:AR))*(AO128^0.5)+(_xlfn.XLOOKUP(B128,'Base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stats'!AQ:AQ)="No","No",MROUND((LOG10(_xlfn.XLOOKUP(B128,'Base stats'!B:B,'Base stats'!AQ:AQ))*(AO128^0.75)+(_xlfn.XLOOKUP(B128,'Base stats'!B:B,'Base stats'!AQ:AQ)/1000)^(2/3)+_xlfn.XLOOKUP(B128,'Base stats'!B:B,'Base stats'!AU:AU)+_xlfn.XLOOKUP(B128,'Base stats'!B:B,'Base stats'!AX:AX))+0.5,0.5))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stats'!AP:AP))*(AO128^0.75)+(_xlfn.XLOOKUP(B128,'Base stats'!B:B,'Base stats'!AP:AP)/1000)^(2/3)+_xlfn.XLOOKUP(B128,'Base stats'!B:B,'Base stats'!AV:AV)+_xlfn.XLOOKUP(B128,'Base stats'!B:B,'Base stats'!AX:AX))+0.5,0.5))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MAX(0.01,MROUND(IF(CB128="True",0.196*(AO128*100*1000)^0.889,IF(_xlfn.XLOOKUP(_xlfn.XLOOKUP(B128,'Base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stats'!AE:AE)</f>
        <v>Leather_Light</v>
      </c>
      <c r="BB128" s="23" t="str">
        <f>_xlfn.XLOOKUP(_xlfn.XLOOKUP(B128,'Base stats'!B:B,'Base stats'!E:E),Groups!A:A,Groups!AL:AL)</f>
        <v>QuadrupedAnimalWithPawsAndTail</v>
      </c>
      <c r="BC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D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E128" s="2" t="str">
        <f>IF(J128&gt;0.3,"No",_xlfn.XLOOKUP(_xlfn.XLOOKUP(Animals!B128,'Base stats'!B:B,'Base stats'!E:E),Groups!A:A,Groups!AP:AP))</f>
        <v>No</v>
      </c>
      <c r="BF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+ 24*(1-IF(BE128="No",0,BE128)) + 16/3, 12),"No")</f>
        <v>No</v>
      </c>
      <c r="BG128" s="2">
        <f>IF(AND(_xlfn.XLOOKUP(_xlfn.XLOOKUP(B128,'Base stats'!B:B,'Base stats'!E:E),Groups!A:A,Groups!AQ:AQ)=1,AO128&lt;=0.35),8,12)</f>
        <v>12</v>
      </c>
      <c r="BH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I128" s="2" t="str">
        <f>IF(AND(_xlfn.XLOOKUP(_xlfn.XLOOKUP(B128,'Base stats'!B:B,'Base stats'!E:E),Groups!A:A,Groups!AS:AS)=1,OR('Base stats'!Y128="Carnivore",'Base stats'!Y128="Omnivore")),"true","false")</f>
        <v>false</v>
      </c>
      <c r="BJ128" s="2" t="str">
        <f>IF(BI128="true",MROUND(IF(AND(AO128&gt;0.5,OR(_xlfn.XLOOKUP(_xlfn.XLOOKUP(B128,'Base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K128" s="2">
        <f t="shared" si="10"/>
        <v>1</v>
      </c>
      <c r="BL128" s="25" t="str">
        <f>IF(_xlfn.XLOOKUP(B128,'Base stats'!B:B,'Base stats'!AK:AK)="Standard","No",MROUND((_xlfn.XLOOKUP(B128,'Base stats'!B:B,'Base stats'!AK:AK)/3.6)/I128,0.1))</f>
        <v>No</v>
      </c>
      <c r="BM128" s="25" t="str">
        <f t="shared" si="11"/>
        <v>false</v>
      </c>
      <c r="BN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O128" s="25" t="str" cm="1">
        <f t="array" ref="BO128">IF(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 = "",
  "No",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
)</f>
        <v>No</v>
      </c>
      <c r="BP128" s="25" t="str">
        <f>IF(
   AND(
      'Base stats'!AK128="Standard",_xlfn.XLOOKUP(_xlfn.XLOOKUP(B128,'Base stats'!B:B,'Base stats'!E:E),Groups!A:A,Groups!AU:AU)=0,
      OR(
      BN128="True"
      )
   ),
   10,
   IF(
       OR(BL128&lt;&gt;"No",_xlfn.XLOOKUP(_xlfn.XLOOKUP(B128,'Base stats'!B:B,'Base stats'!E:E),Groups!A:A,Groups!AU:AU)=1),
      1,
      "No"
   )
)</f>
        <v>No</v>
      </c>
      <c r="BQ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stats'!AS:AS) * 1.8) * 2) * 2.5 + 10 + I128 * 2,5)+IF(_xlfn.XLOOKUP(B128,'Base stats'!B:B,'Base stats'!AH:AH)=1,50,0)</f>
        <v>40</v>
      </c>
      <c r="BR128" s="8">
        <f t="shared" si="12"/>
        <v>0.30000000000000004</v>
      </c>
      <c r="BS128" s="8" t="str">
        <f>_xlfn.XLOOKUP(B128,'Base stats'!B:B,'Base stats'!AD:AD)</f>
        <v>No</v>
      </c>
      <c r="BT128" s="2" t="str">
        <f>IF(AND(J128&lt;=0.95,OR(_xlfn.XLOOKUP(B128,'Base stats'!B:B,'Base stats'!AH:AH)=1,_xlfn.XLOOKUP(B128,'Base stats'!B:B,'Base stats'!Y:Y)="Carnivore",_xlfn.XLOOKUP(B128,'Base stats'!B:B,'Base stats'!Y:Y)="Omnivore",BD128&gt;0.1)),"true","false")</f>
        <v>false</v>
      </c>
      <c r="BU128" s="2" t="str">
        <f>IF(_xlfn.XLOOKUP(B128,'Base stats'!B:B,'Base stats'!AF:AF)=1,"true","false")</f>
        <v>false</v>
      </c>
      <c r="BV128" s="25" t="str">
        <f>IF(E128="BaseInsect","AnimalInsect",
IF(J128&gt;0.95,"AnimalExotic",
_xlfn.TEXTJOIN(", ",TRUE,
IF(OR(_xlfn.XLOOKUP(B128,'Base stats'!B:B,'Base stats'!AJ:AJ)=1,AND(_xlfn.XLOOKUP(B128,'Base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stats'!AH:AH)=1,AND(BH128&lt;&gt;"None",BQ128&gt;=60),ISNUMBER(SEARCH("Attack target",BO128))),"AnimalFighter","")
)))</f>
        <v>AnimalUncommon</v>
      </c>
      <c r="BW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),_xlfn.XLOOKUP(B128,B:B,BW:BW))</f>
        <v>TemperateForest TemperateSwamp</v>
      </c>
      <c r="BX128" s="25" t="str">
        <f>IF(_xlfn.XLOOKUP(B128,'Base stats'!B:B,'Base stats'!AG:AG)=1,"true","false")</f>
        <v>false</v>
      </c>
      <c r="BY128" s="25">
        <f>IF(_xlfn.XLOOKUP(B128,'Base stats'!B:B,'Base stats'!N:N)=1,"No",MAX(0.01,MIN(MROUND(IF(OR(_xlfn.XLOOKUP(B128,'Base stats'!B:B,'Base stats'!AJ:AJ)=1,AND(BI128="True",CB128="False")),POWER(10,3.47*LOG10(_xlfn.XLOOKUP(B128,'Base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stats'!AH:AH)=1),0.5,1)/100,0.025),1)))</f>
        <v>0.05</v>
      </c>
      <c r="BZ128" s="25" t="str">
        <f>IF(P128="Standard","No",MAX(0.01,IF(_xlfn.XLOOKUP(B128,'Base stats'!B:B,'Base stats'!N:N)=0,MROUND(BY128*P128,0.05),MIN(1,MAX(0.025,MROUND(IF(OR(CB128="true",AND(BI128="false",BN128="false")),POWER(10,4.15*LOG10(_xlfn.XLOOKUP(B128,'Base stats'!B:B,'Base stats'!C:C)*1000)^-0.73),POWER(10,3.47*LOG10(_xlfn.XLOOKUP(B128,'Base stats'!B:B,'Base stats'!C:C)*1000)^-0.96))*IF(_xlfn.XLOOKUP(B128,'Base stats'!B:B,'Base stats'!AH:AH)=1,0.5,1)/100,0.025))))))</f>
        <v>No</v>
      </c>
      <c r="CA128" s="25" t="str">
        <f>IF(_xlfn.XLOOKUP(_xlfn.XLOOKUP(B128,'Base stats'!B:B,'Base stats'!E:E),Groups!A:A,Groups!AJ:AJ)="Mammal","True","False")</f>
        <v>True</v>
      </c>
      <c r="CB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C128" s="25" t="str">
        <f t="shared" si="13"/>
        <v>False</v>
      </c>
      <c r="CD128" s="25" t="str">
        <f>IF(_xlfn.XLOOKUP(_xlfn.XLOOKUP(B128,'Base stats'!B:B,'Base stats'!E:E),Groups!A:A,Groups!AX:AX),"True","False")</f>
        <v>False</v>
      </c>
      <c r="CE128" s="25" t="str">
        <f>IF(_xlfn.XLOOKUP(_xlfn.XLOOKUP(B128,'Base stats'!B:B,'Base stats'!E:E),Groups!A:A,Groups!AY:AY),"True","False")</f>
        <v>False</v>
      </c>
      <c r="CF128" s="25" t="str">
        <f>IF(_xlfn.XLOOKUP(_xlfn.XLOOKUP(B128,'Base stats'!B:B,'Base stats'!E:E),Groups!A:A,Groups!AW:AW),"True","False")</f>
        <v>False</v>
      </c>
      <c r="CG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H128" s="25" t="str">
        <f>IF(_xlfn.XLOOKUP(_xlfn.XLOOKUP(B128,'Base stats'!B:B,'Base stats'!E:E),Groups!A:A,Groups!BB:BB),"True","False")</f>
        <v>True</v>
      </c>
      <c r="CI128" s="25" t="str">
        <f>IF(_xlfn.XLOOKUP(_xlfn.XLOOKUP(B128,'Base stats'!B:B,'Base stats'!E:E),Groups!A:A,Groups!BA:BA),"True","False")</f>
        <v>False</v>
      </c>
    </row>
    <row r="129" spans="1:87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stats'!AI:AI)=0,BH129="None",_xlfn.XLOOKUP(_xlfn.XLOOKUP(B129,'Base stats'!B:B,'Base stats'!E:E),Groups!A:A,Groups!B:B)=0), (18 + BQ129 * 2.7) * 0.5,
    IF(AND(_xlfn.XLOOKUP(B129,'Base stats'!B:B,'Base stats'!AI:AI)=0,OR(AO129&lt;0.55,AND(BH129="Intermediate",_xlfn.XLOOKUP(_xlfn.XLOOKUP(B129,'Base stats'!B:B,'Base stats'!E:E),Groups!A:A,Groups!B:B)&lt;2))), (18 + BQ129 * 2.7),
      IF(OR(BH129="Advanced",_xlfn.XLOOKUP(B129,'Base stats'!B:B,'Base stats'!AI:AI)=1,_xlfn.XLOOKUP(_xlfn.XLOOKUP(B129,'Base stats'!B:B,'Base stats'!E:E),Groups!A:A,Groups!B:B)=2), (18 + BQ129 * 2.7) + 250, (18 + BQ129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IF(_xlfn.XLOOKUP(B129,'Base stats'!B:B,'Base stats'!AI:AI)=1,0.99,MIN(MROUND((1-0.6282*EXP(-0.459*AO129))*_xlfn.XLOOKUP(_xlfn.XLOOKUP(B129,'Base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W129)),ISNUMBER(SEARCH("IceSheet",BW129))),-50,IF(OR(ISNUMBER(SEARCH("GlacialPlain",BW129)),ISNUMBER(SEARCH("Tundra",BW129))),-40,IF(OR(ISNUMBER(SEARCH("Alpine",BW129)),ISNUMBER(SEARCH("BorealForest",BW129)),ISNUMBER(SEARCH("ColdBog",BW129))),-30,IF(OR(ISNUMBER(SEARCH("TemperateForest",BW129)),ISNUMBER(SEARCH("TemperateSwamp",BW129))),-20,IF(_xlfn.XLOOKUP(_xlfn.XLOOKUP(B129,'Base stats'!B:B,'Base stats'!E:E),Groups!A:A,Groups!F:F)=1,-15,IF(OR(ISNUMBER(SEARCH("Desert",BW129)),ISNUMBER(SEARCH("ExtremeDesert",BW129))),-10,IF(OR(ISNUMBER(SEARCH("Grasslands",BW129)),ISNUMBER(SEARCH("TropicalRainforest",BW129)),ISNUMBER(SEARCH("TropicalSwamp",BW129))),10,0)))))))-IF(CB129="False",MIN(IFERROR(MAX(MROUND(LOG10(_xlfn.XLOOKUP(B129,'Base stats'!B:B,'Base stats'!C:C)^(2/3))*10,5),5),5),30))-_xlfn.XLOOKUP(B129,'Base stats'!B:B,'Base stats'!P:P)+IF(CB129="True",5,0)</f>
        <v>-35</v>
      </c>
      <c r="M129" s="2">
        <f>IF(OR(_xlfn.XLOOKUP(_xlfn.XLOOKUP(B129,'Base stats'!B:B,'Base stats'!E:E),Groups!A:A,Groups!G:G)=2,ISNUMBER(SEARCH("Desert",BW129)),ISNUMBER(SEARCH("ExtremeDesert",BW129)),ISNUMBER(SEARCH("LavaField",BW129))),50,IF(ISNUMBER(SEARCH("Grasslands",BW129)),45,IF(OR(_xlfn.XLOOKUP(_xlfn.XLOOKUP(B129,'Base stats'!B:B,'Base stats'!E:E),Groups!A:A,Groups!G:G)=1,ISNUMBER(SEARCH("TropicalRainforest",BW129)),ISNUMBER(SEARCH("TropicalSwamp",BW129))),40,IF(OR(ISNUMBER(SEARCH("TemperateForest",BW129)),ISNUMBER(SEARCH("TemperateSwamp",BW129))),35,IF(OR(ISNUMBER(SEARCH("Alpine",BW129)),ISNUMBER(SEARCH("BorealForest",BW129)),ISNUMBER(SEARCH("ColdBog",BW129))),30,IF(ISNUMBER(OR(ISNUMBER(SEARCH("GlacialPlain",BW129)),SEARCH("Tundra",BW129))),25,IF(OR(ISNUMBER(SEARCH("SeaIce",BW129)),ISNUMBER(SEARCH("IceSheet",BW129)),ISNUMBER(SEARCH("TropicalSwamp",BW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stats'!AO:AO))*(AO129^0.5)+(_xlfn.XLOOKUP(B129,'Base stats'!B:B,'Base stats'!AO:AO)/1000)^(2/3)+_xlfn.XLOOKUP(B129,'Base stats'!B:B,'Base stats'!AX:AX)/2)+0.5,0.5)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stats'!AP:AP))*(AO129^0.5)+(_xlfn.XLOOKUP(B129,'Base stats'!B:B,'Base stats'!AP:AP)/1000)^(2/3)+_xlfn.XLOOKUP(B129,'Base stats'!B:B,'Base stats'!AX:AX))+_xlfn.XLOOKUP(B129,'Base stats'!B:B,'Base stats'!AV:AV)+0.5,0.5))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stats'!AR:AR))*(AO129^0.5)+(_xlfn.XLOOKUP(B129,'Base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stats'!AQ:AQ)="No","No",MROUND((LOG10(_xlfn.XLOOKUP(B129,'Base stats'!B:B,'Base stats'!AQ:AQ))*(AO129^0.75)+(_xlfn.XLOOKUP(B129,'Base stats'!B:B,'Base stats'!AQ:AQ)/1000)^(2/3)+_xlfn.XLOOKUP(B129,'Base stats'!B:B,'Base stats'!AU:AU)+_xlfn.XLOOKUP(B129,'Base stats'!B:B,'Base stats'!AX:AX))+0.5,0.5))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stats'!AP:AP))*(AO129^0.75)+(_xlfn.XLOOKUP(B129,'Base stats'!B:B,'Base stats'!AP:AP)/1000)^(2/3)+_xlfn.XLOOKUP(B129,'Base stats'!B:B,'Base stats'!AV:AV)+_xlfn.XLOOKUP(B129,'Base stats'!B:B,'Base stats'!AX:AX))+0.5,0.5))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MAX(0.01,MROUND(IF(CB129="True",0.196*(AO129*100*1000)^0.889,IF(_xlfn.XLOOKUP(_xlfn.XLOOKUP(B129,'Base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stats'!AE:AE)</f>
        <v>No</v>
      </c>
      <c r="BB129" s="23" t="str">
        <f>_xlfn.XLOOKUP(_xlfn.XLOOKUP(B129,'Base stats'!B:B,'Base stats'!E:E),Groups!A:A,Groups!AL:AL)</f>
        <v>Bird</v>
      </c>
      <c r="BC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D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E129" s="2" t="str">
        <f>IF(J129&gt;0.3,"No",_xlfn.XLOOKUP(_xlfn.XLOOKUP(Animals!B129,'Base stats'!B:B,'Base stats'!E:E),Groups!A:A,Groups!AP:AP))</f>
        <v>No</v>
      </c>
      <c r="BF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+ 24*(1-IF(BE129="No",0,BE129)) + 16/3, 12),"No")</f>
        <v>No</v>
      </c>
      <c r="BG129" s="2">
        <f>IF(AND(_xlfn.XLOOKUP(_xlfn.XLOOKUP(B129,'Base stats'!B:B,'Base stats'!E:E),Groups!A:A,Groups!AQ:AQ)=1,AO129&lt;=0.35),8,12)</f>
        <v>8</v>
      </c>
      <c r="BH129" s="2" t="str">
        <f>IF(_xlfn.XLOOKUP(_xlfn.XLOOKUP(B129,'Base stats'!B:B,'Base stats'!E:E),Groups!A:A,Groups!D:D)=0,_xlfn.XLOOKUP(_xlfn.XLOOKUP(B129,'Base stats'!B:B,'Base stats'!E:E),Groups!A:A,Groups!AR:AR),"None")</f>
        <v>None</v>
      </c>
      <c r="BI129" s="2" t="str">
        <f>IF(AND(_xlfn.XLOOKUP(_xlfn.XLOOKUP(B129,'Base stats'!B:B,'Base stats'!E:E),Groups!A:A,Groups!AS:AS)=1,OR('Base stats'!Y129="Carnivore",'Base stats'!Y129="Omnivore")),"true","false")</f>
        <v>false</v>
      </c>
      <c r="BJ129" s="2" t="str">
        <f>IF(BI129="true",MROUND(IF(AND(AO129&gt;0.5,OR(_xlfn.XLOOKUP(_xlfn.XLOOKUP(B129,'Base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K129" s="2">
        <f t="shared" si="10"/>
        <v>0</v>
      </c>
      <c r="BL129" s="25" t="str">
        <f>IF(_xlfn.XLOOKUP(B129,'Base stats'!B:B,'Base stats'!AK:AK)="Standard","No",MROUND((_xlfn.XLOOKUP(B129,'Base stats'!B:B,'Base stats'!AK:AK)/3.6)/I129,0.1))</f>
        <v>No</v>
      </c>
      <c r="BM129" s="25" t="str">
        <f t="shared" si="11"/>
        <v>true</v>
      </c>
      <c r="BN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O129" s="25" t="str" cm="1">
        <f t="array" ref="BO129">IF(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 = "",
  "No",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
)</f>
        <v>No</v>
      </c>
      <c r="BP129" s="25">
        <f>IF(
   AND(
      'Base stats'!AK129="Standard",_xlfn.XLOOKUP(_xlfn.XLOOKUP(B129,'Base stats'!B:B,'Base stats'!E:E),Groups!A:A,Groups!AU:AU)=0,
      OR(
      BN129="True"
      )
   ),
   10,
   IF(
       OR(BL129&lt;&gt;"No",_xlfn.XLOOKUP(_xlfn.XLOOKUP(B129,'Base stats'!B:B,'Base stats'!E:E),Groups!A:A,Groups!AU:AU)=1),
      1,
      "No"
   )
)</f>
        <v>1</v>
      </c>
      <c r="BQ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stats'!AS:AS) * 1.8) * 2) * 2.5 + 10 + I129 * 2,5)+IF(_xlfn.XLOOKUP(B129,'Base stats'!B:B,'Base stats'!AH:AH)=1,50,0)</f>
        <v>25</v>
      </c>
      <c r="BR129" s="8">
        <f t="shared" si="12"/>
        <v>0.35000000000000003</v>
      </c>
      <c r="BS129" s="8" t="str">
        <f>_xlfn.XLOOKUP(B129,'Base stats'!B:B,'Base stats'!AD:AD)</f>
        <v>3~8</v>
      </c>
      <c r="BT129" s="2" t="str">
        <f>IF(AND(J129&lt;=0.95,OR(_xlfn.XLOOKUP(B129,'Base stats'!B:B,'Base stats'!AH:AH)=1,_xlfn.XLOOKUP(B129,'Base stats'!B:B,'Base stats'!Y:Y)="Carnivore",_xlfn.XLOOKUP(B129,'Base stats'!B:B,'Base stats'!Y:Y)="Omnivore",BD129&gt;0.1)),"true","false")</f>
        <v>false</v>
      </c>
      <c r="BU129" s="2" t="str">
        <f>IF(_xlfn.XLOOKUP(B129,'Base stats'!B:B,'Base stats'!AF:AF)=1,"true","false")</f>
        <v>false</v>
      </c>
      <c r="BV129" s="25" t="str">
        <f>IF(E129="BaseInsect","AnimalInsect",
IF(J129&gt;0.95,"AnimalExotic",
_xlfn.TEXTJOIN(", ",TRUE,
IF(OR(_xlfn.XLOOKUP(B129,'Base stats'!B:B,'Base stats'!AJ:AJ)=1,AND(_xlfn.XLOOKUP(B129,'Base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stats'!AH:AH)=1,AND(BH129&lt;&gt;"None",BQ129&gt;=60),ISNUMBER(SEARCH("Attack target",BO129))),"AnimalFighter","")
)))</f>
        <v>AnimalUncommon</v>
      </c>
      <c r="BW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),_xlfn.XLOOKUP(B129,B:B,BW:BW))</f>
        <v>ColdBog TemperateSwamp</v>
      </c>
      <c r="BX129" s="25" t="str">
        <f>IF(_xlfn.XLOOKUP(B129,'Base stats'!B:B,'Base stats'!AG:AG)=1,"true","false")</f>
        <v>false</v>
      </c>
      <c r="BY129" s="25">
        <f>IF(_xlfn.XLOOKUP(B129,'Base stats'!B:B,'Base stats'!N:N)=1,"No",MAX(0.01,MIN(MROUND(IF(OR(_xlfn.XLOOKUP(B129,'Base stats'!B:B,'Base stats'!AJ:AJ)=1,AND(BI129="True",CB129="False")),POWER(10,3.47*LOG10(_xlfn.XLOOKUP(B129,'Base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stats'!AH:AH)=1),0.5,1)/100,0.025),1)))</f>
        <v>0.45</v>
      </c>
      <c r="BZ129" s="25" t="str">
        <f>IF(P129="Standard","No",MAX(0.01,IF(_xlfn.XLOOKUP(B129,'Base stats'!B:B,'Base stats'!N:N)=0,MROUND(BY129*P129,0.05),MIN(1,MAX(0.025,MROUND(IF(OR(CB129="true",AND(BI129="false",BN129="false")),POWER(10,4.15*LOG10(_xlfn.XLOOKUP(B129,'Base stats'!B:B,'Base stats'!C:C)*1000)^-0.73),POWER(10,3.47*LOG10(_xlfn.XLOOKUP(B129,'Base stats'!B:B,'Base stats'!C:C)*1000)^-0.96))*IF(_xlfn.XLOOKUP(B129,'Base stats'!B:B,'Base stats'!AH:AH)=1,0.5,1)/100,0.025))))))</f>
        <v>No</v>
      </c>
      <c r="CA129" s="25" t="str">
        <f>IF(_xlfn.XLOOKUP(_xlfn.XLOOKUP(B129,'Base stats'!B:B,'Base stats'!E:E),Groups!A:A,Groups!AJ:AJ)="Mammal","True","False")</f>
        <v>False</v>
      </c>
      <c r="CB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C129" s="25" t="str">
        <f t="shared" si="13"/>
        <v>False</v>
      </c>
      <c r="CD129" s="25" t="str">
        <f>IF(_xlfn.XLOOKUP(_xlfn.XLOOKUP(B129,'Base stats'!B:B,'Base stats'!E:E),Groups!A:A,Groups!AX:AX),"True","False")</f>
        <v>False</v>
      </c>
      <c r="CE129" s="25" t="str">
        <f>IF(_xlfn.XLOOKUP(_xlfn.XLOOKUP(B129,'Base stats'!B:B,'Base stats'!E:E),Groups!A:A,Groups!AY:AY),"True","False")</f>
        <v>False</v>
      </c>
      <c r="CF129" s="25" t="str">
        <f>IF(_xlfn.XLOOKUP(_xlfn.XLOOKUP(B129,'Base stats'!B:B,'Base stats'!E:E),Groups!A:A,Groups!AW:AW),"True","False")</f>
        <v>False</v>
      </c>
      <c r="CG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H129" s="25" t="str">
        <f>IF(_xlfn.XLOOKUP(_xlfn.XLOOKUP(B129,'Base stats'!B:B,'Base stats'!E:E),Groups!A:A,Groups!BB:BB),"True","False")</f>
        <v>True</v>
      </c>
      <c r="CI129" s="25" t="str">
        <f>IF(_xlfn.XLOOKUP(_xlfn.XLOOKUP(B129,'Base stats'!B:B,'Base stats'!E:E),Groups!A:A,Groups!BA:BA),"True","False")</f>
        <v>False</v>
      </c>
    </row>
    <row r="130" spans="1:87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stats'!AI:AI)=0,BH130="None",_xlfn.XLOOKUP(_xlfn.XLOOKUP(B130,'Base stats'!B:B,'Base stats'!E:E),Groups!A:A,Groups!B:B)=0), (18 + BQ130 * 2.7) * 0.5,
    IF(AND(_xlfn.XLOOKUP(B130,'Base stats'!B:B,'Base stats'!AI:AI)=0,OR(AO130&lt;0.55,AND(BH130="Intermediate",_xlfn.XLOOKUP(_xlfn.XLOOKUP(B130,'Base stats'!B:B,'Base stats'!E:E),Groups!A:A,Groups!B:B)&lt;2))), (18 + BQ130 * 2.7),
      IF(OR(BH130="Advanced",_xlfn.XLOOKUP(B130,'Base stats'!B:B,'Base stats'!AI:AI)=1,_xlfn.XLOOKUP(_xlfn.XLOOKUP(B130,'Base stats'!B:B,'Base stats'!E:E),Groups!A:A,Groups!B:B)=2), (18 + BQ130 * 2.7) + 250, (18 + BQ130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IF(_xlfn.XLOOKUP(B130,'Base stats'!B:B,'Base stats'!AI:AI)=1,0.99,MIN(MROUND((1-0.6282*EXP(-0.459*AO130))*_xlfn.XLOOKUP(_xlfn.XLOOKUP(B130,'Base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W130)),ISNUMBER(SEARCH("IceSheet",BW130))),-50,IF(OR(ISNUMBER(SEARCH("GlacialPlain",BW130)),ISNUMBER(SEARCH("Tundra",BW130))),-40,IF(OR(ISNUMBER(SEARCH("Alpine",BW130)),ISNUMBER(SEARCH("BorealForest",BW130)),ISNUMBER(SEARCH("ColdBog",BW130))),-30,IF(OR(ISNUMBER(SEARCH("TemperateForest",BW130)),ISNUMBER(SEARCH("TemperateSwamp",BW130))),-20,IF(_xlfn.XLOOKUP(_xlfn.XLOOKUP(B130,'Base stats'!B:B,'Base stats'!E:E),Groups!A:A,Groups!F:F)=1,-15,IF(OR(ISNUMBER(SEARCH("Desert",BW130)),ISNUMBER(SEARCH("ExtremeDesert",BW130))),-10,IF(OR(ISNUMBER(SEARCH("Grasslands",BW130)),ISNUMBER(SEARCH("TropicalRainforest",BW130)),ISNUMBER(SEARCH("TropicalSwamp",BW130))),10,0)))))))-IF(CB130="False",MIN(IFERROR(MAX(MROUND(LOG10(_xlfn.XLOOKUP(B130,'Base stats'!B:B,'Base stats'!C:C)^(2/3))*10,5),5),5),30))-_xlfn.XLOOKUP(B130,'Base stats'!B:B,'Base stats'!P:P)+IF(CB130="True",5,0)</f>
        <v>-40</v>
      </c>
      <c r="M130" s="2">
        <f>IF(OR(_xlfn.XLOOKUP(_xlfn.XLOOKUP(B130,'Base stats'!B:B,'Base stats'!E:E),Groups!A:A,Groups!G:G)=2,ISNUMBER(SEARCH("Desert",BW130)),ISNUMBER(SEARCH("ExtremeDesert",BW130)),ISNUMBER(SEARCH("LavaField",BW130))),50,IF(ISNUMBER(SEARCH("Grasslands",BW130)),45,IF(OR(_xlfn.XLOOKUP(_xlfn.XLOOKUP(B130,'Base stats'!B:B,'Base stats'!E:E),Groups!A:A,Groups!G:G)=1,ISNUMBER(SEARCH("TropicalRainforest",BW130)),ISNUMBER(SEARCH("TropicalSwamp",BW130))),40,IF(OR(ISNUMBER(SEARCH("TemperateForest",BW130)),ISNUMBER(SEARCH("TemperateSwamp",BW130))),35,IF(OR(ISNUMBER(SEARCH("Alpine",BW130)),ISNUMBER(SEARCH("BorealForest",BW130)),ISNUMBER(SEARCH("ColdBog",BW130))),30,IF(ISNUMBER(OR(ISNUMBER(SEARCH("GlacialPlain",BW130)),SEARCH("Tundra",BW130))),25,IF(OR(ISNUMBER(SEARCH("SeaIce",BW130)),ISNUMBER(SEARCH("IceSheet",BW130)),ISNUMBER(SEARCH("TropicalSwamp",BW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stats'!AO:AO))*(AO130^0.5)+(_xlfn.XLOOKUP(B130,'Base stats'!B:B,'Base stats'!AO:AO)/1000)^(2/3)+_xlfn.XLOOKUP(B130,'Base stats'!B:B,'Base stats'!AX:AX)/2)+0.5,0.5)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stats'!AP:AP))*(AO130^0.5)+(_xlfn.XLOOKUP(B130,'Base stats'!B:B,'Base stats'!AP:AP)/1000)^(2/3)+_xlfn.XLOOKUP(B130,'Base stats'!B:B,'Base stats'!AX:AX))+_xlfn.XLOOKUP(B130,'Base stats'!B:B,'Base stats'!AV:AV)+0.5,0.5))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stats'!AR:AR))*(AO130^0.5)+(_xlfn.XLOOKUP(B130,'Base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stats'!AQ:AQ)="No","No",MROUND((LOG10(_xlfn.XLOOKUP(B130,'Base stats'!B:B,'Base stats'!AQ:AQ))*(AO130^0.75)+(_xlfn.XLOOKUP(B130,'Base stats'!B:B,'Base stats'!AQ:AQ)/1000)^(2/3)+_xlfn.XLOOKUP(B130,'Base stats'!B:B,'Base stats'!AU:AU)+_xlfn.XLOOKUP(B130,'Base stats'!B:B,'Base stats'!AX:AX))+0.5,0.5))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stats'!AP:AP))*(AO130^0.75)+(_xlfn.XLOOKUP(B130,'Base stats'!B:B,'Base stats'!AP:AP)/1000)^(2/3)+_xlfn.XLOOKUP(B130,'Base stats'!B:B,'Base stats'!AV:AV)+_xlfn.XLOOKUP(B130,'Base stats'!B:B,'Base stats'!AX:AX))+0.5,0.5))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MAX(0.01,MROUND(IF(CB130="True",0.196*(AO130*100*1000)^0.889,IF(_xlfn.XLOOKUP(_xlfn.XLOOKUP(B130,'Base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stats'!AE:AE)</f>
        <v>Leather_Light</v>
      </c>
      <c r="BB130" s="23" t="str">
        <f>_xlfn.XLOOKUP(_xlfn.XLOOKUP(B130,'Base stats'!B:B,'Base stats'!E:E),Groups!A:A,Groups!AL:AL)</f>
        <v>QuadrupedAnimalWithPawsAndTail</v>
      </c>
      <c r="BC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D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E130" s="2" t="str">
        <f>IF(J130&gt;0.3,"No",_xlfn.XLOOKUP(_xlfn.XLOOKUP(Animals!B130,'Base stats'!B:B,'Base stats'!E:E),Groups!A:A,Groups!AP:AP))</f>
        <v>No</v>
      </c>
      <c r="BF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+ 24*(1-IF(BE130="No",0,BE130)) + 16/3, 12),"No")</f>
        <v>48</v>
      </c>
      <c r="BG130" s="2">
        <f>IF(AND(_xlfn.XLOOKUP(_xlfn.XLOOKUP(B130,'Base stats'!B:B,'Base stats'!E:E),Groups!A:A,Groups!AQ:AQ)=1,AO130&lt;=0.35),8,12)</f>
        <v>12</v>
      </c>
      <c r="BH130" s="2" t="str">
        <f>IF(_xlfn.XLOOKUP(_xlfn.XLOOKUP(B130,'Base stats'!B:B,'Base stats'!E:E),Groups!A:A,Groups!D:D)=0,_xlfn.XLOOKUP(_xlfn.XLOOKUP(B130,'Base stats'!B:B,'Base stats'!E:E),Groups!A:A,Groups!AR:AR),"None")</f>
        <v>None</v>
      </c>
      <c r="BI130" s="2" t="str">
        <f>IF(AND(_xlfn.XLOOKUP(_xlfn.XLOOKUP(B130,'Base stats'!B:B,'Base stats'!E:E),Groups!A:A,Groups!AS:AS)=1,OR('Base stats'!Y130="Carnivore",'Base stats'!Y130="Omnivore")),"true","false")</f>
        <v>false</v>
      </c>
      <c r="BJ130" s="2" t="str">
        <f>IF(BI130="true",MROUND(IF(AND(AO130&gt;0.5,OR(_xlfn.XLOOKUP(_xlfn.XLOOKUP(B130,'Base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K130" s="2">
        <f t="shared" si="10"/>
        <v>0</v>
      </c>
      <c r="BL130" s="25">
        <f>IF(_xlfn.XLOOKUP(B130,'Base stats'!B:B,'Base stats'!AK:AK)="Standard","No",MROUND((_xlfn.XLOOKUP(B130,'Base stats'!B:B,'Base stats'!AK:AK)/3.6)/I130,0.1))</f>
        <v>1.4000000000000001</v>
      </c>
      <c r="BM130" s="25" t="str">
        <f t="shared" si="11"/>
        <v>true</v>
      </c>
      <c r="BN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O130" s="25" t="str" cm="1">
        <f t="array" ref="BO130">IF(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 = "",
  "No",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
)</f>
        <v>No</v>
      </c>
      <c r="BP130" s="25">
        <f>IF(
   AND(
      'Base stats'!AK130="Standard",_xlfn.XLOOKUP(_xlfn.XLOOKUP(B130,'Base stats'!B:B,'Base stats'!E:E),Groups!A:A,Groups!AU:AU)=0,
      OR(
      BN130="True"
      )
   ),
   10,
   IF(
       OR(BL130&lt;&gt;"No",_xlfn.XLOOKUP(_xlfn.XLOOKUP(B130,'Base stats'!B:B,'Base stats'!E:E),Groups!A:A,Groups!AU:AU)=1),
      1,
      "No"
   )
)</f>
        <v>1</v>
      </c>
      <c r="BQ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stats'!AS:AS) * 1.8) * 2) * 2.5 + 10 + I130 * 2,5)+IF(_xlfn.XLOOKUP(B130,'Base stats'!B:B,'Base stats'!AH:AH)=1,50,0)</f>
        <v>55</v>
      </c>
      <c r="BR130" s="8">
        <f t="shared" si="12"/>
        <v>0.5</v>
      </c>
      <c r="BS130" s="8" t="str">
        <f>_xlfn.XLOOKUP(B130,'Base stats'!B:B,'Base stats'!AD:AD)</f>
        <v>3~8</v>
      </c>
      <c r="BT130" s="2" t="str">
        <f>IF(AND(J130&lt;=0.95,OR(_xlfn.XLOOKUP(B130,'Base stats'!B:B,'Base stats'!AH:AH)=1,_xlfn.XLOOKUP(B130,'Base stats'!B:B,'Base stats'!Y:Y)="Carnivore",_xlfn.XLOOKUP(B130,'Base stats'!B:B,'Base stats'!Y:Y)="Omnivore",BD130&gt;0.1)),"true","false")</f>
        <v>false</v>
      </c>
      <c r="BU130" s="2" t="str">
        <f>IF(_xlfn.XLOOKUP(B130,'Base stats'!B:B,'Base stats'!AF:AF)=1,"true","false")</f>
        <v>false</v>
      </c>
      <c r="BV130" s="25" t="str">
        <f>IF(E130="BaseInsect","AnimalInsect",
IF(J130&gt;0.95,"AnimalExotic",
_xlfn.TEXTJOIN(", ",TRUE,
IF(OR(_xlfn.XLOOKUP(B130,'Base stats'!B:B,'Base stats'!AJ:AJ)=1,AND(_xlfn.XLOOKUP(B130,'Base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stats'!AH:AH)=1,AND(BH130&lt;&gt;"None",BQ130&gt;=60),ISNUMBER(SEARCH("Attack target",BO130))),"AnimalFighter","")
)))</f>
        <v>AnimalCommon</v>
      </c>
      <c r="BW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),_xlfn.XLOOKUP(B130,B:B,BW:BW))</f>
        <v>ColdBog TemperateSwamp</v>
      </c>
      <c r="BX130" s="25" t="str">
        <f>IF(_xlfn.XLOOKUP(B130,'Base stats'!B:B,'Base stats'!AG:AG)=1,"true","false")</f>
        <v>false</v>
      </c>
      <c r="BY130" s="25">
        <f>IF(_xlfn.XLOOKUP(B130,'Base stats'!B:B,'Base stats'!N:N)=1,"No",MAX(0.01,MIN(MROUND(IF(OR(_xlfn.XLOOKUP(B130,'Base stats'!B:B,'Base stats'!AJ:AJ)=1,AND(BI130="True",CB130="False")),POWER(10,3.47*LOG10(_xlfn.XLOOKUP(B130,'Base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stats'!AH:AH)=1),0.5,1)/100,0.025),1)))</f>
        <v>0.25</v>
      </c>
      <c r="BZ130" s="25" t="str">
        <f>IF(P130="Standard","No",MAX(0.01,IF(_xlfn.XLOOKUP(B130,'Base stats'!B:B,'Base stats'!N:N)=0,MROUND(BY130*P130,0.05),MIN(1,MAX(0.025,MROUND(IF(OR(CB130="true",AND(BI130="false",BN130="false")),POWER(10,4.15*LOG10(_xlfn.XLOOKUP(B130,'Base stats'!B:B,'Base stats'!C:C)*1000)^-0.73),POWER(10,3.47*LOG10(_xlfn.XLOOKUP(B130,'Base stats'!B:B,'Base stats'!C:C)*1000)^-0.96))*IF(_xlfn.XLOOKUP(B130,'Base stats'!B:B,'Base stats'!AH:AH)=1,0.5,1)/100,0.025))))))</f>
        <v>No</v>
      </c>
      <c r="CA130" s="25" t="str">
        <f>IF(_xlfn.XLOOKUP(_xlfn.XLOOKUP(B130,'Base stats'!B:B,'Base stats'!E:E),Groups!A:A,Groups!AJ:AJ)="Mammal","True","False")</f>
        <v>True</v>
      </c>
      <c r="CB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C130" s="25" t="str">
        <f t="shared" si="13"/>
        <v>False</v>
      </c>
      <c r="CD130" s="25" t="str">
        <f>IF(_xlfn.XLOOKUP(_xlfn.XLOOKUP(B130,'Base stats'!B:B,'Base stats'!E:E),Groups!A:A,Groups!AX:AX),"True","False")</f>
        <v>False</v>
      </c>
      <c r="CE130" s="25" t="str">
        <f>IF(_xlfn.XLOOKUP(_xlfn.XLOOKUP(B130,'Base stats'!B:B,'Base stats'!E:E),Groups!A:A,Groups!AY:AY),"True","False")</f>
        <v>False</v>
      </c>
      <c r="CF130" s="25" t="str">
        <f>IF(_xlfn.XLOOKUP(_xlfn.XLOOKUP(B130,'Base stats'!B:B,'Base stats'!E:E),Groups!A:A,Groups!AW:AW),"True","False")</f>
        <v>False</v>
      </c>
      <c r="CG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H130" s="25" t="str">
        <f>IF(_xlfn.XLOOKUP(_xlfn.XLOOKUP(B130,'Base stats'!B:B,'Base stats'!E:E),Groups!A:A,Groups!BB:BB),"True","False")</f>
        <v>True</v>
      </c>
      <c r="CI130" s="25" t="str">
        <f>IF(_xlfn.XLOOKUP(_xlfn.XLOOKUP(B130,'Base stats'!B:B,'Base stats'!E:E),Groups!A:A,Groups!BA:BA),"True","False")</f>
        <v>False</v>
      </c>
    </row>
    <row r="131" spans="1:87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stats'!AI:AI)=0,BH131="None",_xlfn.XLOOKUP(_xlfn.XLOOKUP(B131,'Base stats'!B:B,'Base stats'!E:E),Groups!A:A,Groups!B:B)=0), (18 + BQ131 * 2.7) * 0.5,
    IF(AND(_xlfn.XLOOKUP(B131,'Base stats'!B:B,'Base stats'!AI:AI)=0,OR(AO131&lt;0.55,AND(BH131="Intermediate",_xlfn.XLOOKUP(_xlfn.XLOOKUP(B131,'Base stats'!B:B,'Base stats'!E:E),Groups!A:A,Groups!B:B)&lt;2))), (18 + BQ131 * 2.7),
      IF(OR(BH131="Advanced",_xlfn.XLOOKUP(B131,'Base stats'!B:B,'Base stats'!AI:AI)=1,_xlfn.XLOOKUP(_xlfn.XLOOKUP(B131,'Base stats'!B:B,'Base stats'!E:E),Groups!A:A,Groups!B:B)=2), (18 + BQ131 * 2.7) + 250, (18 + BQ131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IF(_xlfn.XLOOKUP(B131,'Base stats'!B:B,'Base stats'!AI:AI)=1,0.99,MIN(MROUND((1-0.6282*EXP(-0.459*AO131))*_xlfn.XLOOKUP(_xlfn.XLOOKUP(B131,'Base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W131)),ISNUMBER(SEARCH("IceSheet",BW131))),-50,IF(OR(ISNUMBER(SEARCH("GlacialPlain",BW131)),ISNUMBER(SEARCH("Tundra",BW131))),-40,IF(OR(ISNUMBER(SEARCH("Alpine",BW131)),ISNUMBER(SEARCH("BorealForest",BW131)),ISNUMBER(SEARCH("ColdBog",BW131))),-30,IF(OR(ISNUMBER(SEARCH("TemperateForest",BW131)),ISNUMBER(SEARCH("TemperateSwamp",BW131))),-20,IF(_xlfn.XLOOKUP(_xlfn.XLOOKUP(B131,'Base stats'!B:B,'Base stats'!E:E),Groups!A:A,Groups!F:F)=1,-15,IF(OR(ISNUMBER(SEARCH("Desert",BW131)),ISNUMBER(SEARCH("ExtremeDesert",BW131))),-10,IF(OR(ISNUMBER(SEARCH("Grasslands",BW131)),ISNUMBER(SEARCH("TropicalRainforest",BW131)),ISNUMBER(SEARCH("TropicalSwamp",BW131))),10,0)))))))-IF(CB131="False",MIN(IFERROR(MAX(MROUND(LOG10(_xlfn.XLOOKUP(B131,'Base stats'!B:B,'Base stats'!C:C)^(2/3))*10,5),5),5),30))-_xlfn.XLOOKUP(B131,'Base stats'!B:B,'Base stats'!P:P)+IF(CB131="True",5,0)</f>
        <v>-25</v>
      </c>
      <c r="M131" s="2">
        <f>IF(OR(_xlfn.XLOOKUP(_xlfn.XLOOKUP(B131,'Base stats'!B:B,'Base stats'!E:E),Groups!A:A,Groups!G:G)=2,ISNUMBER(SEARCH("Desert",BW131)),ISNUMBER(SEARCH("ExtremeDesert",BW131)),ISNUMBER(SEARCH("LavaField",BW131))),50,IF(ISNUMBER(SEARCH("Grasslands",BW131)),45,IF(OR(_xlfn.XLOOKUP(_xlfn.XLOOKUP(B131,'Base stats'!B:B,'Base stats'!E:E),Groups!A:A,Groups!G:G)=1,ISNUMBER(SEARCH("TropicalRainforest",BW131)),ISNUMBER(SEARCH("TropicalSwamp",BW131))),40,IF(OR(ISNUMBER(SEARCH("TemperateForest",BW131)),ISNUMBER(SEARCH("TemperateSwamp",BW131))),35,IF(OR(ISNUMBER(SEARCH("Alpine",BW131)),ISNUMBER(SEARCH("BorealForest",BW131)),ISNUMBER(SEARCH("ColdBog",BW131))),30,IF(ISNUMBER(OR(ISNUMBER(SEARCH("GlacialPlain",BW131)),SEARCH("Tundra",BW131))),25,IF(OR(ISNUMBER(SEARCH("SeaIce",BW131)),ISNUMBER(SEARCH("IceSheet",BW131)),ISNUMBER(SEARCH("TropicalSwamp",BW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stats'!AO:AO))*(AO131^0.5)+(_xlfn.XLOOKUP(B131,'Base stats'!B:B,'Base stats'!AO:AO)/1000)^(2/3)+_xlfn.XLOOKUP(B131,'Base stats'!B:B,'Base stats'!AX:AX)/2)+0.5,0.5)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stats'!AP:AP))*(AO131^0.5)+(_xlfn.XLOOKUP(B131,'Base stats'!B:B,'Base stats'!AP:AP)/1000)^(2/3)+_xlfn.XLOOKUP(B131,'Base stats'!B:B,'Base stats'!AX:AX))+_xlfn.XLOOKUP(B131,'Base stats'!B:B,'Base stats'!AV:AV)+0.5,0.5))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stats'!AR:AR))*(AO131^0.5)+(_xlfn.XLOOKUP(B131,'Base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stats'!AQ:AQ)="No","No",MROUND((LOG10(_xlfn.XLOOKUP(B131,'Base stats'!B:B,'Base stats'!AQ:AQ))*(AO131^0.75)+(_xlfn.XLOOKUP(B131,'Base stats'!B:B,'Base stats'!AQ:AQ)/1000)^(2/3)+_xlfn.XLOOKUP(B131,'Base stats'!B:B,'Base stats'!AU:AU)+_xlfn.XLOOKUP(B131,'Base stats'!B:B,'Base stats'!AX:AX))+0.5,0.5))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stats'!AP:AP))*(AO131^0.75)+(_xlfn.XLOOKUP(B131,'Base stats'!B:B,'Base stats'!AP:AP)/1000)^(2/3)+_xlfn.XLOOKUP(B131,'Base stats'!B:B,'Base stats'!AV:AV)+_xlfn.XLOOKUP(B131,'Base stats'!B:B,'Base stats'!AX:AX))+0.5,0.5))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4">IF(BI131="false","No",MROUND(AO131*5+15*1,5))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MAX(0.01,MROUND(IF(CB131="True",0.196*(AO131*100*1000)^0.889,IF(_xlfn.XLOOKUP(_xlfn.XLOOKUP(B131,'Base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U131" s="8">
        <f t="shared" ref="AU131:AU166" si="15">IF(OR(A131="Queen",A131="Larva",A131="Megachicken"),"No",IFERROR(MROUND(AT131/2,0.05),"Unknown"))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IF(BS131="No","false","true")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stats'!AE:AE)</f>
        <v>Leather_Light</v>
      </c>
      <c r="BB131" s="23" t="str">
        <f>_xlfn.XLOOKUP(_xlfn.XLOOKUP(B131,'Base stats'!B:B,'Base stats'!E:E),Groups!A:A,Groups!AL:AL)</f>
        <v>QuadrupedAnimalWithPaws</v>
      </c>
      <c r="BC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D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E131" s="2" t="str">
        <f>IF(J131&gt;0.3,"No",_xlfn.XLOOKUP(_xlfn.XLOOKUP(Animals!B131,'Base stats'!B:B,'Base stats'!E:E),Groups!A:A,Groups!AP:AP))</f>
        <v>No</v>
      </c>
      <c r="BF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+ 24*(1-IF(BE131="No",0,BE131)) + 16/3, 12),"No")</f>
        <v>No</v>
      </c>
      <c r="BG131" s="2">
        <f>IF(AND(_xlfn.XLOOKUP(_xlfn.XLOOKUP(B131,'Base stats'!B:B,'Base stats'!E:E),Groups!A:A,Groups!AQ:AQ)=1,AO131&lt;=0.35),8,12)</f>
        <v>12</v>
      </c>
      <c r="BH131" s="2" t="str">
        <f>IF(_xlfn.XLOOKUP(_xlfn.XLOOKUP(B131,'Base stats'!B:B,'Base stats'!E:E),Groups!A:A,Groups!D:D)=0,_xlfn.XLOOKUP(_xlfn.XLOOKUP(B131,'Base stats'!B:B,'Base stats'!E:E),Groups!A:A,Groups!AR:AR),"None")</f>
        <v>None</v>
      </c>
      <c r="BI131" s="2" t="str">
        <f>IF(AND(_xlfn.XLOOKUP(_xlfn.XLOOKUP(B131,'Base stats'!B:B,'Base stats'!E:E),Groups!A:A,Groups!AS:AS)=1,OR('Base stats'!Y131="Carnivore",'Base stats'!Y131="Omnivore")),"true","false")</f>
        <v>false</v>
      </c>
      <c r="BJ131" s="2" t="str">
        <f>IF(BI131="true",MROUND(IF(AND(AO131&gt;0.5,OR(_xlfn.XLOOKUP(_xlfn.XLOOKUP(B131,'Base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K131" s="2">
        <f t="shared" ref="BK131:BK162" si="17">IF(BH131&lt;&gt;"None",1,0)</f>
        <v>0</v>
      </c>
      <c r="BL131" s="25" t="str">
        <f>IF(_xlfn.XLOOKUP(B131,'Base stats'!B:B,'Base stats'!AK:AK)="Standard","No",MROUND((_xlfn.XLOOKUP(B131,'Base stats'!B:B,'Base stats'!AK:AK)/3.6)/I131,0.1))</f>
        <v>No</v>
      </c>
      <c r="BM131" s="25" t="str">
        <f t="shared" ref="BM131:BM162" si="18">IF(OR(BL131&lt;&gt;"No",BP131=1),"true","false")</f>
        <v>false</v>
      </c>
      <c r="BN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O131" s="25" t="str" cm="1">
        <f t="array" ref="BO131">IF(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 = "",
  "No",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
)</f>
        <v>No</v>
      </c>
      <c r="BP131" s="25" t="str">
        <f>IF(
   AND(
      'Base stats'!AK131="Standard",_xlfn.XLOOKUP(_xlfn.XLOOKUP(B131,'Base stats'!B:B,'Base stats'!E:E),Groups!A:A,Groups!AU:AU)=0,
      OR(
      BN131="True"
      )
   ),
   10,
   IF(
       OR(BL131&lt;&gt;"No",_xlfn.XLOOKUP(_xlfn.XLOOKUP(B131,'Base stats'!B:B,'Base stats'!E:E),Groups!A:A,Groups!AU:AU)=1),
      1,
      "No"
   )
)</f>
        <v>No</v>
      </c>
      <c r="BQ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stats'!AS:AS) * 1.8) * 2) * 2.5 + 10 + I131 * 2,5)+IF(_xlfn.XLOOKUP(B131,'Base stats'!B:B,'Base stats'!AH:AH)=1,50,0)</f>
        <v>25</v>
      </c>
      <c r="BR131" s="8">
        <f t="shared" ref="BR131:BR162" si="19">MROUND(AO131 * 0.2 + AQ131 * 0.8,0.05)</f>
        <v>0.25</v>
      </c>
      <c r="BS131" s="8" t="str">
        <f>_xlfn.XLOOKUP(B131,'Base stats'!B:B,'Base stats'!AD:AD)</f>
        <v>No</v>
      </c>
      <c r="BT131" s="2" t="str">
        <f>IF(AND(J131&lt;=0.95,OR(_xlfn.XLOOKUP(B131,'Base stats'!B:B,'Base stats'!AH:AH)=1,_xlfn.XLOOKUP(B131,'Base stats'!B:B,'Base stats'!Y:Y)="Carnivore",_xlfn.XLOOKUP(B131,'Base stats'!B:B,'Base stats'!Y:Y)="Omnivore",BD131&gt;0.1)),"true","false")</f>
        <v>true</v>
      </c>
      <c r="BU131" s="2" t="str">
        <f>IF(_xlfn.XLOOKUP(B131,'Base stats'!B:B,'Base stats'!AF:AF)=1,"true","false")</f>
        <v>false</v>
      </c>
      <c r="BV131" s="25" t="str">
        <f>IF(E131="BaseInsect","AnimalInsect",
IF(J131&gt;0.95,"AnimalExotic",
_xlfn.TEXTJOIN(", ",TRUE,
IF(OR(_xlfn.XLOOKUP(B131,'Base stats'!B:B,'Base stats'!AJ:AJ)=1,AND(_xlfn.XLOOKUP(B131,'Base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stats'!AH:AH)=1,AND(BH131&lt;&gt;"None",BQ131&gt;=60),ISNUMBER(SEARCH("Attack target",BO131))),"AnimalFighter","")
)))</f>
        <v>AnimalCommon</v>
      </c>
      <c r="BW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),_xlfn.XLOOKUP(B131,B:B,BW:BW))</f>
        <v>TemperateForest TemperateSwamp</v>
      </c>
      <c r="BX131" s="25" t="str">
        <f>IF(_xlfn.XLOOKUP(B131,'Base stats'!B:B,'Base stats'!AG:AG)=1,"true","false")</f>
        <v>false</v>
      </c>
      <c r="BY131" s="25">
        <f>IF(_xlfn.XLOOKUP(B131,'Base stats'!B:B,'Base stats'!N:N)=1,"No",MAX(0.01,MIN(MROUND(IF(OR(_xlfn.XLOOKUP(B131,'Base stats'!B:B,'Base stats'!AJ:AJ)=1,AND(BI131="True",CB131="False")),POWER(10,3.47*LOG10(_xlfn.XLOOKUP(B131,'Base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stats'!AH:AH)=1),0.5,1)/100,0.025),1)))</f>
        <v>0.67500000000000004</v>
      </c>
      <c r="BZ131" s="25" t="str">
        <f>IF(P131="Standard","No",MAX(0.01,IF(_xlfn.XLOOKUP(B131,'Base stats'!B:B,'Base stats'!N:N)=0,MROUND(BY131*P131,0.05),MIN(1,MAX(0.025,MROUND(IF(OR(CB131="true",AND(BI131="false",BN131="false")),POWER(10,4.15*LOG10(_xlfn.XLOOKUP(B131,'Base stats'!B:B,'Base stats'!C:C)*1000)^-0.73),POWER(10,3.47*LOG10(_xlfn.XLOOKUP(B131,'Base stats'!B:B,'Base stats'!C:C)*1000)^-0.96))*IF(_xlfn.XLOOKUP(B131,'Base stats'!B:B,'Base stats'!AH:AH)=1,0.5,1)/100,0.025))))))</f>
        <v>No</v>
      </c>
      <c r="CA131" s="25" t="str">
        <f>IF(_xlfn.XLOOKUP(_xlfn.XLOOKUP(B131,'Base stats'!B:B,'Base stats'!E:E),Groups!A:A,Groups!AJ:AJ)="Mammal","True","False")</f>
        <v>True</v>
      </c>
      <c r="CB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C131" s="25" t="str">
        <f t="shared" ref="CC131:CC162" si="20">IF(J131&gt;0.95,"True","False")</f>
        <v>False</v>
      </c>
      <c r="CD131" s="25" t="str">
        <f>IF(_xlfn.XLOOKUP(_xlfn.XLOOKUP(B131,'Base stats'!B:B,'Base stats'!E:E),Groups!A:A,Groups!AX:AX),"True","False")</f>
        <v>False</v>
      </c>
      <c r="CE131" s="25" t="str">
        <f>IF(_xlfn.XLOOKUP(_xlfn.XLOOKUP(B131,'Base stats'!B:B,'Base stats'!E:E),Groups!A:A,Groups!AY:AY),"True","False")</f>
        <v>False</v>
      </c>
      <c r="CF131" s="25" t="str">
        <f>IF(_xlfn.XLOOKUP(_xlfn.XLOOKUP(B131,'Base stats'!B:B,'Base stats'!E:E),Groups!A:A,Groups!AW:AW),"True","False")</f>
        <v>False</v>
      </c>
      <c r="CG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H131" s="25" t="str">
        <f>IF(_xlfn.XLOOKUP(_xlfn.XLOOKUP(B131,'Base stats'!B:B,'Base stats'!E:E),Groups!A:A,Groups!BB:BB),"True","False")</f>
        <v>True</v>
      </c>
      <c r="CI131" s="25" t="str">
        <f>IF(_xlfn.XLOOKUP(_xlfn.XLOOKUP(B131,'Base stats'!B:B,'Base stats'!E:E),Groups!A:A,Groups!BA:BA),"True","False")</f>
        <v>False</v>
      </c>
    </row>
    <row r="132" spans="1:87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stats'!AI:AI)=0,BH132="None",_xlfn.XLOOKUP(_xlfn.XLOOKUP(B132,'Base stats'!B:B,'Base stats'!E:E),Groups!A:A,Groups!B:B)=0), (18 + BQ132 * 2.7) * 0.5,
    IF(AND(_xlfn.XLOOKUP(B132,'Base stats'!B:B,'Base stats'!AI:AI)=0,OR(AO132&lt;0.55,AND(BH132="Intermediate",_xlfn.XLOOKUP(_xlfn.XLOOKUP(B132,'Base stats'!B:B,'Base stats'!E:E),Groups!A:A,Groups!B:B)&lt;2))), (18 + BQ132 * 2.7),
      IF(OR(BH132="Advanced",_xlfn.XLOOKUP(B132,'Base stats'!B:B,'Base stats'!AI:AI)=1,_xlfn.XLOOKUP(_xlfn.XLOOKUP(B132,'Base stats'!B:B,'Base stats'!E:E),Groups!A:A,Groups!B:B)=2), (18 + BQ132 * 2.7) + 250, (18 + BQ132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IF(_xlfn.XLOOKUP(B132,'Base stats'!B:B,'Base stats'!AI:AI)=1,0.99,MIN(MROUND((1-0.6282*EXP(-0.459*AO132))*_xlfn.XLOOKUP(_xlfn.XLOOKUP(B132,'Base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W132)),ISNUMBER(SEARCH("IceSheet",BW132))),-50,IF(OR(ISNUMBER(SEARCH("GlacialPlain",BW132)),ISNUMBER(SEARCH("Tundra",BW132))),-40,IF(OR(ISNUMBER(SEARCH("Alpine",BW132)),ISNUMBER(SEARCH("BorealForest",BW132)),ISNUMBER(SEARCH("ColdBog",BW132))),-30,IF(OR(ISNUMBER(SEARCH("TemperateForest",BW132)),ISNUMBER(SEARCH("TemperateSwamp",BW132))),-20,IF(_xlfn.XLOOKUP(_xlfn.XLOOKUP(B132,'Base stats'!B:B,'Base stats'!E:E),Groups!A:A,Groups!F:F)=1,-15,IF(OR(ISNUMBER(SEARCH("Desert",BW132)),ISNUMBER(SEARCH("ExtremeDesert",BW132))),-10,IF(OR(ISNUMBER(SEARCH("Grasslands",BW132)),ISNUMBER(SEARCH("TropicalRainforest",BW132)),ISNUMBER(SEARCH("TropicalSwamp",BW132))),10,0)))))))-IF(CB132="False",MIN(IFERROR(MAX(MROUND(LOG10(_xlfn.XLOOKUP(B132,'Base stats'!B:B,'Base stats'!C:C)^(2/3))*10,5),5),5),30))-_xlfn.XLOOKUP(B132,'Base stats'!B:B,'Base stats'!P:P)+IF(CB132="True",5,0)</f>
        <v>-30</v>
      </c>
      <c r="M132" s="2">
        <f>IF(OR(_xlfn.XLOOKUP(_xlfn.XLOOKUP(B132,'Base stats'!B:B,'Base stats'!E:E),Groups!A:A,Groups!G:G)=2,ISNUMBER(SEARCH("Desert",BW132)),ISNUMBER(SEARCH("ExtremeDesert",BW132)),ISNUMBER(SEARCH("LavaField",BW132))),50,IF(ISNUMBER(SEARCH("Grasslands",BW132)),45,IF(OR(_xlfn.XLOOKUP(_xlfn.XLOOKUP(B132,'Base stats'!B:B,'Base stats'!E:E),Groups!A:A,Groups!G:G)=1,ISNUMBER(SEARCH("TropicalRainforest",BW132)),ISNUMBER(SEARCH("TropicalSwamp",BW132))),40,IF(OR(ISNUMBER(SEARCH("TemperateForest",BW132)),ISNUMBER(SEARCH("TemperateSwamp",BW132))),35,IF(OR(ISNUMBER(SEARCH("Alpine",BW132)),ISNUMBER(SEARCH("BorealForest",BW132)),ISNUMBER(SEARCH("ColdBog",BW132))),30,IF(ISNUMBER(OR(ISNUMBER(SEARCH("GlacialPlain",BW132)),SEARCH("Tundra",BW132))),25,IF(OR(ISNUMBER(SEARCH("SeaIce",BW132)),ISNUMBER(SEARCH("IceSheet",BW132)),ISNUMBER(SEARCH("TropicalSwamp",BW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stats'!AO:AO))*(AO132^0.5)+(_xlfn.XLOOKUP(B132,'Base stats'!B:B,'Base stats'!AO:AO)/1000)^(2/3)+_xlfn.XLOOKUP(B132,'Base stats'!B:B,'Base stats'!AX:AX)/2)+0.5,0.5)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stats'!AP:AP))*(AO132^0.5)+(_xlfn.XLOOKUP(B132,'Base stats'!B:B,'Base stats'!AP:AP)/1000)^(2/3)+_xlfn.XLOOKUP(B132,'Base stats'!B:B,'Base stats'!AX:AX))+_xlfn.XLOOKUP(B132,'Base stats'!B:B,'Base stats'!AV:AV)+0.5,0.5))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stats'!AR:AR))*(AO132^0.5)+(_xlfn.XLOOKUP(B132,'Base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stats'!AQ:AQ)="No","No",MROUND((LOG10(_xlfn.XLOOKUP(B132,'Base stats'!B:B,'Base stats'!AQ:AQ))*(AO132^0.75)+(_xlfn.XLOOKUP(B132,'Base stats'!B:B,'Base stats'!AQ:AQ)/1000)^(2/3)+_xlfn.XLOOKUP(B132,'Base stats'!B:B,'Base stats'!AU:AU)+_xlfn.XLOOKUP(B132,'Base stats'!B:B,'Base stats'!AX:AX))+0.5,0.5))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stats'!AP:AP))*(AO132^0.75)+(_xlfn.XLOOKUP(B132,'Base stats'!B:B,'Base stats'!AP:AP)/1000)^(2/3)+_xlfn.XLOOKUP(B132,'Base stats'!B:B,'Base stats'!AV:AV)+_xlfn.XLOOKUP(B132,'Base stats'!B:B,'Base stats'!AX:AX))+0.5,0.5))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MAX(0.01,MROUND(IF(CB132="True",0.196*(AO132*100*1000)^0.889,IF(_xlfn.XLOOKUP(_xlfn.XLOOKUP(B132,'Base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stats'!AE:AE)</f>
        <v>Leather_Panthera</v>
      </c>
      <c r="BB132" s="23" t="str">
        <f>_xlfn.XLOOKUP(_xlfn.XLOOKUP(B132,'Base stats'!B:B,'Base stats'!E:E),Groups!A:A,Groups!AL:AL)</f>
        <v>QuadrupedAnimalWithPawsAndTail</v>
      </c>
      <c r="BC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D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E132" s="2" t="str">
        <f>IF(J132&gt;0.3,"No",_xlfn.XLOOKUP(_xlfn.XLOOKUP(Animals!B132,'Base stats'!B:B,'Base stats'!E:E),Groups!A:A,Groups!AP:AP))</f>
        <v>No</v>
      </c>
      <c r="BF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+ 24*(1-IF(BE132="No",0,BE132)) + 16/3, 12),"No")</f>
        <v>No</v>
      </c>
      <c r="BG132" s="2">
        <f>IF(AND(_xlfn.XLOOKUP(_xlfn.XLOOKUP(B132,'Base stats'!B:B,'Base stats'!E:E),Groups!A:A,Groups!AQ:AQ)=1,AO132&lt;=0.35),8,12)</f>
        <v>12</v>
      </c>
      <c r="BH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I132" s="2" t="str">
        <f>IF(AND(_xlfn.XLOOKUP(_xlfn.XLOOKUP(B132,'Base stats'!B:B,'Base stats'!E:E),Groups!A:A,Groups!AS:AS)=1,OR('Base stats'!Y132="Carnivore",'Base stats'!Y132="Omnivore")),"true","false")</f>
        <v>true</v>
      </c>
      <c r="BJ132" s="2">
        <f>IF(BI132="true",MROUND(IF(AND(AO132&gt;0.5,OR(_xlfn.XLOOKUP(_xlfn.XLOOKUP(B132,'Base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K132" s="2">
        <f t="shared" si="17"/>
        <v>1</v>
      </c>
      <c r="BL132" s="25" t="str">
        <f>IF(_xlfn.XLOOKUP(B132,'Base stats'!B:B,'Base stats'!AK:AK)="Standard","No",MROUND((_xlfn.XLOOKUP(B132,'Base stats'!B:B,'Base stats'!AK:AK)/3.6)/I132,0.1))</f>
        <v>No</v>
      </c>
      <c r="BM132" s="25" t="str">
        <f t="shared" si="18"/>
        <v>false</v>
      </c>
      <c r="BN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O132" s="25" t="str" cm="1">
        <f t="array" ref="BO132">IF(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 = "",
  "No",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
)</f>
        <v>AttackTarget</v>
      </c>
      <c r="BP132" s="25">
        <f>IF(
   AND(
      'Base stats'!AK132="Standard",_xlfn.XLOOKUP(_xlfn.XLOOKUP(B132,'Base stats'!B:B,'Base stats'!E:E),Groups!A:A,Groups!AU:AU)=0,
      OR(
      BN132="True"
      )
   ),
   10,
   IF(
       OR(BL132&lt;&gt;"No",_xlfn.XLOOKUP(_xlfn.XLOOKUP(B132,'Base stats'!B:B,'Base stats'!E:E),Groups!A:A,Groups!AU:AU)=1),
      1,
      "No"
   )
)</f>
        <v>10</v>
      </c>
      <c r="BQ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stats'!AS:AS) * 1.8) * 2) * 2.5 + 10 + I132 * 2,5)+IF(_xlfn.XLOOKUP(B132,'Base stats'!B:B,'Base stats'!AH:AH)=1,50,0)</f>
        <v>145</v>
      </c>
      <c r="BR132" s="8">
        <f t="shared" si="19"/>
        <v>0.70000000000000007</v>
      </c>
      <c r="BS132" s="8" t="str">
        <f>_xlfn.XLOOKUP(B132,'Base stats'!B:B,'Base stats'!AD:AD)</f>
        <v>No</v>
      </c>
      <c r="BT132" s="2" t="str">
        <f>IF(AND(J132&lt;=0.95,OR(_xlfn.XLOOKUP(B132,'Base stats'!B:B,'Base stats'!AH:AH)=1,_xlfn.XLOOKUP(B132,'Base stats'!B:B,'Base stats'!Y:Y)="Carnivore",_xlfn.XLOOKUP(B132,'Base stats'!B:B,'Base stats'!Y:Y)="Omnivore",BD132&gt;0.1)),"true","false")</f>
        <v>true</v>
      </c>
      <c r="BU132" s="2" t="str">
        <f>IF(_xlfn.XLOOKUP(B132,'Base stats'!B:B,'Base stats'!AF:AF)=1,"true","false")</f>
        <v>false</v>
      </c>
      <c r="BV132" s="25" t="str">
        <f>IF(E132="BaseInsect","AnimalInsect",
IF(J132&gt;0.95,"AnimalExotic",
_xlfn.TEXTJOIN(", ",TRUE,
IF(OR(_xlfn.XLOOKUP(B132,'Base stats'!B:B,'Base stats'!AJ:AJ)=1,AND(_xlfn.XLOOKUP(B132,'Base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stats'!AH:AH)=1,AND(BH132&lt;&gt;"None",BQ132&gt;=60),ISNUMBER(SEARCH("Attack target",BO132))),"AnimalFighter","")
)))</f>
        <v>AnimalUncommon, AnimalFighter</v>
      </c>
      <c r="BW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),_xlfn.XLOOKUP(B132,B:B,BW:BW))</f>
        <v>TropicalRainforest TropicalSwamp Glowforest</v>
      </c>
      <c r="BX132" s="25" t="str">
        <f>IF(_xlfn.XLOOKUP(B132,'Base stats'!B:B,'Base stats'!AG:AG)=1,"true","false")</f>
        <v>false</v>
      </c>
      <c r="BY132" s="25">
        <f>IF(_xlfn.XLOOKUP(B132,'Base stats'!B:B,'Base stats'!N:N)=1,"No",MAX(0.01,MIN(MROUND(IF(OR(_xlfn.XLOOKUP(B132,'Base stats'!B:B,'Base stats'!AJ:AJ)=1,AND(BI132="True",CB132="False")),POWER(10,3.47*LOG10(_xlfn.XLOOKUP(B132,'Base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stats'!AH:AH)=1),0.5,1)/100,0.025),1)))</f>
        <v>0.05</v>
      </c>
      <c r="BZ132" s="25" t="str">
        <f>IF(P132="Standard","No",MAX(0.01,IF(_xlfn.XLOOKUP(B132,'Base stats'!B:B,'Base stats'!N:N)=0,MROUND(BY132*P132,0.05),MIN(1,MAX(0.025,MROUND(IF(OR(CB132="true",AND(BI132="false",BN132="false")),POWER(10,4.15*LOG10(_xlfn.XLOOKUP(B132,'Base stats'!B:B,'Base stats'!C:C)*1000)^-0.73),POWER(10,3.47*LOG10(_xlfn.XLOOKUP(B132,'Base stats'!B:B,'Base stats'!C:C)*1000)^-0.96))*IF(_xlfn.XLOOKUP(B132,'Base stats'!B:B,'Base stats'!AH:AH)=1,0.5,1)/100,0.025))))))</f>
        <v>No</v>
      </c>
      <c r="CA132" s="25" t="str">
        <f>IF(_xlfn.XLOOKUP(_xlfn.XLOOKUP(B132,'Base stats'!B:B,'Base stats'!E:E),Groups!A:A,Groups!AJ:AJ)="Mammal","True","False")</f>
        <v>True</v>
      </c>
      <c r="CB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C132" s="25" t="str">
        <f t="shared" si="20"/>
        <v>False</v>
      </c>
      <c r="CD132" s="25" t="str">
        <f>IF(_xlfn.XLOOKUP(_xlfn.XLOOKUP(B132,'Base stats'!B:B,'Base stats'!E:E),Groups!A:A,Groups!AX:AX),"True","False")</f>
        <v>False</v>
      </c>
      <c r="CE132" s="25" t="str">
        <f>IF(_xlfn.XLOOKUP(_xlfn.XLOOKUP(B132,'Base stats'!B:B,'Base stats'!E:E),Groups!A:A,Groups!AY:AY),"True","False")</f>
        <v>False</v>
      </c>
      <c r="CF132" s="25" t="str">
        <f>IF(_xlfn.XLOOKUP(_xlfn.XLOOKUP(B132,'Base stats'!B:B,'Base stats'!E:E),Groups!A:A,Groups!AW:AW),"True","False")</f>
        <v>False</v>
      </c>
      <c r="CG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H132" s="25" t="str">
        <f>IF(_xlfn.XLOOKUP(_xlfn.XLOOKUP(B132,'Base stats'!B:B,'Base stats'!E:E),Groups!A:A,Groups!BB:BB),"True","False")</f>
        <v>True</v>
      </c>
      <c r="CI132" s="25" t="str">
        <f>IF(_xlfn.XLOOKUP(_xlfn.XLOOKUP(B132,'Base stats'!B:B,'Base stats'!E:E),Groups!A:A,Groups!BA:BA),"True","False")</f>
        <v>False</v>
      </c>
    </row>
    <row r="133" spans="1:87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stats'!AI:AI)=0,BH133="None",_xlfn.XLOOKUP(_xlfn.XLOOKUP(B133,'Base stats'!B:B,'Base stats'!E:E),Groups!A:A,Groups!B:B)=0), (18 + BQ133 * 2.7) * 0.5,
    IF(AND(_xlfn.XLOOKUP(B133,'Base stats'!B:B,'Base stats'!AI:AI)=0,OR(AO133&lt;0.55,AND(BH133="Intermediate",_xlfn.XLOOKUP(_xlfn.XLOOKUP(B133,'Base stats'!B:B,'Base stats'!E:E),Groups!A:A,Groups!B:B)&lt;2))), (18 + BQ133 * 2.7),
      IF(OR(BH133="Advanced",_xlfn.XLOOKUP(B133,'Base stats'!B:B,'Base stats'!AI:AI)=1,_xlfn.XLOOKUP(_xlfn.XLOOKUP(B133,'Base stats'!B:B,'Base stats'!E:E),Groups!A:A,Groups!B:B)=2), (18 + BQ133 * 2.7) + 250, (18 + BQ133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IF(_xlfn.XLOOKUP(B133,'Base stats'!B:B,'Base stats'!AI:AI)=1,0.99,MIN(MROUND((1-0.6282*EXP(-0.459*AO133))*_xlfn.XLOOKUP(_xlfn.XLOOKUP(B133,'Base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W133)),ISNUMBER(SEARCH("IceSheet",BW133))),-50,IF(OR(ISNUMBER(SEARCH("GlacialPlain",BW133)),ISNUMBER(SEARCH("Tundra",BW133))),-40,IF(OR(ISNUMBER(SEARCH("Alpine",BW133)),ISNUMBER(SEARCH("BorealForest",BW133)),ISNUMBER(SEARCH("ColdBog",BW133))),-30,IF(OR(ISNUMBER(SEARCH("TemperateForest",BW133)),ISNUMBER(SEARCH("TemperateSwamp",BW133))),-20,IF(_xlfn.XLOOKUP(_xlfn.XLOOKUP(B133,'Base stats'!B:B,'Base stats'!E:E),Groups!A:A,Groups!F:F)=1,-15,IF(OR(ISNUMBER(SEARCH("Desert",BW133)),ISNUMBER(SEARCH("ExtremeDesert",BW133))),-10,IF(OR(ISNUMBER(SEARCH("Grasslands",BW133)),ISNUMBER(SEARCH("TropicalRainforest",BW133)),ISNUMBER(SEARCH("TropicalSwamp",BW133))),10,0)))))))-IF(CB133="False",MIN(IFERROR(MAX(MROUND(LOG10(_xlfn.XLOOKUP(B133,'Base stats'!B:B,'Base stats'!C:C)^(2/3))*10,5),5),5),30))-_xlfn.XLOOKUP(B133,'Base stats'!B:B,'Base stats'!P:P)+IF(CB133="True",5,0)</f>
        <v>5</v>
      </c>
      <c r="M133" s="2">
        <f>IF(OR(_xlfn.XLOOKUP(_xlfn.XLOOKUP(B133,'Base stats'!B:B,'Base stats'!E:E),Groups!A:A,Groups!G:G)=2,ISNUMBER(SEARCH("Desert",BW133)),ISNUMBER(SEARCH("ExtremeDesert",BW133)),ISNUMBER(SEARCH("LavaField",BW133))),50,IF(ISNUMBER(SEARCH("Grasslands",BW133)),45,IF(OR(_xlfn.XLOOKUP(_xlfn.XLOOKUP(B133,'Base stats'!B:B,'Base stats'!E:E),Groups!A:A,Groups!G:G)=1,ISNUMBER(SEARCH("TropicalRainforest",BW133)),ISNUMBER(SEARCH("TropicalSwamp",BW133))),40,IF(OR(ISNUMBER(SEARCH("TemperateForest",BW133)),ISNUMBER(SEARCH("TemperateSwamp",BW133))),35,IF(OR(ISNUMBER(SEARCH("Alpine",BW133)),ISNUMBER(SEARCH("BorealForest",BW133)),ISNUMBER(SEARCH("ColdBog",BW133))),30,IF(ISNUMBER(OR(ISNUMBER(SEARCH("GlacialPlain",BW133)),SEARCH("Tundra",BW133))),25,IF(OR(ISNUMBER(SEARCH("SeaIce",BW133)),ISNUMBER(SEARCH("IceSheet",BW133)),ISNUMBER(SEARCH("TropicalSwamp",BW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stats'!AO:AO))*(AO133^0.5)+(_xlfn.XLOOKUP(B133,'Base stats'!B:B,'Base stats'!AO:AO)/1000)^(2/3)+_xlfn.XLOOKUP(B133,'Base stats'!B:B,'Base stats'!AX:AX)/2)+0.5,0.5)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stats'!AP:AP))*(AO133^0.5)+(_xlfn.XLOOKUP(B133,'Base stats'!B:B,'Base stats'!AP:AP)/1000)^(2/3)+_xlfn.XLOOKUP(B133,'Base stats'!B:B,'Base stats'!AX:AX))+_xlfn.XLOOKUP(B133,'Base stats'!B:B,'Base stats'!AV:AV)+0.5,0.5))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stats'!AR:AR))*(AO133^0.5)+(_xlfn.XLOOKUP(B133,'Base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stats'!AQ:AQ)="No","No",MROUND((LOG10(_xlfn.XLOOKUP(B133,'Base stats'!B:B,'Base stats'!AQ:AQ))*(AO133^0.75)+(_xlfn.XLOOKUP(B133,'Base stats'!B:B,'Base stats'!AQ:AQ)/1000)^(2/3)+_xlfn.XLOOKUP(B133,'Base stats'!B:B,'Base stats'!AU:AU)+_xlfn.XLOOKUP(B133,'Base stats'!B:B,'Base stats'!AX:AX))+0.5,0.5))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stats'!AP:AP))*(AO133^0.75)+(_xlfn.XLOOKUP(B133,'Base stats'!B:B,'Base stats'!AP:AP)/1000)^(2/3)+_xlfn.XLOOKUP(B133,'Base stats'!B:B,'Base stats'!AV:AV)+_xlfn.XLOOKUP(B133,'Base stats'!B:B,'Base stats'!AX:AX))+0.5,0.5))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MAX(0.01,MROUND(IF(CB133="True",0.196*(AO133*100*1000)^0.889,IF(_xlfn.XLOOKUP(_xlfn.XLOOKUP(B133,'Base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stats'!AE:AE)</f>
        <v>Leather_Light</v>
      </c>
      <c r="BB133" s="23" t="str">
        <f>_xlfn.XLOOKUP(_xlfn.XLOOKUP(B133,'Base stats'!B:B,'Base stats'!E:E),Groups!A:A,Groups!AL:AL)</f>
        <v>Monkey</v>
      </c>
      <c r="BC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D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E133" s="2" t="str">
        <f>IF(J133&gt;0.3,"No",_xlfn.XLOOKUP(_xlfn.XLOOKUP(Animals!B133,'Base stats'!B:B,'Base stats'!E:E),Groups!A:A,Groups!AP:AP))</f>
        <v>No</v>
      </c>
      <c r="BF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+ 24*(1-IF(BE133="No",0,BE133)) + 16/3, 12),"No")</f>
        <v>36</v>
      </c>
      <c r="BG133" s="2">
        <f>IF(AND(_xlfn.XLOOKUP(_xlfn.XLOOKUP(B133,'Base stats'!B:B,'Base stats'!E:E),Groups!A:A,Groups!AQ:AQ)=1,AO133&lt;=0.35),8,12)</f>
        <v>12</v>
      </c>
      <c r="BH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I133" s="2" t="str">
        <f>IF(AND(_xlfn.XLOOKUP(_xlfn.XLOOKUP(B133,'Base stats'!B:B,'Base stats'!E:E),Groups!A:A,Groups!AS:AS)=1,OR('Base stats'!Y133="Carnivore",'Base stats'!Y133="Omnivore")),"true","false")</f>
        <v>false</v>
      </c>
      <c r="BJ133" s="2" t="str">
        <f>IF(BI133="true",MROUND(IF(AND(AO133&gt;0.5,OR(_xlfn.XLOOKUP(_xlfn.XLOOKUP(B133,'Base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K133" s="2">
        <f t="shared" si="17"/>
        <v>1</v>
      </c>
      <c r="BL133" s="25" t="str">
        <f>IF(_xlfn.XLOOKUP(B133,'Base stats'!B:B,'Base stats'!AK:AK)="Standard","No",MROUND((_xlfn.XLOOKUP(B133,'Base stats'!B:B,'Base stats'!AK:AK)/3.6)/I133,0.1))</f>
        <v>No</v>
      </c>
      <c r="BM133" s="25" t="str">
        <f t="shared" si="18"/>
        <v>false</v>
      </c>
      <c r="BN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O133" s="25" t="str" cm="1">
        <f t="array" ref="BO133">IF(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 = "",
  "No",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
)</f>
        <v>Forage, Comfort</v>
      </c>
      <c r="BP133" s="25" t="str">
        <f>IF(
   AND(
      'Base stats'!AK133="Standard",_xlfn.XLOOKUP(_xlfn.XLOOKUP(B133,'Base stats'!B:B,'Base stats'!E:E),Groups!A:A,Groups!AU:AU)=0,
      OR(
      BN133="True"
      )
   ),
   10,
   IF(
       OR(BL133&lt;&gt;"No",_xlfn.XLOOKUP(_xlfn.XLOOKUP(B133,'Base stats'!B:B,'Base stats'!E:E),Groups!A:A,Groups!AU:AU)=1),
      1,
      "No"
   )
)</f>
        <v>No</v>
      </c>
      <c r="BQ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stats'!AS:AS) * 1.8) * 2) * 2.5 + 10 + I133 * 2,5)+IF(_xlfn.XLOOKUP(B133,'Base stats'!B:B,'Base stats'!AH:AH)=1,50,0)</f>
        <v>35</v>
      </c>
      <c r="BR133" s="8">
        <f t="shared" si="19"/>
        <v>0.25</v>
      </c>
      <c r="BS133" s="8" t="str">
        <f>_xlfn.XLOOKUP(B133,'Base stats'!B:B,'Base stats'!AD:AD)</f>
        <v>3~10</v>
      </c>
      <c r="BT133" s="2" t="str">
        <f>IF(AND(J133&lt;=0.95,OR(_xlfn.XLOOKUP(B133,'Base stats'!B:B,'Base stats'!AH:AH)=1,_xlfn.XLOOKUP(B133,'Base stats'!B:B,'Base stats'!Y:Y)="Carnivore",_xlfn.XLOOKUP(B133,'Base stats'!B:B,'Base stats'!Y:Y)="Omnivore",BD133&gt;0.1)),"true","false")</f>
        <v>false</v>
      </c>
      <c r="BU133" s="2" t="str">
        <f>IF(_xlfn.XLOOKUP(B133,'Base stats'!B:B,'Base stats'!AF:AF)=1,"true","false")</f>
        <v>false</v>
      </c>
      <c r="BV133" s="25" t="str">
        <f>IF(E133="BaseInsect","AnimalInsect",
IF(J133&gt;0.95,"AnimalExotic",
_xlfn.TEXTJOIN(", ",TRUE,
IF(OR(_xlfn.XLOOKUP(B133,'Base stats'!B:B,'Base stats'!AJ:AJ)=1,AND(_xlfn.XLOOKUP(B133,'Base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stats'!AH:AH)=1,AND(BH133&lt;&gt;"None",BQ133&gt;=60),ISNUMBER(SEARCH("Attack target",BO133))),"AnimalFighter","")
)))</f>
        <v>AnimalUncommon</v>
      </c>
      <c r="BW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),_xlfn.XLOOKUP(B133,B:B,BW:BW))</f>
        <v>TropicalRainforest TropicalSwamp Glowforest</v>
      </c>
      <c r="BX133" s="25" t="str">
        <f>IF(_xlfn.XLOOKUP(B133,'Base stats'!B:B,'Base stats'!AG:AG)=1,"true","false")</f>
        <v>false</v>
      </c>
      <c r="BY133" s="25">
        <f>IF(_xlfn.XLOOKUP(B133,'Base stats'!B:B,'Base stats'!N:N)=1,"No",MAX(0.01,MIN(MROUND(IF(OR(_xlfn.XLOOKUP(B133,'Base stats'!B:B,'Base stats'!AJ:AJ)=1,AND(BI133="True",CB133="False")),POWER(10,3.47*LOG10(_xlfn.XLOOKUP(B133,'Base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stats'!AH:AH)=1),0.5,1)/100,0.025),1)))</f>
        <v>0.5</v>
      </c>
      <c r="BZ133" s="25" t="str">
        <f>IF(P133="Standard","No",MAX(0.01,IF(_xlfn.XLOOKUP(B133,'Base stats'!B:B,'Base stats'!N:N)=0,MROUND(BY133*P133,0.05),MIN(1,MAX(0.025,MROUND(IF(OR(CB133="true",AND(BI133="false",BN133="false")),POWER(10,4.15*LOG10(_xlfn.XLOOKUP(B133,'Base stats'!B:B,'Base stats'!C:C)*1000)^-0.73),POWER(10,3.47*LOG10(_xlfn.XLOOKUP(B133,'Base stats'!B:B,'Base stats'!C:C)*1000)^-0.96))*IF(_xlfn.XLOOKUP(B133,'Base stats'!B:B,'Base stats'!AH:AH)=1,0.5,1)/100,0.025))))))</f>
        <v>No</v>
      </c>
      <c r="CA133" s="25" t="str">
        <f>IF(_xlfn.XLOOKUP(_xlfn.XLOOKUP(B133,'Base stats'!B:B,'Base stats'!E:E),Groups!A:A,Groups!AJ:AJ)="Mammal","True","False")</f>
        <v>True</v>
      </c>
      <c r="CB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C133" s="25" t="str">
        <f t="shared" si="20"/>
        <v>False</v>
      </c>
      <c r="CD133" s="25" t="str">
        <f>IF(_xlfn.XLOOKUP(_xlfn.XLOOKUP(B133,'Base stats'!B:B,'Base stats'!E:E),Groups!A:A,Groups!AX:AX),"True","False")</f>
        <v>False</v>
      </c>
      <c r="CE133" s="25" t="str">
        <f>IF(_xlfn.XLOOKUP(_xlfn.XLOOKUP(B133,'Base stats'!B:B,'Base stats'!E:E),Groups!A:A,Groups!AY:AY),"True","False")</f>
        <v>False</v>
      </c>
      <c r="CF133" s="25" t="str">
        <f>IF(_xlfn.XLOOKUP(_xlfn.XLOOKUP(B133,'Base stats'!B:B,'Base stats'!E:E),Groups!A:A,Groups!AW:AW),"True","False")</f>
        <v>False</v>
      </c>
      <c r="CG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H133" s="25" t="str">
        <f>IF(_xlfn.XLOOKUP(_xlfn.XLOOKUP(B133,'Base stats'!B:B,'Base stats'!E:E),Groups!A:A,Groups!BB:BB),"True","False")</f>
        <v>True</v>
      </c>
      <c r="CI133" s="25" t="str">
        <f>IF(_xlfn.XLOOKUP(_xlfn.XLOOKUP(B133,'Base stats'!B:B,'Base stats'!E:E),Groups!A:A,Groups!BA:BA),"True","False")</f>
        <v>False</v>
      </c>
    </row>
    <row r="134" spans="1:87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stats'!AI:AI)=0,BH134="None",_xlfn.XLOOKUP(_xlfn.XLOOKUP(B134,'Base stats'!B:B,'Base stats'!E:E),Groups!A:A,Groups!B:B)=0), (18 + BQ134 * 2.7) * 0.5,
    IF(AND(_xlfn.XLOOKUP(B134,'Base stats'!B:B,'Base stats'!AI:AI)=0,OR(AO134&lt;0.55,AND(BH134="Intermediate",_xlfn.XLOOKUP(_xlfn.XLOOKUP(B134,'Base stats'!B:B,'Base stats'!E:E),Groups!A:A,Groups!B:B)&lt;2))), (18 + BQ134 * 2.7),
      IF(OR(BH134="Advanced",_xlfn.XLOOKUP(B134,'Base stats'!B:B,'Base stats'!AI:AI)=1,_xlfn.XLOOKUP(_xlfn.XLOOKUP(B134,'Base stats'!B:B,'Base stats'!E:E),Groups!A:A,Groups!B:B)=2), (18 + BQ134 * 2.7) + 250, (18 + BQ134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IF(_xlfn.XLOOKUP(B134,'Base stats'!B:B,'Base stats'!AI:AI)=1,0.99,MIN(MROUND((1-0.6282*EXP(-0.459*AO134))*_xlfn.XLOOKUP(_xlfn.XLOOKUP(B134,'Base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W134)),ISNUMBER(SEARCH("IceSheet",BW134))),-50,IF(OR(ISNUMBER(SEARCH("GlacialPlain",BW134)),ISNUMBER(SEARCH("Tundra",BW134))),-40,IF(OR(ISNUMBER(SEARCH("Alpine",BW134)),ISNUMBER(SEARCH("BorealForest",BW134)),ISNUMBER(SEARCH("ColdBog",BW134))),-30,IF(OR(ISNUMBER(SEARCH("TemperateForest",BW134)),ISNUMBER(SEARCH("TemperateSwamp",BW134))),-20,IF(_xlfn.XLOOKUP(_xlfn.XLOOKUP(B134,'Base stats'!B:B,'Base stats'!E:E),Groups!A:A,Groups!F:F)=1,-15,IF(OR(ISNUMBER(SEARCH("Desert",BW134)),ISNUMBER(SEARCH("ExtremeDesert",BW134))),-10,IF(OR(ISNUMBER(SEARCH("Grasslands",BW134)),ISNUMBER(SEARCH("TropicalRainforest",BW134)),ISNUMBER(SEARCH("TropicalSwamp",BW134))),10,0)))))))-IF(CB134="False",MIN(IFERROR(MAX(MROUND(LOG10(_xlfn.XLOOKUP(B134,'Base stats'!B:B,'Base stats'!C:C)^(2/3))*10,5),5),5),30))-_xlfn.XLOOKUP(B134,'Base stats'!B:B,'Base stats'!P:P)+IF(CB134="True",5,0)</f>
        <v>0</v>
      </c>
      <c r="M134" s="2">
        <f>IF(OR(_xlfn.XLOOKUP(_xlfn.XLOOKUP(B134,'Base stats'!B:B,'Base stats'!E:E),Groups!A:A,Groups!G:G)=2,ISNUMBER(SEARCH("Desert",BW134)),ISNUMBER(SEARCH("ExtremeDesert",BW134)),ISNUMBER(SEARCH("LavaField",BW134))),50,IF(ISNUMBER(SEARCH("Grasslands",BW134)),45,IF(OR(_xlfn.XLOOKUP(_xlfn.XLOOKUP(B134,'Base stats'!B:B,'Base stats'!E:E),Groups!A:A,Groups!G:G)=1,ISNUMBER(SEARCH("TropicalRainforest",BW134)),ISNUMBER(SEARCH("TropicalSwamp",BW134))),40,IF(OR(ISNUMBER(SEARCH("TemperateForest",BW134)),ISNUMBER(SEARCH("TemperateSwamp",BW134))),35,IF(OR(ISNUMBER(SEARCH("Alpine",BW134)),ISNUMBER(SEARCH("BorealForest",BW134)),ISNUMBER(SEARCH("ColdBog",BW134))),30,IF(ISNUMBER(OR(ISNUMBER(SEARCH("GlacialPlain",BW134)),SEARCH("Tundra",BW134))),25,IF(OR(ISNUMBER(SEARCH("SeaIce",BW134)),ISNUMBER(SEARCH("IceSheet",BW134)),ISNUMBER(SEARCH("TropicalSwamp",BW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stats'!AO:AO))*(AO134^0.5)+(_xlfn.XLOOKUP(B134,'Base stats'!B:B,'Base stats'!AO:AO)/1000)^(2/3)+_xlfn.XLOOKUP(B134,'Base stats'!B:B,'Base stats'!AX:AX)/2)+0.5,0.5)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stats'!AP:AP))*(AO134^0.5)+(_xlfn.XLOOKUP(B134,'Base stats'!B:B,'Base stats'!AP:AP)/1000)^(2/3)+_xlfn.XLOOKUP(B134,'Base stats'!B:B,'Base stats'!AX:AX))+_xlfn.XLOOKUP(B134,'Base stats'!B:B,'Base stats'!AV:AV)+0.5,0.5))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stats'!AR:AR))*(AO134^0.5)+(_xlfn.XLOOKUP(B134,'Base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stats'!AQ:AQ)="No","No",MROUND((LOG10(_xlfn.XLOOKUP(B134,'Base stats'!B:B,'Base stats'!AQ:AQ))*(AO134^0.75)+(_xlfn.XLOOKUP(B134,'Base stats'!B:B,'Base stats'!AQ:AQ)/1000)^(2/3)+_xlfn.XLOOKUP(B134,'Base stats'!B:B,'Base stats'!AU:AU)+_xlfn.XLOOKUP(B134,'Base stats'!B:B,'Base stats'!AX:AX))+0.5,0.5))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stats'!AP:AP))*(AO134^0.75)+(_xlfn.XLOOKUP(B134,'Base stats'!B:B,'Base stats'!AP:AP)/1000)^(2/3)+_xlfn.XLOOKUP(B134,'Base stats'!B:B,'Base stats'!AV:AV)+_xlfn.XLOOKUP(B134,'Base stats'!B:B,'Base stats'!AX:AX))+0.5,0.5))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MAX(0.01,MROUND(IF(CB134="True",0.196*(AO134*100*1000)^0.889,IF(_xlfn.XLOOKUP(_xlfn.XLOOKUP(B134,'Base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stats'!AE:AE)</f>
        <v>Leather_Light</v>
      </c>
      <c r="BB134" s="23" t="str">
        <f>_xlfn.XLOOKUP(_xlfn.XLOOKUP(B134,'Base stats'!B:B,'Base stats'!E:E),Groups!A:A,Groups!AL:AL)</f>
        <v>Monkey</v>
      </c>
      <c r="BC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D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E134" s="2" t="str">
        <f>IF(J134&gt;0.3,"No",_xlfn.XLOOKUP(_xlfn.XLOOKUP(Animals!B134,'Base stats'!B:B,'Base stats'!E:E),Groups!A:A,Groups!AP:AP))</f>
        <v>No</v>
      </c>
      <c r="BF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+ 24*(1-IF(BE134="No",0,BE134)) + 16/3, 12),"No")</f>
        <v>48</v>
      </c>
      <c r="BG134" s="2">
        <f>IF(AND(_xlfn.XLOOKUP(_xlfn.XLOOKUP(B134,'Base stats'!B:B,'Base stats'!E:E),Groups!A:A,Groups!AQ:AQ)=1,AO134&lt;=0.35),8,12)</f>
        <v>12</v>
      </c>
      <c r="BH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I134" s="2" t="str">
        <f>IF(AND(_xlfn.XLOOKUP(_xlfn.XLOOKUP(B134,'Base stats'!B:B,'Base stats'!E:E),Groups!A:A,Groups!AS:AS)=1,OR('Base stats'!Y134="Carnivore",'Base stats'!Y134="Omnivore")),"true","false")</f>
        <v>false</v>
      </c>
      <c r="BJ134" s="2" t="str">
        <f>IF(BI134="true",MROUND(IF(AND(AO134&gt;0.5,OR(_xlfn.XLOOKUP(_xlfn.XLOOKUP(B134,'Base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K134" s="2">
        <f t="shared" si="17"/>
        <v>1</v>
      </c>
      <c r="BL134" s="25" t="str">
        <f>IF(_xlfn.XLOOKUP(B134,'Base stats'!B:B,'Base stats'!AK:AK)="Standard","No",MROUND((_xlfn.XLOOKUP(B134,'Base stats'!B:B,'Base stats'!AK:AK)/3.6)/I134,0.1))</f>
        <v>No</v>
      </c>
      <c r="BM134" s="25" t="str">
        <f t="shared" si="18"/>
        <v>false</v>
      </c>
      <c r="BN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O134" s="25" t="str" cm="1">
        <f t="array" ref="BO134">IF(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 = "",
  "No",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
)</f>
        <v>Forage, AttackTarget</v>
      </c>
      <c r="BP134" s="25" t="str">
        <f>IF(
   AND(
      'Base stats'!AK134="Standard",_xlfn.XLOOKUP(_xlfn.XLOOKUP(B134,'Base stats'!B:B,'Base stats'!E:E),Groups!A:A,Groups!AU:AU)=0,
      OR(
      BN134="True"
      )
   ),
   10,
   IF(
       OR(BL134&lt;&gt;"No",_xlfn.XLOOKUP(_xlfn.XLOOKUP(B134,'Base stats'!B:B,'Base stats'!E:E),Groups!A:A,Groups!AU:AU)=1),
      1,
      "No"
   )
)</f>
        <v>No</v>
      </c>
      <c r="BQ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stats'!AS:AS) * 1.8) * 2) * 2.5 + 10 + I134 * 2,5)+IF(_xlfn.XLOOKUP(B134,'Base stats'!B:B,'Base stats'!AH:AH)=1,50,0)</f>
        <v>60</v>
      </c>
      <c r="BR134" s="8">
        <f t="shared" si="19"/>
        <v>0.45</v>
      </c>
      <c r="BS134" s="8" t="str">
        <f>_xlfn.XLOOKUP(B134,'Base stats'!B:B,'Base stats'!AD:AD)</f>
        <v>3~10</v>
      </c>
      <c r="BT134" s="2" t="str">
        <f>IF(AND(J134&lt;=0.95,OR(_xlfn.XLOOKUP(B134,'Base stats'!B:B,'Base stats'!AH:AH)=1,_xlfn.XLOOKUP(B134,'Base stats'!B:B,'Base stats'!Y:Y)="Carnivore",_xlfn.XLOOKUP(B134,'Base stats'!B:B,'Base stats'!Y:Y)="Omnivore",BD134&gt;0.1)),"true","false")</f>
        <v>false</v>
      </c>
      <c r="BU134" s="2" t="str">
        <f>IF(_xlfn.XLOOKUP(B134,'Base stats'!B:B,'Base stats'!AF:AF)=1,"true","false")</f>
        <v>false</v>
      </c>
      <c r="BV134" s="25" t="str">
        <f>IF(E134="BaseInsect","AnimalInsect",
IF(J134&gt;0.95,"AnimalExotic",
_xlfn.TEXTJOIN(", ",TRUE,
IF(OR(_xlfn.XLOOKUP(B134,'Base stats'!B:B,'Base stats'!AJ:AJ)=1,AND(_xlfn.XLOOKUP(B134,'Base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stats'!AH:AH)=1,AND(BH134&lt;&gt;"None",BQ134&gt;=60),ISNUMBER(SEARCH("Attack target",BO134))),"AnimalFighter","")
)))</f>
        <v>AnimalUncommon, AnimalFighter</v>
      </c>
      <c r="BW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),_xlfn.XLOOKUP(B134,B:B,BW:BW))</f>
        <v>TropicalRainforest TropicalSwamp Glowforest</v>
      </c>
      <c r="BX134" s="25" t="str">
        <f>IF(_xlfn.XLOOKUP(B134,'Base stats'!B:B,'Base stats'!AG:AG)=1,"true","false")</f>
        <v>false</v>
      </c>
      <c r="BY134" s="25">
        <f>IF(_xlfn.XLOOKUP(B134,'Base stats'!B:B,'Base stats'!N:N)=1,"No",MAX(0.01,MIN(MROUND(IF(OR(_xlfn.XLOOKUP(B134,'Base stats'!B:B,'Base stats'!AJ:AJ)=1,AND(BI134="True",CB134="False")),POWER(10,3.47*LOG10(_xlfn.XLOOKUP(B134,'Base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stats'!AH:AH)=1),0.5,1)/100,0.025),1)))</f>
        <v>0.27500000000000002</v>
      </c>
      <c r="BZ134" s="25" t="str">
        <f>IF(P134="Standard","No",MAX(0.01,IF(_xlfn.XLOOKUP(B134,'Base stats'!B:B,'Base stats'!N:N)=0,MROUND(BY134*P134,0.05),MIN(1,MAX(0.025,MROUND(IF(OR(CB134="true",AND(BI134="false",BN134="false")),POWER(10,4.15*LOG10(_xlfn.XLOOKUP(B134,'Base stats'!B:B,'Base stats'!C:C)*1000)^-0.73),POWER(10,3.47*LOG10(_xlfn.XLOOKUP(B134,'Base stats'!B:B,'Base stats'!C:C)*1000)^-0.96))*IF(_xlfn.XLOOKUP(B134,'Base stats'!B:B,'Base stats'!AH:AH)=1,0.5,1)/100,0.025))))))</f>
        <v>No</v>
      </c>
      <c r="CA134" s="25" t="str">
        <f>IF(_xlfn.XLOOKUP(_xlfn.XLOOKUP(B134,'Base stats'!B:B,'Base stats'!E:E),Groups!A:A,Groups!AJ:AJ)="Mammal","True","False")</f>
        <v>True</v>
      </c>
      <c r="CB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C134" s="25" t="str">
        <f t="shared" si="20"/>
        <v>False</v>
      </c>
      <c r="CD134" s="25" t="str">
        <f>IF(_xlfn.XLOOKUP(_xlfn.XLOOKUP(B134,'Base stats'!B:B,'Base stats'!E:E),Groups!A:A,Groups!AX:AX),"True","False")</f>
        <v>False</v>
      </c>
      <c r="CE134" s="25" t="str">
        <f>IF(_xlfn.XLOOKUP(_xlfn.XLOOKUP(B134,'Base stats'!B:B,'Base stats'!E:E),Groups!A:A,Groups!AY:AY),"True","False")</f>
        <v>False</v>
      </c>
      <c r="CF134" s="25" t="str">
        <f>IF(_xlfn.XLOOKUP(_xlfn.XLOOKUP(B134,'Base stats'!B:B,'Base stats'!E:E),Groups!A:A,Groups!AW:AW),"True","False")</f>
        <v>False</v>
      </c>
      <c r="CG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H134" s="25" t="str">
        <f>IF(_xlfn.XLOOKUP(_xlfn.XLOOKUP(B134,'Base stats'!B:B,'Base stats'!E:E),Groups!A:A,Groups!BB:BB),"True","False")</f>
        <v>True</v>
      </c>
      <c r="CI134" s="25" t="str">
        <f>IF(_xlfn.XLOOKUP(_xlfn.XLOOKUP(B134,'Base stats'!B:B,'Base stats'!E:E),Groups!A:A,Groups!BA:BA),"True","False")</f>
        <v>False</v>
      </c>
    </row>
    <row r="135" spans="1:87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stats'!AI:AI)=0,BH135="None",_xlfn.XLOOKUP(_xlfn.XLOOKUP(B135,'Base stats'!B:B,'Base stats'!E:E),Groups!A:A,Groups!B:B)=0), (18 + BQ135 * 2.7) * 0.5,
    IF(AND(_xlfn.XLOOKUP(B135,'Base stats'!B:B,'Base stats'!AI:AI)=0,OR(AO135&lt;0.55,AND(BH135="Intermediate",_xlfn.XLOOKUP(_xlfn.XLOOKUP(B135,'Base stats'!B:B,'Base stats'!E:E),Groups!A:A,Groups!B:B)&lt;2))), (18 + BQ135 * 2.7),
      IF(OR(BH135="Advanced",_xlfn.XLOOKUP(B135,'Base stats'!B:B,'Base stats'!AI:AI)=1,_xlfn.XLOOKUP(_xlfn.XLOOKUP(B135,'Base stats'!B:B,'Base stats'!E:E),Groups!A:A,Groups!B:B)=2), (18 + BQ135 * 2.7) + 250, (18 + BQ135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IF(_xlfn.XLOOKUP(B135,'Base stats'!B:B,'Base stats'!AI:AI)=1,0.99,MIN(MROUND((1-0.6282*EXP(-0.459*AO135))*_xlfn.XLOOKUP(_xlfn.XLOOKUP(B135,'Base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W135)),ISNUMBER(SEARCH("IceSheet",BW135))),-50,IF(OR(ISNUMBER(SEARCH("GlacialPlain",BW135)),ISNUMBER(SEARCH("Tundra",BW135))),-40,IF(OR(ISNUMBER(SEARCH("Alpine",BW135)),ISNUMBER(SEARCH("BorealForest",BW135)),ISNUMBER(SEARCH("ColdBog",BW135))),-30,IF(OR(ISNUMBER(SEARCH("TemperateForest",BW135)),ISNUMBER(SEARCH("TemperateSwamp",BW135))),-20,IF(_xlfn.XLOOKUP(_xlfn.XLOOKUP(B135,'Base stats'!B:B,'Base stats'!E:E),Groups!A:A,Groups!F:F)=1,-15,IF(OR(ISNUMBER(SEARCH("Desert",BW135)),ISNUMBER(SEARCH("ExtremeDesert",BW135))),-10,IF(OR(ISNUMBER(SEARCH("Grasslands",BW135)),ISNUMBER(SEARCH("TropicalRainforest",BW135)),ISNUMBER(SEARCH("TropicalSwamp",BW135))),10,0)))))))-IF(CB135="False",MIN(IFERROR(MAX(MROUND(LOG10(_xlfn.XLOOKUP(B135,'Base stats'!B:B,'Base stats'!C:C)^(2/3))*10,5),5),5),30))-_xlfn.XLOOKUP(B135,'Base stats'!B:B,'Base stats'!P:P)+IF(CB135="True",5,0)</f>
        <v>-30</v>
      </c>
      <c r="M135" s="2">
        <f>IF(OR(_xlfn.XLOOKUP(_xlfn.XLOOKUP(B135,'Base stats'!B:B,'Base stats'!E:E),Groups!A:A,Groups!G:G)=2,ISNUMBER(SEARCH("Desert",BW135)),ISNUMBER(SEARCH("ExtremeDesert",BW135)),ISNUMBER(SEARCH("LavaField",BW135))),50,IF(ISNUMBER(SEARCH("Grasslands",BW135)),45,IF(OR(_xlfn.XLOOKUP(_xlfn.XLOOKUP(B135,'Base stats'!B:B,'Base stats'!E:E),Groups!A:A,Groups!G:G)=1,ISNUMBER(SEARCH("TropicalRainforest",BW135)),ISNUMBER(SEARCH("TropicalSwamp",BW135))),40,IF(OR(ISNUMBER(SEARCH("TemperateForest",BW135)),ISNUMBER(SEARCH("TemperateSwamp",BW135))),35,IF(OR(ISNUMBER(SEARCH("Alpine",BW135)),ISNUMBER(SEARCH("BorealForest",BW135)),ISNUMBER(SEARCH("ColdBog",BW135))),30,IF(ISNUMBER(OR(ISNUMBER(SEARCH("GlacialPlain",BW135)),SEARCH("Tundra",BW135))),25,IF(OR(ISNUMBER(SEARCH("SeaIce",BW135)),ISNUMBER(SEARCH("IceSheet",BW135)),ISNUMBER(SEARCH("TropicalSwamp",BW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stats'!AO:AO))*(AO135^0.5)+(_xlfn.XLOOKUP(B135,'Base stats'!B:B,'Base stats'!AO:AO)/1000)^(2/3)+_xlfn.XLOOKUP(B135,'Base stats'!B:B,'Base stats'!AX:AX)/2)+0.5,0.5)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stats'!AP:AP))*(AO135^0.5)+(_xlfn.XLOOKUP(B135,'Base stats'!B:B,'Base stats'!AP:AP)/1000)^(2/3)+_xlfn.XLOOKUP(B135,'Base stats'!B:B,'Base stats'!AX:AX))+_xlfn.XLOOKUP(B135,'Base stats'!B:B,'Base stats'!AV:AV)+0.5,0.5))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stats'!AR:AR))*(AO135^0.5)+(_xlfn.XLOOKUP(B135,'Base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stats'!AQ:AQ)="No","No",MROUND((LOG10(_xlfn.XLOOKUP(B135,'Base stats'!B:B,'Base stats'!AQ:AQ))*(AO135^0.75)+(_xlfn.XLOOKUP(B135,'Base stats'!B:B,'Base stats'!AQ:AQ)/1000)^(2/3)+_xlfn.XLOOKUP(B135,'Base stats'!B:B,'Base stats'!AU:AU)+_xlfn.XLOOKUP(B135,'Base stats'!B:B,'Base stats'!AX:AX))+0.5,0.5))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stats'!AP:AP))*(AO135^0.75)+(_xlfn.XLOOKUP(B135,'Base stats'!B:B,'Base stats'!AP:AP)/1000)^(2/3)+_xlfn.XLOOKUP(B135,'Base stats'!B:B,'Base stats'!AV:AV)+_xlfn.XLOOKUP(B135,'Base stats'!B:B,'Base stats'!AX:AX))+0.5,0.5))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MAX(0.01,MROUND(IF(CB135="True",0.196*(AO135*100*1000)^0.889,IF(_xlfn.XLOOKUP(_xlfn.XLOOKUP(B135,'Base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stats'!AE:AE)</f>
        <v>Leather_Plain</v>
      </c>
      <c r="BB135" s="23" t="str">
        <f>_xlfn.XLOOKUP(_xlfn.XLOOKUP(B135,'Base stats'!B:B,'Base stats'!E:E),Groups!A:A,Groups!AL:AL)</f>
        <v>QuadrupedAnimalWithHooves</v>
      </c>
      <c r="BC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D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E135" s="2" t="str">
        <f>IF(J135&gt;0.3,"No",_xlfn.XLOOKUP(_xlfn.XLOOKUP(Animals!B135,'Base stats'!B:B,'Base stats'!E:E),Groups!A:A,Groups!AP:AP))</f>
        <v>No</v>
      </c>
      <c r="BF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+ 24*(1-IF(BE135="No",0,BE135)) + 16/3, 12),"No")</f>
        <v>No</v>
      </c>
      <c r="BG135" s="2">
        <f>IF(AND(_xlfn.XLOOKUP(_xlfn.XLOOKUP(B135,'Base stats'!B:B,'Base stats'!E:E),Groups!A:A,Groups!AQ:AQ)=1,AO135&lt;=0.35),8,12)</f>
        <v>12</v>
      </c>
      <c r="BH135" s="2" t="str">
        <f>IF(_xlfn.XLOOKUP(_xlfn.XLOOKUP(B135,'Base stats'!B:B,'Base stats'!E:E),Groups!A:A,Groups!D:D)=0,_xlfn.XLOOKUP(_xlfn.XLOOKUP(B135,'Base stats'!B:B,'Base stats'!E:E),Groups!A:A,Groups!AR:AR),"None")</f>
        <v>None</v>
      </c>
      <c r="BI135" s="2" t="str">
        <f>IF(AND(_xlfn.XLOOKUP(_xlfn.XLOOKUP(B135,'Base stats'!B:B,'Base stats'!E:E),Groups!A:A,Groups!AS:AS)=1,OR('Base stats'!Y135="Carnivore",'Base stats'!Y135="Omnivore")),"true","false")</f>
        <v>false</v>
      </c>
      <c r="BJ135" s="2" t="str">
        <f>IF(BI135="true",MROUND(IF(AND(AO135&gt;0.5,OR(_xlfn.XLOOKUP(_xlfn.XLOOKUP(B135,'Base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K135" s="2">
        <f t="shared" si="17"/>
        <v>0</v>
      </c>
      <c r="BL135" s="25" t="str">
        <f>IF(_xlfn.XLOOKUP(B135,'Base stats'!B:B,'Base stats'!AK:AK)="Standard","No",MROUND((_xlfn.XLOOKUP(B135,'Base stats'!B:B,'Base stats'!AK:AK)/3.6)/I135,0.1))</f>
        <v>No</v>
      </c>
      <c r="BM135" s="25" t="str">
        <f t="shared" si="18"/>
        <v>false</v>
      </c>
      <c r="BN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O135" s="25" t="str" cm="1">
        <f t="array" ref="BO135">IF(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 = "",
  "No",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
)</f>
        <v>No</v>
      </c>
      <c r="BP135" s="25" t="str">
        <f>IF(
   AND(
      'Base stats'!AK135="Standard",_xlfn.XLOOKUP(_xlfn.XLOOKUP(B135,'Base stats'!B:B,'Base stats'!E:E),Groups!A:A,Groups!AU:AU)=0,
      OR(
      BN135="True"
      )
   ),
   10,
   IF(
       OR(BL135&lt;&gt;"No",_xlfn.XLOOKUP(_xlfn.XLOOKUP(B135,'Base stats'!B:B,'Base stats'!E:E),Groups!A:A,Groups!AU:AU)=1),
      1,
      "No"
   )
)</f>
        <v>No</v>
      </c>
      <c r="BQ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stats'!AS:AS) * 1.8) * 2) * 2.5 + 10 + I135 * 2,5)+IF(_xlfn.XLOOKUP(B135,'Base stats'!B:B,'Base stats'!AH:AH)=1,50,0)</f>
        <v>150</v>
      </c>
      <c r="BR135" s="8">
        <f t="shared" si="19"/>
        <v>1.2000000000000002</v>
      </c>
      <c r="BS135" s="8" t="str">
        <f>_xlfn.XLOOKUP(B135,'Base stats'!B:B,'Base stats'!AD:AD)</f>
        <v>No</v>
      </c>
      <c r="BT135" s="2" t="str">
        <f>IF(AND(J135&lt;=0.95,OR(_xlfn.XLOOKUP(B135,'Base stats'!B:B,'Base stats'!AH:AH)=1,_xlfn.XLOOKUP(B135,'Base stats'!B:B,'Base stats'!Y:Y)="Carnivore",_xlfn.XLOOKUP(B135,'Base stats'!B:B,'Base stats'!Y:Y)="Omnivore",BD135&gt;0.1)),"true","false")</f>
        <v>false</v>
      </c>
      <c r="BU135" s="2" t="str">
        <f>IF(_xlfn.XLOOKUP(B135,'Base stats'!B:B,'Base stats'!AF:AF)=1,"true","false")</f>
        <v>false</v>
      </c>
      <c r="BV135" s="25" t="str">
        <f>IF(E135="BaseInsect","AnimalInsect",
IF(J135&gt;0.95,"AnimalExotic",
_xlfn.TEXTJOIN(", ",TRUE,
IF(OR(_xlfn.XLOOKUP(B135,'Base stats'!B:B,'Base stats'!AJ:AJ)=1,AND(_xlfn.XLOOKUP(B135,'Base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stats'!AH:AH)=1,AND(BH135&lt;&gt;"None",BQ135&gt;=60),ISNUMBER(SEARCH("Attack target",BO135))),"AnimalFighter","")
)))</f>
        <v>AnimalCommon</v>
      </c>
      <c r="BW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),_xlfn.XLOOKUP(B135,B:B,BW:BW))</f>
        <v>TropicalRainforest TropicalSwamp Glowforest</v>
      </c>
      <c r="BX135" s="25" t="str">
        <f>IF(_xlfn.XLOOKUP(B135,'Base stats'!B:B,'Base stats'!AG:AG)=1,"true","false")</f>
        <v>false</v>
      </c>
      <c r="BY135" s="25">
        <f>IF(_xlfn.XLOOKUP(B135,'Base stats'!B:B,'Base stats'!N:N)=1,"No",MAX(0.01,MIN(MROUND(IF(OR(_xlfn.XLOOKUP(B135,'Base stats'!B:B,'Base stats'!AJ:AJ)=1,AND(BI135="True",CB135="False")),POWER(10,3.47*LOG10(_xlfn.XLOOKUP(B135,'Base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stats'!AH:AH)=1),0.5,1)/100,0.025),1)))</f>
        <v>0.15000000000000002</v>
      </c>
      <c r="BZ135" s="25" t="str">
        <f>IF(P135="Standard","No",MAX(0.01,IF(_xlfn.XLOOKUP(B135,'Base stats'!B:B,'Base stats'!N:N)=0,MROUND(BY135*P135,0.05),MIN(1,MAX(0.025,MROUND(IF(OR(CB135="true",AND(BI135="false",BN135="false")),POWER(10,4.15*LOG10(_xlfn.XLOOKUP(B135,'Base stats'!B:B,'Base stats'!C:C)*1000)^-0.73),POWER(10,3.47*LOG10(_xlfn.XLOOKUP(B135,'Base stats'!B:B,'Base stats'!C:C)*1000)^-0.96))*IF(_xlfn.XLOOKUP(B135,'Base stats'!B:B,'Base stats'!AH:AH)=1,0.5,1)/100,0.025))))))</f>
        <v>No</v>
      </c>
      <c r="CA135" s="25" t="str">
        <f>IF(_xlfn.XLOOKUP(_xlfn.XLOOKUP(B135,'Base stats'!B:B,'Base stats'!E:E),Groups!A:A,Groups!AJ:AJ)="Mammal","True","False")</f>
        <v>True</v>
      </c>
      <c r="CB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C135" s="25" t="str">
        <f t="shared" si="20"/>
        <v>False</v>
      </c>
      <c r="CD135" s="25" t="str">
        <f>IF(_xlfn.XLOOKUP(_xlfn.XLOOKUP(B135,'Base stats'!B:B,'Base stats'!E:E),Groups!A:A,Groups!AX:AX),"True","False")</f>
        <v>False</v>
      </c>
      <c r="CE135" s="25" t="str">
        <f>IF(_xlfn.XLOOKUP(_xlfn.XLOOKUP(B135,'Base stats'!B:B,'Base stats'!E:E),Groups!A:A,Groups!AY:AY),"True","False")</f>
        <v>False</v>
      </c>
      <c r="CF135" s="25" t="str">
        <f>IF(_xlfn.XLOOKUP(_xlfn.XLOOKUP(B135,'Base stats'!B:B,'Base stats'!E:E),Groups!A:A,Groups!AW:AW),"True","False")</f>
        <v>False</v>
      </c>
      <c r="CG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H135" s="25" t="str">
        <f>IF(_xlfn.XLOOKUP(_xlfn.XLOOKUP(B135,'Base stats'!B:B,'Base stats'!E:E),Groups!A:A,Groups!BB:BB),"True","False")</f>
        <v>True</v>
      </c>
      <c r="CI135" s="25" t="str">
        <f>IF(_xlfn.XLOOKUP(_xlfn.XLOOKUP(B135,'Base stats'!B:B,'Base stats'!E:E),Groups!A:A,Groups!BA:BA),"True","False")</f>
        <v>False</v>
      </c>
    </row>
    <row r="136" spans="1:87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stats'!AI:AI)=0,BH136="None",_xlfn.XLOOKUP(_xlfn.XLOOKUP(B136,'Base stats'!B:B,'Base stats'!E:E),Groups!A:A,Groups!B:B)=0), (18 + BQ136 * 2.7) * 0.5,
    IF(AND(_xlfn.XLOOKUP(B136,'Base stats'!B:B,'Base stats'!AI:AI)=0,OR(AO136&lt;0.55,AND(BH136="Intermediate",_xlfn.XLOOKUP(_xlfn.XLOOKUP(B136,'Base stats'!B:B,'Base stats'!E:E),Groups!A:A,Groups!B:B)&lt;2))), (18 + BQ136 * 2.7),
      IF(OR(BH136="Advanced",_xlfn.XLOOKUP(B136,'Base stats'!B:B,'Base stats'!AI:AI)=1,_xlfn.XLOOKUP(_xlfn.XLOOKUP(B136,'Base stats'!B:B,'Base stats'!E:E),Groups!A:A,Groups!B:B)=2), (18 + BQ136 * 2.7) + 250, (18 + BQ136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IF(_xlfn.XLOOKUP(B136,'Base stats'!B:B,'Base stats'!AI:AI)=1,0.99,MIN(MROUND((1-0.6282*EXP(-0.459*AO136))*_xlfn.XLOOKUP(_xlfn.XLOOKUP(B136,'Base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W136)),ISNUMBER(SEARCH("IceSheet",BW136))),-50,IF(OR(ISNUMBER(SEARCH("GlacialPlain",BW136)),ISNUMBER(SEARCH("Tundra",BW136))),-40,IF(OR(ISNUMBER(SEARCH("Alpine",BW136)),ISNUMBER(SEARCH("BorealForest",BW136)),ISNUMBER(SEARCH("ColdBog",BW136))),-30,IF(OR(ISNUMBER(SEARCH("TemperateForest",BW136)),ISNUMBER(SEARCH("TemperateSwamp",BW136))),-20,IF(_xlfn.XLOOKUP(_xlfn.XLOOKUP(B136,'Base stats'!B:B,'Base stats'!E:E),Groups!A:A,Groups!F:F)=1,-15,IF(OR(ISNUMBER(SEARCH("Desert",BW136)),ISNUMBER(SEARCH("ExtremeDesert",BW136))),-10,IF(OR(ISNUMBER(SEARCH("Grasslands",BW136)),ISNUMBER(SEARCH("TropicalRainforest",BW136)),ISNUMBER(SEARCH("TropicalSwamp",BW136))),10,0)))))))-IF(CB136="False",MIN(IFERROR(MAX(MROUND(LOG10(_xlfn.XLOOKUP(B136,'Base stats'!B:B,'Base stats'!C:C)^(2/3))*10,5),5),5),30))-_xlfn.XLOOKUP(B136,'Base stats'!B:B,'Base stats'!P:P)+IF(CB136="True",5,0)</f>
        <v>15</v>
      </c>
      <c r="M136" s="2">
        <f>IF(OR(_xlfn.XLOOKUP(_xlfn.XLOOKUP(B136,'Base stats'!B:B,'Base stats'!E:E),Groups!A:A,Groups!G:G)=2,ISNUMBER(SEARCH("Desert",BW136)),ISNUMBER(SEARCH("ExtremeDesert",BW136)),ISNUMBER(SEARCH("LavaField",BW136))),50,IF(ISNUMBER(SEARCH("Grasslands",BW136)),45,IF(OR(_xlfn.XLOOKUP(_xlfn.XLOOKUP(B136,'Base stats'!B:B,'Base stats'!E:E),Groups!A:A,Groups!G:G)=1,ISNUMBER(SEARCH("TropicalRainforest",BW136)),ISNUMBER(SEARCH("TropicalSwamp",BW136))),40,IF(OR(ISNUMBER(SEARCH("TemperateForest",BW136)),ISNUMBER(SEARCH("TemperateSwamp",BW136))),35,IF(OR(ISNUMBER(SEARCH("Alpine",BW136)),ISNUMBER(SEARCH("BorealForest",BW136)),ISNUMBER(SEARCH("ColdBog",BW136))),30,IF(ISNUMBER(OR(ISNUMBER(SEARCH("GlacialPlain",BW136)),SEARCH("Tundra",BW136))),25,IF(OR(ISNUMBER(SEARCH("SeaIce",BW136)),ISNUMBER(SEARCH("IceSheet",BW136)),ISNUMBER(SEARCH("TropicalSwamp",BW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stats'!AO:AO))*(AO136^0.5)+(_xlfn.XLOOKUP(B136,'Base stats'!B:B,'Base stats'!AO:AO)/1000)^(2/3)+_xlfn.XLOOKUP(B136,'Base stats'!B:B,'Base stats'!AX:AX)/2)+0.5,0.5)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stats'!AP:AP))*(AO136^0.5)+(_xlfn.XLOOKUP(B136,'Base stats'!B:B,'Base stats'!AP:AP)/1000)^(2/3)+_xlfn.XLOOKUP(B136,'Base stats'!B:B,'Base stats'!AX:AX))+_xlfn.XLOOKUP(B136,'Base stats'!B:B,'Base stats'!AV:AV)+0.5,0.5))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stats'!AR:AR))*(AO136^0.5)+(_xlfn.XLOOKUP(B136,'Base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stats'!AQ:AQ)="No","No",MROUND((LOG10(_xlfn.XLOOKUP(B136,'Base stats'!B:B,'Base stats'!AQ:AQ))*(AO136^0.75)+(_xlfn.XLOOKUP(B136,'Base stats'!B:B,'Base stats'!AQ:AQ)/1000)^(2/3)+_xlfn.XLOOKUP(B136,'Base stats'!B:B,'Base stats'!AU:AU)+_xlfn.XLOOKUP(B136,'Base stats'!B:B,'Base stats'!AX:AX))+0.5,0.5))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stats'!AP:AP))*(AO136^0.75)+(_xlfn.XLOOKUP(B136,'Base stats'!B:B,'Base stats'!AP:AP)/1000)^(2/3)+_xlfn.XLOOKUP(B136,'Base stats'!B:B,'Base stats'!AV:AV)+_xlfn.XLOOKUP(B136,'Base stats'!B:B,'Base stats'!AX:AX))+0.5,0.5))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MAX(0.01,MROUND(IF(CB136="True",0.196*(AO136*100*1000)^0.889,IF(_xlfn.XLOOKUP(_xlfn.XLOOKUP(B136,'Base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stats'!AE:AE)</f>
        <v>Leather_Lizard</v>
      </c>
      <c r="BB136" s="23" t="str">
        <f>_xlfn.XLOOKUP(_xlfn.XLOOKUP(B136,'Base stats'!B:B,'Base stats'!E:E),Groups!A:A,Groups!AL:AL)</f>
        <v>Snake</v>
      </c>
      <c r="BC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D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E136" s="2" t="str">
        <f>IF(J136&gt;0.3,"No",_xlfn.XLOOKUP(_xlfn.XLOOKUP(Animals!B136,'Base stats'!B:B,'Base stats'!E:E),Groups!A:A,Groups!AP:AP))</f>
        <v>No</v>
      </c>
      <c r="BF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+ 24*(1-IF(BE136="No",0,BE136)) + 16/3, 12),"No")</f>
        <v>No</v>
      </c>
      <c r="BG136" s="2">
        <f>IF(AND(_xlfn.XLOOKUP(_xlfn.XLOOKUP(B136,'Base stats'!B:B,'Base stats'!E:E),Groups!A:A,Groups!AQ:AQ)=1,AO136&lt;=0.35),8,12)</f>
        <v>12</v>
      </c>
      <c r="BH136" s="2" t="str">
        <f>IF(_xlfn.XLOOKUP(_xlfn.XLOOKUP(B136,'Base stats'!B:B,'Base stats'!E:E),Groups!A:A,Groups!D:D)=0,_xlfn.XLOOKUP(_xlfn.XLOOKUP(B136,'Base stats'!B:B,'Base stats'!E:E),Groups!A:A,Groups!AR:AR),"None")</f>
        <v>None</v>
      </c>
      <c r="BI136" s="2" t="str">
        <f>IF(AND(_xlfn.XLOOKUP(_xlfn.XLOOKUP(B136,'Base stats'!B:B,'Base stats'!E:E),Groups!A:A,Groups!AS:AS)=1,OR('Base stats'!Y136="Carnivore",'Base stats'!Y136="Omnivore")),"true","false")</f>
        <v>true</v>
      </c>
      <c r="BJ136" s="2">
        <f>IF(BI136="true",MROUND(IF(AND(AO136&gt;0.5,OR(_xlfn.XLOOKUP(_xlfn.XLOOKUP(B136,'Base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K136" s="2">
        <f t="shared" si="17"/>
        <v>0</v>
      </c>
      <c r="BL136" s="25">
        <f>IF(_xlfn.XLOOKUP(B136,'Base stats'!B:B,'Base stats'!AK:AK)="Standard","No",MROUND((_xlfn.XLOOKUP(B136,'Base stats'!B:B,'Base stats'!AK:AK)/3.6)/I136,0.1))</f>
        <v>2.8000000000000003</v>
      </c>
      <c r="BM136" s="25" t="str">
        <f t="shared" si="18"/>
        <v>true</v>
      </c>
      <c r="BN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O136" s="25" t="str" cm="1">
        <f t="array" ref="BO136">IF(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 = "",
  "No",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
)</f>
        <v>No</v>
      </c>
      <c r="BP136" s="25">
        <f>IF(
   AND(
      'Base stats'!AK136="Standard",_xlfn.XLOOKUP(_xlfn.XLOOKUP(B136,'Base stats'!B:B,'Base stats'!E:E),Groups!A:A,Groups!AU:AU)=0,
      OR(
      BN136="True"
      )
   ),
   10,
   IF(
       OR(BL136&lt;&gt;"No",_xlfn.XLOOKUP(_xlfn.XLOOKUP(B136,'Base stats'!B:B,'Base stats'!E:E),Groups!A:A,Groups!AU:AU)=1),
      1,
      "No"
   )
)</f>
        <v>1</v>
      </c>
      <c r="BQ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stats'!AS:AS) * 1.8) * 2) * 2.5 + 10 + I136 * 2,5)+IF(_xlfn.XLOOKUP(B136,'Base stats'!B:B,'Base stats'!AH:AH)=1,50,0)</f>
        <v>85</v>
      </c>
      <c r="BR136" s="8">
        <f t="shared" si="19"/>
        <v>0.35000000000000003</v>
      </c>
      <c r="BS136" s="8" t="str">
        <f>_xlfn.XLOOKUP(B136,'Base stats'!B:B,'Base stats'!AD:AD)</f>
        <v>No</v>
      </c>
      <c r="BT136" s="2" t="str">
        <f>IF(AND(J136&lt;=0.95,OR(_xlfn.XLOOKUP(B136,'Base stats'!B:B,'Base stats'!AH:AH)=1,_xlfn.XLOOKUP(B136,'Base stats'!B:B,'Base stats'!Y:Y)="Carnivore",_xlfn.XLOOKUP(B136,'Base stats'!B:B,'Base stats'!Y:Y)="Omnivore",BD136&gt;0.1)),"true","false")</f>
        <v>true</v>
      </c>
      <c r="BU136" s="2" t="str">
        <f>IF(_xlfn.XLOOKUP(B136,'Base stats'!B:B,'Base stats'!AF:AF)=1,"true","false")</f>
        <v>false</v>
      </c>
      <c r="BV136" s="25" t="str">
        <f>IF(E136="BaseInsect","AnimalInsect",
IF(J136&gt;0.95,"AnimalExotic",
_xlfn.TEXTJOIN(", ",TRUE,
IF(OR(_xlfn.XLOOKUP(B136,'Base stats'!B:B,'Base stats'!AJ:AJ)=1,AND(_xlfn.XLOOKUP(B136,'Base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stats'!AH:AH)=1,AND(BH136&lt;&gt;"None",BQ136&gt;=60),ISNUMBER(SEARCH("Attack target",BO136))),"AnimalFighter","")
)))</f>
        <v>AnimalUncommon</v>
      </c>
      <c r="BW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),_xlfn.XLOOKUP(B136,B:B,BW:BW))</f>
        <v>TropicalSwamp Glowforest</v>
      </c>
      <c r="BX136" s="25" t="str">
        <f>IF(_xlfn.XLOOKUP(B136,'Base stats'!B:B,'Base stats'!AG:AG)=1,"true","false")</f>
        <v>false</v>
      </c>
      <c r="BY136" s="25">
        <f>IF(_xlfn.XLOOKUP(B136,'Base stats'!B:B,'Base stats'!N:N)=1,"No",MAX(0.01,MIN(MROUND(IF(OR(_xlfn.XLOOKUP(B136,'Base stats'!B:B,'Base stats'!AJ:AJ)=1,AND(BI136="True",CB136="False")),POWER(10,3.47*LOG10(_xlfn.XLOOKUP(B136,'Base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stats'!AH:AH)=1),0.5,1)/100,0.025),1)))</f>
        <v>0.2</v>
      </c>
      <c r="BZ136" s="25" t="str">
        <f>IF(P136="Standard","No",MAX(0.01,IF(_xlfn.XLOOKUP(B136,'Base stats'!B:B,'Base stats'!N:N)=0,MROUND(BY136*P136,0.05),MIN(1,MAX(0.025,MROUND(IF(OR(CB136="true",AND(BI136="false",BN136="false")),POWER(10,4.15*LOG10(_xlfn.XLOOKUP(B136,'Base stats'!B:B,'Base stats'!C:C)*1000)^-0.73),POWER(10,3.47*LOG10(_xlfn.XLOOKUP(B136,'Base stats'!B:B,'Base stats'!C:C)*1000)^-0.96))*IF(_xlfn.XLOOKUP(B136,'Base stats'!B:B,'Base stats'!AH:AH)=1,0.5,1)/100,0.025))))))</f>
        <v>No</v>
      </c>
      <c r="CA136" s="25" t="str">
        <f>IF(_xlfn.XLOOKUP(_xlfn.XLOOKUP(B136,'Base stats'!B:B,'Base stats'!E:E),Groups!A:A,Groups!AJ:AJ)="Mammal","True","False")</f>
        <v>False</v>
      </c>
      <c r="CB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C136" s="25" t="str">
        <f t="shared" si="20"/>
        <v>False</v>
      </c>
      <c r="CD136" s="25" t="str">
        <f>IF(_xlfn.XLOOKUP(_xlfn.XLOOKUP(B136,'Base stats'!B:B,'Base stats'!E:E),Groups!A:A,Groups!AX:AX),"True","False")</f>
        <v>False</v>
      </c>
      <c r="CE136" s="25" t="str">
        <f>IF(_xlfn.XLOOKUP(_xlfn.XLOOKUP(B136,'Base stats'!B:B,'Base stats'!E:E),Groups!A:A,Groups!AY:AY),"True","False")</f>
        <v>False</v>
      </c>
      <c r="CF136" s="25" t="str">
        <f>IF(_xlfn.XLOOKUP(_xlfn.XLOOKUP(B136,'Base stats'!B:B,'Base stats'!E:E),Groups!A:A,Groups!AW:AW),"True","False")</f>
        <v>False</v>
      </c>
      <c r="CG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H136" s="25" t="str">
        <f>IF(_xlfn.XLOOKUP(_xlfn.XLOOKUP(B136,'Base stats'!B:B,'Base stats'!E:E),Groups!A:A,Groups!BB:BB),"True","False")</f>
        <v>False</v>
      </c>
      <c r="CI136" s="25" t="str">
        <f>IF(_xlfn.XLOOKUP(_xlfn.XLOOKUP(B136,'Base stats'!B:B,'Base stats'!E:E),Groups!A:A,Groups!BA:BA),"True","False")</f>
        <v>True</v>
      </c>
    </row>
    <row r="137" spans="1:87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stats'!AI:AI)=0,BH137="None",_xlfn.XLOOKUP(_xlfn.XLOOKUP(B137,'Base stats'!B:B,'Base stats'!E:E),Groups!A:A,Groups!B:B)=0), (18 + BQ137 * 2.7) * 0.5,
    IF(AND(_xlfn.XLOOKUP(B137,'Base stats'!B:B,'Base stats'!AI:AI)=0,OR(AO137&lt;0.55,AND(BH137="Intermediate",_xlfn.XLOOKUP(_xlfn.XLOOKUP(B137,'Base stats'!B:B,'Base stats'!E:E),Groups!A:A,Groups!B:B)&lt;2))), (18 + BQ137 * 2.7),
      IF(OR(BH137="Advanced",_xlfn.XLOOKUP(B137,'Base stats'!B:B,'Base stats'!AI:AI)=1,_xlfn.XLOOKUP(_xlfn.XLOOKUP(B137,'Base stats'!B:B,'Base stats'!E:E),Groups!A:A,Groups!B:B)=2), (18 + BQ137 * 2.7) + 250, (18 + BQ137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IF(_xlfn.XLOOKUP(B137,'Base stats'!B:B,'Base stats'!AI:AI)=1,0.99,MIN(MROUND((1-0.6282*EXP(-0.459*AO137))*_xlfn.XLOOKUP(_xlfn.XLOOKUP(B137,'Base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W137)),ISNUMBER(SEARCH("IceSheet",BW137))),-50,IF(OR(ISNUMBER(SEARCH("GlacialPlain",BW137)),ISNUMBER(SEARCH("Tundra",BW137))),-40,IF(OR(ISNUMBER(SEARCH("Alpine",BW137)),ISNUMBER(SEARCH("BorealForest",BW137)),ISNUMBER(SEARCH("ColdBog",BW137))),-30,IF(OR(ISNUMBER(SEARCH("TemperateForest",BW137)),ISNUMBER(SEARCH("TemperateSwamp",BW137))),-20,IF(_xlfn.XLOOKUP(_xlfn.XLOOKUP(B137,'Base stats'!B:B,'Base stats'!E:E),Groups!A:A,Groups!F:F)=1,-15,IF(OR(ISNUMBER(SEARCH("Desert",BW137)),ISNUMBER(SEARCH("ExtremeDesert",BW137))),-10,IF(OR(ISNUMBER(SEARCH("Grasslands",BW137)),ISNUMBER(SEARCH("TropicalRainforest",BW137)),ISNUMBER(SEARCH("TropicalSwamp",BW137))),10,0)))))))-IF(CB137="False",MIN(IFERROR(MAX(MROUND(LOG10(_xlfn.XLOOKUP(B137,'Base stats'!B:B,'Base stats'!C:C)^(2/3))*10,5),5),5),30))-_xlfn.XLOOKUP(B137,'Base stats'!B:B,'Base stats'!P:P)+IF(CB137="True",5,0)</f>
        <v>-15</v>
      </c>
      <c r="M137" s="2">
        <f>IF(OR(_xlfn.XLOOKUP(_xlfn.XLOOKUP(B137,'Base stats'!B:B,'Base stats'!E:E),Groups!A:A,Groups!G:G)=2,ISNUMBER(SEARCH("Desert",BW137)),ISNUMBER(SEARCH("ExtremeDesert",BW137)),ISNUMBER(SEARCH("LavaField",BW137))),50,IF(ISNUMBER(SEARCH("Grasslands",BW137)),45,IF(OR(_xlfn.XLOOKUP(_xlfn.XLOOKUP(B137,'Base stats'!B:B,'Base stats'!E:E),Groups!A:A,Groups!G:G)=1,ISNUMBER(SEARCH("TropicalRainforest",BW137)),ISNUMBER(SEARCH("TropicalSwamp",BW137))),40,IF(OR(ISNUMBER(SEARCH("TemperateForest",BW137)),ISNUMBER(SEARCH("TemperateSwamp",BW137))),35,IF(OR(ISNUMBER(SEARCH("Alpine",BW137)),ISNUMBER(SEARCH("BorealForest",BW137)),ISNUMBER(SEARCH("ColdBog",BW137))),30,IF(ISNUMBER(OR(ISNUMBER(SEARCH("GlacialPlain",BW137)),SEARCH("Tundra",BW137))),25,IF(OR(ISNUMBER(SEARCH("SeaIce",BW137)),ISNUMBER(SEARCH("IceSheet",BW137)),ISNUMBER(SEARCH("TropicalSwamp",BW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stats'!AO:AO))*(AO137^0.5)+(_xlfn.XLOOKUP(B137,'Base stats'!B:B,'Base stats'!AO:AO)/1000)^(2/3)+_xlfn.XLOOKUP(B137,'Base stats'!B:B,'Base stats'!AX:AX)/2)+0.5,0.5)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stats'!AP:AP))*(AO137^0.5)+(_xlfn.XLOOKUP(B137,'Base stats'!B:B,'Base stats'!AP:AP)/1000)^(2/3)+_xlfn.XLOOKUP(B137,'Base stats'!B:B,'Base stats'!AX:AX))+_xlfn.XLOOKUP(B137,'Base stats'!B:B,'Base stats'!AV:AV)+0.5,0.5))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stats'!AR:AR))*(AO137^0.5)+(_xlfn.XLOOKUP(B137,'Base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stats'!AQ:AQ)="No","No",MROUND((LOG10(_xlfn.XLOOKUP(B137,'Base stats'!B:B,'Base stats'!AQ:AQ))*(AO137^0.75)+(_xlfn.XLOOKUP(B137,'Base stats'!B:B,'Base stats'!AQ:AQ)/1000)^(2/3)+_xlfn.XLOOKUP(B137,'Base stats'!B:B,'Base stats'!AU:AU)+_xlfn.XLOOKUP(B137,'Base stats'!B:B,'Base stats'!AX:AX))+0.5,0.5))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stats'!AP:AP))*(AO137^0.75)+(_xlfn.XLOOKUP(B137,'Base stats'!B:B,'Base stats'!AP:AP)/1000)^(2/3)+_xlfn.XLOOKUP(B137,'Base stats'!B:B,'Base stats'!AV:AV)+_xlfn.XLOOKUP(B137,'Base stats'!B:B,'Base stats'!AX:AX))+0.5,0.5))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MAX(0.01,MROUND(IF(CB137="True",0.196*(AO137*100*1000)^0.889,IF(_xlfn.XLOOKUP(_xlfn.XLOOKUP(B137,'Base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stats'!AE:AE)</f>
        <v>Leather_Elephant</v>
      </c>
      <c r="BB137" s="23" t="str">
        <f>_xlfn.XLOOKUP(_xlfn.XLOOKUP(B137,'Base stats'!B:B,'Base stats'!E:E),Groups!A:A,Groups!AL:AL)</f>
        <v>QuadrupedAnimalWithHoovesTusksAndTrunk</v>
      </c>
      <c r="BC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D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E137" s="2" t="str">
        <f>IF(J137&gt;0.3,"No",_xlfn.XLOOKUP(_xlfn.XLOOKUP(Animals!B137,'Base stats'!B:B,'Base stats'!E:E),Groups!A:A,Groups!AP:AP))</f>
        <v>No</v>
      </c>
      <c r="BF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+ 24*(1-IF(BE137="No",0,BE137)) + 16/3, 12),"No")</f>
        <v>No</v>
      </c>
      <c r="BG137" s="2">
        <f>IF(AND(_xlfn.XLOOKUP(_xlfn.XLOOKUP(B137,'Base stats'!B:B,'Base stats'!E:E),Groups!A:A,Groups!AQ:AQ)=1,AO137&lt;=0.35),8,12)</f>
        <v>12</v>
      </c>
      <c r="BH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I137" s="2" t="str">
        <f>IF(AND(_xlfn.XLOOKUP(_xlfn.XLOOKUP(B137,'Base stats'!B:B,'Base stats'!E:E),Groups!A:A,Groups!AS:AS)=1,OR('Base stats'!Y137="Carnivore",'Base stats'!Y137="Omnivore")),"true","false")</f>
        <v>false</v>
      </c>
      <c r="BJ137" s="2" t="str">
        <f>IF(BI137="true",MROUND(IF(AND(AO137&gt;0.5,OR(_xlfn.XLOOKUP(_xlfn.XLOOKUP(B137,'Base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K137" s="2">
        <f t="shared" si="17"/>
        <v>1</v>
      </c>
      <c r="BL137" s="25" t="str">
        <f>IF(_xlfn.XLOOKUP(B137,'Base stats'!B:B,'Base stats'!AK:AK)="Standard","No",MROUND((_xlfn.XLOOKUP(B137,'Base stats'!B:B,'Base stats'!AK:AK)/3.6)/I137,0.1))</f>
        <v>No</v>
      </c>
      <c r="BM137" s="25" t="str">
        <f t="shared" si="18"/>
        <v>false</v>
      </c>
      <c r="BN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O137" s="25" t="str" cm="1">
        <f t="array" ref="BO137">IF(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 = "",
  "No",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
)</f>
        <v>No</v>
      </c>
      <c r="BP137" s="25" t="str">
        <f>IF(
   AND(
      'Base stats'!AK137="Standard",_xlfn.XLOOKUP(_xlfn.XLOOKUP(B137,'Base stats'!B:B,'Base stats'!E:E),Groups!A:A,Groups!AU:AU)=0,
      OR(
      BN137="True"
      )
   ),
   10,
   IF(
       OR(BL137&lt;&gt;"No",_xlfn.XLOOKUP(_xlfn.XLOOKUP(B137,'Base stats'!B:B,'Base stats'!E:E),Groups!A:A,Groups!AU:AU)=1),
      1,
      "No"
   )
)</f>
        <v>No</v>
      </c>
      <c r="BQ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stats'!AS:AS) * 1.8) * 2) * 2.5 + 10 + I137 * 2,5)+IF(_xlfn.XLOOKUP(B137,'Base stats'!B:B,'Base stats'!AH:AH)=1,50,0)</f>
        <v>395</v>
      </c>
      <c r="BR137" s="8">
        <f t="shared" si="19"/>
        <v>2.9000000000000004</v>
      </c>
      <c r="BS137" s="8" t="str">
        <f>_xlfn.XLOOKUP(B137,'Base stats'!B:B,'Base stats'!AD:AD)</f>
        <v>3~10</v>
      </c>
      <c r="BT137" s="2" t="str">
        <f>IF(AND(J137&lt;=0.95,OR(_xlfn.XLOOKUP(B137,'Base stats'!B:B,'Base stats'!AH:AH)=1,_xlfn.XLOOKUP(B137,'Base stats'!B:B,'Base stats'!Y:Y)="Carnivore",_xlfn.XLOOKUP(B137,'Base stats'!B:B,'Base stats'!Y:Y)="Omnivore",BD137&gt;0.1)),"true","false")</f>
        <v>true</v>
      </c>
      <c r="BU137" s="2" t="str">
        <f>IF(_xlfn.XLOOKUP(B137,'Base stats'!B:B,'Base stats'!AF:AF)=1,"true","false")</f>
        <v>true</v>
      </c>
      <c r="BV137" s="25" t="str">
        <f>IF(E137="BaseInsect","AnimalInsect",
IF(J137&gt;0.95,"AnimalExotic",
_xlfn.TEXTJOIN(", ",TRUE,
IF(OR(_xlfn.XLOOKUP(B137,'Base stats'!B:B,'Base stats'!AJ:AJ)=1,AND(_xlfn.XLOOKUP(B137,'Base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stats'!AH:AH)=1,AND(BH137&lt;&gt;"None",BQ137&gt;=60),ISNUMBER(SEARCH("Attack target",BO137))),"AnimalFighter","")
)))</f>
        <v>AnimalUncommon, AnimalFighter</v>
      </c>
      <c r="BW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),_xlfn.XLOOKUP(B137,B:B,BW:BW))</f>
        <v>TropicalRainforest TropicalSwamp Glowforest</v>
      </c>
      <c r="BX137" s="25" t="str">
        <f>IF(_xlfn.XLOOKUP(B137,'Base stats'!B:B,'Base stats'!AG:AG)=1,"true","false")</f>
        <v>false</v>
      </c>
      <c r="BY137" s="25">
        <f>IF(_xlfn.XLOOKUP(B137,'Base stats'!B:B,'Base stats'!N:N)=1,"No",MAX(0.01,MIN(MROUND(IF(OR(_xlfn.XLOOKUP(B137,'Base stats'!B:B,'Base stats'!AJ:AJ)=1,AND(BI137="True",CB137="False")),POWER(10,3.47*LOG10(_xlfn.XLOOKUP(B137,'Base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stats'!AH:AH)=1),0.5,1)/100,0.025),1)))</f>
        <v>0.125</v>
      </c>
      <c r="BZ137" s="25" t="str">
        <f>IF(P137="Standard","No",MAX(0.01,IF(_xlfn.XLOOKUP(B137,'Base stats'!B:B,'Base stats'!N:N)=0,MROUND(BY137*P137,0.05),MIN(1,MAX(0.025,MROUND(IF(OR(CB137="true",AND(BI137="false",BN137="false")),POWER(10,4.15*LOG10(_xlfn.XLOOKUP(B137,'Base stats'!B:B,'Base stats'!C:C)*1000)^-0.73),POWER(10,3.47*LOG10(_xlfn.XLOOKUP(B137,'Base stats'!B:B,'Base stats'!C:C)*1000)^-0.96))*IF(_xlfn.XLOOKUP(B137,'Base stats'!B:B,'Base stats'!AH:AH)=1,0.5,1)/100,0.025))))))</f>
        <v>No</v>
      </c>
      <c r="CA137" s="25" t="str">
        <f>IF(_xlfn.XLOOKUP(_xlfn.XLOOKUP(B137,'Base stats'!B:B,'Base stats'!E:E),Groups!A:A,Groups!AJ:AJ)="Mammal","True","False")</f>
        <v>True</v>
      </c>
      <c r="CB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C137" s="25" t="str">
        <f t="shared" si="20"/>
        <v>False</v>
      </c>
      <c r="CD137" s="25" t="str">
        <f>IF(_xlfn.XLOOKUP(_xlfn.XLOOKUP(B137,'Base stats'!B:B,'Base stats'!E:E),Groups!A:A,Groups!AX:AX),"True","False")</f>
        <v>False</v>
      </c>
      <c r="CE137" s="25" t="str">
        <f>IF(_xlfn.XLOOKUP(_xlfn.XLOOKUP(B137,'Base stats'!B:B,'Base stats'!E:E),Groups!A:A,Groups!AY:AY),"True","False")</f>
        <v>False</v>
      </c>
      <c r="CF137" s="25" t="str">
        <f>IF(_xlfn.XLOOKUP(_xlfn.XLOOKUP(B137,'Base stats'!B:B,'Base stats'!E:E),Groups!A:A,Groups!AW:AW),"True","False")</f>
        <v>False</v>
      </c>
      <c r="CG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H137" s="25" t="str">
        <f>IF(_xlfn.XLOOKUP(_xlfn.XLOOKUP(B137,'Base stats'!B:B,'Base stats'!E:E),Groups!A:A,Groups!BB:BB),"True","False")</f>
        <v>True</v>
      </c>
      <c r="CI137" s="25" t="str">
        <f>IF(_xlfn.XLOOKUP(_xlfn.XLOOKUP(B137,'Base stats'!B:B,'Base stats'!E:E),Groups!A:A,Groups!BA:BA),"True","False")</f>
        <v>False</v>
      </c>
    </row>
    <row r="138" spans="1:87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stats'!AI:AI)=0,BH138="None",_xlfn.XLOOKUP(_xlfn.XLOOKUP(B138,'Base stats'!B:B,'Base stats'!E:E),Groups!A:A,Groups!B:B)=0), (18 + BQ138 * 2.7) * 0.5,
    IF(AND(_xlfn.XLOOKUP(B138,'Base stats'!B:B,'Base stats'!AI:AI)=0,OR(AO138&lt;0.55,AND(BH138="Intermediate",_xlfn.XLOOKUP(_xlfn.XLOOKUP(B138,'Base stats'!B:B,'Base stats'!E:E),Groups!A:A,Groups!B:B)&lt;2))), (18 + BQ138 * 2.7),
      IF(OR(BH138="Advanced",_xlfn.XLOOKUP(B138,'Base stats'!B:B,'Base stats'!AI:AI)=1,_xlfn.XLOOKUP(_xlfn.XLOOKUP(B138,'Base stats'!B:B,'Base stats'!E:E),Groups!A:A,Groups!B:B)=2), (18 + BQ138 * 2.7) + 250, (18 + BQ138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IF(_xlfn.XLOOKUP(B138,'Base stats'!B:B,'Base stats'!AI:AI)=1,0.99,MIN(MROUND((1-0.6282*EXP(-0.459*AO138))*_xlfn.XLOOKUP(_xlfn.XLOOKUP(B138,'Base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W138)),ISNUMBER(SEARCH("IceSheet",BW138))),-50,IF(OR(ISNUMBER(SEARCH("GlacialPlain",BW138)),ISNUMBER(SEARCH("Tundra",BW138))),-40,IF(OR(ISNUMBER(SEARCH("Alpine",BW138)),ISNUMBER(SEARCH("BorealForest",BW138)),ISNUMBER(SEARCH("ColdBog",BW138))),-30,IF(OR(ISNUMBER(SEARCH("TemperateForest",BW138)),ISNUMBER(SEARCH("TemperateSwamp",BW138))),-20,IF(_xlfn.XLOOKUP(_xlfn.XLOOKUP(B138,'Base stats'!B:B,'Base stats'!E:E),Groups!A:A,Groups!F:F)=1,-15,IF(OR(ISNUMBER(SEARCH("Desert",BW138)),ISNUMBER(SEARCH("ExtremeDesert",BW138))),-10,IF(OR(ISNUMBER(SEARCH("Grasslands",BW138)),ISNUMBER(SEARCH("TropicalRainforest",BW138)),ISNUMBER(SEARCH("TropicalSwamp",BW138))),10,0)))))))-IF(CB138="False",MIN(IFERROR(MAX(MROUND(LOG10(_xlfn.XLOOKUP(B138,'Base stats'!B:B,'Base stats'!C:C)^(2/3))*10,5),5),5),30))-_xlfn.XLOOKUP(B138,'Base stats'!B:B,'Base stats'!P:P)+IF(CB138="True",5,0)</f>
        <v>-35</v>
      </c>
      <c r="M138" s="2">
        <f>IF(OR(_xlfn.XLOOKUP(_xlfn.XLOOKUP(B138,'Base stats'!B:B,'Base stats'!E:E),Groups!A:A,Groups!G:G)=2,ISNUMBER(SEARCH("Desert",BW138)),ISNUMBER(SEARCH("ExtremeDesert",BW138)),ISNUMBER(SEARCH("LavaField",BW138))),50,IF(ISNUMBER(SEARCH("Grasslands",BW138)),45,IF(OR(_xlfn.XLOOKUP(_xlfn.XLOOKUP(B138,'Base stats'!B:B,'Base stats'!E:E),Groups!A:A,Groups!G:G)=1,ISNUMBER(SEARCH("TropicalRainforest",BW138)),ISNUMBER(SEARCH("TropicalSwamp",BW138))),40,IF(OR(ISNUMBER(SEARCH("TemperateForest",BW138)),ISNUMBER(SEARCH("TemperateSwamp",BW138))),35,IF(OR(ISNUMBER(SEARCH("Alpine",BW138)),ISNUMBER(SEARCH("BorealForest",BW138)),ISNUMBER(SEARCH("ColdBog",BW138))),30,IF(ISNUMBER(OR(ISNUMBER(SEARCH("GlacialPlain",BW138)),SEARCH("Tundra",BW138))),25,IF(OR(ISNUMBER(SEARCH("SeaIce",BW138)),ISNUMBER(SEARCH("IceSheet",BW138)),ISNUMBER(SEARCH("TropicalSwamp",BW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stats'!AO:AO))*(AO138^0.5)+(_xlfn.XLOOKUP(B138,'Base stats'!B:B,'Base stats'!AO:AO)/1000)^(2/3)+_xlfn.XLOOKUP(B138,'Base stats'!B:B,'Base stats'!AX:AX)/2)+0.5,0.5)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stats'!AP:AP))*(AO138^0.5)+(_xlfn.XLOOKUP(B138,'Base stats'!B:B,'Base stats'!AP:AP)/1000)^(2/3)+_xlfn.XLOOKUP(B138,'Base stats'!B:B,'Base stats'!AX:AX))+_xlfn.XLOOKUP(B138,'Base stats'!B:B,'Base stats'!AV:AV)+0.5,0.5))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stats'!AR:AR))*(AO138^0.5)+(_xlfn.XLOOKUP(B138,'Base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stats'!AQ:AQ)="No","No",MROUND((LOG10(_xlfn.XLOOKUP(B138,'Base stats'!B:B,'Base stats'!AQ:AQ))*(AO138^0.75)+(_xlfn.XLOOKUP(B138,'Base stats'!B:B,'Base stats'!AQ:AQ)/1000)^(2/3)+_xlfn.XLOOKUP(B138,'Base stats'!B:B,'Base stats'!AU:AU)+_xlfn.XLOOKUP(B138,'Base stats'!B:B,'Base stats'!AX:AX))+0.5,0.5))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stats'!AP:AP))*(AO138^0.75)+(_xlfn.XLOOKUP(B138,'Base stats'!B:B,'Base stats'!AP:AP)/1000)^(2/3)+_xlfn.XLOOKUP(B138,'Base stats'!B:B,'Base stats'!AV:AV)+_xlfn.XLOOKUP(B138,'Base stats'!B:B,'Base stats'!AX:AX))+0.5,0.5))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MAX(0.01,MROUND(IF(CB138="True",0.196*(AO138*100*1000)^0.889,IF(_xlfn.XLOOKUP(_xlfn.XLOOKUP(B138,'Base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stats'!AE:AE)</f>
        <v>Leather_Heavy</v>
      </c>
      <c r="BB138" s="23" t="str">
        <f>_xlfn.XLOOKUP(_xlfn.XLOOKUP(B138,'Base stats'!B:B,'Base stats'!E:E),Groups!A:A,Groups!AL:AL)</f>
        <v>QuadrupedAnimalWithPawsAndTail</v>
      </c>
      <c r="BC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D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E138" s="2" t="str">
        <f>IF(J138&gt;0.3,"No",_xlfn.XLOOKUP(_xlfn.XLOOKUP(Animals!B138,'Base stats'!B:B,'Base stats'!E:E),Groups!A:A,Groups!AP:AP))</f>
        <v>No</v>
      </c>
      <c r="BF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+ 24*(1-IF(BE138="No",0,BE138)) + 16/3, 12),"No")</f>
        <v>108</v>
      </c>
      <c r="BG138" s="2">
        <f>IF(AND(_xlfn.XLOOKUP(_xlfn.XLOOKUP(B138,'Base stats'!B:B,'Base stats'!E:E),Groups!A:A,Groups!AQ:AQ)=1,AO138&lt;=0.35),8,12)</f>
        <v>12</v>
      </c>
      <c r="BH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I138" s="2" t="str">
        <f>IF(AND(_xlfn.XLOOKUP(_xlfn.XLOOKUP(B138,'Base stats'!B:B,'Base stats'!E:E),Groups!A:A,Groups!AS:AS)=1,OR('Base stats'!Y138="Carnivore",'Base stats'!Y138="Omnivore")),"true","false")</f>
        <v>true</v>
      </c>
      <c r="BJ138" s="2">
        <f>IF(BI138="true",MROUND(IF(AND(AO138&gt;0.5,OR(_xlfn.XLOOKUP(_xlfn.XLOOKUP(B138,'Base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K138" s="2">
        <f t="shared" si="17"/>
        <v>1</v>
      </c>
      <c r="BL138" s="25" t="str">
        <f>IF(_xlfn.XLOOKUP(B138,'Base stats'!B:B,'Base stats'!AK:AK)="Standard","No",MROUND((_xlfn.XLOOKUP(B138,'Base stats'!B:B,'Base stats'!AK:AK)/3.6)/I138,0.1))</f>
        <v>No</v>
      </c>
      <c r="BM138" s="25" t="str">
        <f t="shared" si="18"/>
        <v>false</v>
      </c>
      <c r="BN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O138" s="25" t="str" cm="1">
        <f t="array" ref="BO138">IF(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 = "",
  "No",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
)</f>
        <v>AttackTarget</v>
      </c>
      <c r="BP138" s="25" t="str">
        <f>IF(
   AND(
      'Base stats'!AK138="Standard",_xlfn.XLOOKUP(_xlfn.XLOOKUP(B138,'Base stats'!B:B,'Base stats'!E:E),Groups!A:A,Groups!AU:AU)=0,
      OR(
      BN138="True"
      )
   ),
   10,
   IF(
       OR(BL138&lt;&gt;"No",_xlfn.XLOOKUP(_xlfn.XLOOKUP(B138,'Base stats'!B:B,'Base stats'!E:E),Groups!A:A,Groups!AU:AU)=1),
      1,
      "No"
   )
)</f>
        <v>No</v>
      </c>
      <c r="BQ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stats'!AS:AS) * 1.8) * 2) * 2.5 + 10 + I138 * 2,5)+IF(_xlfn.XLOOKUP(B138,'Base stats'!B:B,'Base stats'!AH:AH)=1,50,0)</f>
        <v>340</v>
      </c>
      <c r="BR138" s="8">
        <f t="shared" si="19"/>
        <v>1.4500000000000002</v>
      </c>
      <c r="BS138" s="8" t="str">
        <f>_xlfn.XLOOKUP(B138,'Base stats'!B:B,'Base stats'!AD:AD)</f>
        <v>No</v>
      </c>
      <c r="BT138" s="2" t="str">
        <f>IF(AND(J138&lt;=0.95,OR(_xlfn.XLOOKUP(B138,'Base stats'!B:B,'Base stats'!AH:AH)=1,_xlfn.XLOOKUP(B138,'Base stats'!B:B,'Base stats'!Y:Y)="Carnivore",_xlfn.XLOOKUP(B138,'Base stats'!B:B,'Base stats'!Y:Y)="Omnivore",BD138&gt;0.1)),"true","false")</f>
        <v>true</v>
      </c>
      <c r="BU138" s="2" t="str">
        <f>IF(_xlfn.XLOOKUP(B138,'Base stats'!B:B,'Base stats'!AF:AF)=1,"true","false")</f>
        <v>false</v>
      </c>
      <c r="BV138" s="25" t="str">
        <f>IF(E138="BaseInsect","AnimalInsect",
IF(J138&gt;0.95,"AnimalExotic",
_xlfn.TEXTJOIN(", ",TRUE,
IF(OR(_xlfn.XLOOKUP(B138,'Base stats'!B:B,'Base stats'!AJ:AJ)=1,AND(_xlfn.XLOOKUP(B138,'Base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stats'!AH:AH)=1,AND(BH138&lt;&gt;"None",BQ138&gt;=60),ISNUMBER(SEARCH("Attack target",BO138))),"AnimalFighter","")
)))</f>
        <v>AnimalUncommon, AnimalFighter</v>
      </c>
      <c r="BW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),_xlfn.XLOOKUP(B138,B:B,BW:BW))</f>
        <v/>
      </c>
      <c r="BX138" s="25" t="str">
        <f>IF(_xlfn.XLOOKUP(B138,'Base stats'!B:B,'Base stats'!AG:AG)=1,"true","false")</f>
        <v>false</v>
      </c>
      <c r="BY138" s="25">
        <f>IF(_xlfn.XLOOKUP(B138,'Base stats'!B:B,'Base stats'!N:N)=1,"No",MAX(0.01,MIN(MROUND(IF(OR(_xlfn.XLOOKUP(B138,'Base stats'!B:B,'Base stats'!AJ:AJ)=1,AND(BI138="True",CB138="False")),POWER(10,3.47*LOG10(_xlfn.XLOOKUP(B138,'Base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stats'!AH:AH)=1),0.5,1)/100,0.025),1)))</f>
        <v>2.5000000000000001E-2</v>
      </c>
      <c r="BZ138" s="25" t="str">
        <f>IF(P138="Standard","No",MAX(0.01,IF(_xlfn.XLOOKUP(B138,'Base stats'!B:B,'Base stats'!N:N)=0,MROUND(BY138*P138,0.05),MIN(1,MAX(0.025,MROUND(IF(OR(CB138="true",AND(BI138="false",BN138="false")),POWER(10,4.15*LOG10(_xlfn.XLOOKUP(B138,'Base stats'!B:B,'Base stats'!C:C)*1000)^-0.73),POWER(10,3.47*LOG10(_xlfn.XLOOKUP(B138,'Base stats'!B:B,'Base stats'!C:C)*1000)^-0.96))*IF(_xlfn.XLOOKUP(B138,'Base stats'!B:B,'Base stats'!AH:AH)=1,0.5,1)/100,0.025))))))</f>
        <v>No</v>
      </c>
      <c r="CA138" s="25" t="str">
        <f>IF(_xlfn.XLOOKUP(_xlfn.XLOOKUP(B138,'Base stats'!B:B,'Base stats'!E:E),Groups!A:A,Groups!AJ:AJ)="Mammal","True","False")</f>
        <v>True</v>
      </c>
      <c r="CB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C138" s="25" t="str">
        <f t="shared" si="20"/>
        <v>False</v>
      </c>
      <c r="CD138" s="25" t="str">
        <f>IF(_xlfn.XLOOKUP(_xlfn.XLOOKUP(B138,'Base stats'!B:B,'Base stats'!E:E),Groups!A:A,Groups!AX:AX),"True","False")</f>
        <v>False</v>
      </c>
      <c r="CE138" s="25" t="str">
        <f>IF(_xlfn.XLOOKUP(_xlfn.XLOOKUP(B138,'Base stats'!B:B,'Base stats'!E:E),Groups!A:A,Groups!AY:AY),"True","False")</f>
        <v>False</v>
      </c>
      <c r="CF138" s="25" t="str">
        <f>IF(_xlfn.XLOOKUP(_xlfn.XLOOKUP(B138,'Base stats'!B:B,'Base stats'!E:E),Groups!A:A,Groups!AW:AW),"True","False")</f>
        <v>False</v>
      </c>
      <c r="CG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H138" s="25" t="str">
        <f>IF(_xlfn.XLOOKUP(_xlfn.XLOOKUP(B138,'Base stats'!B:B,'Base stats'!E:E),Groups!A:A,Groups!BB:BB),"True","False")</f>
        <v>True</v>
      </c>
      <c r="CI138" s="25" t="str">
        <f>IF(_xlfn.XLOOKUP(_xlfn.XLOOKUP(B138,'Base stats'!B:B,'Base stats'!E:E),Groups!A:A,Groups!BA:BA),"True","False")</f>
        <v>False</v>
      </c>
    </row>
    <row r="139" spans="1:87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stats'!AI:AI)=0,BH139="None",_xlfn.XLOOKUP(_xlfn.XLOOKUP(B139,'Base stats'!B:B,'Base stats'!E:E),Groups!A:A,Groups!B:B)=0), (18 + BQ139 * 2.7) * 0.5,
    IF(AND(_xlfn.XLOOKUP(B139,'Base stats'!B:B,'Base stats'!AI:AI)=0,OR(AO139&lt;0.55,AND(BH139="Intermediate",_xlfn.XLOOKUP(_xlfn.XLOOKUP(B139,'Base stats'!B:B,'Base stats'!E:E),Groups!A:A,Groups!B:B)&lt;2))), (18 + BQ139 * 2.7),
      IF(OR(BH139="Advanced",_xlfn.XLOOKUP(B139,'Base stats'!B:B,'Base stats'!AI:AI)=1,_xlfn.XLOOKUP(_xlfn.XLOOKUP(B139,'Base stats'!B:B,'Base stats'!E:E),Groups!A:A,Groups!B:B)=2), (18 + BQ139 * 2.7) + 250, (18 + BQ139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IF(_xlfn.XLOOKUP(B139,'Base stats'!B:B,'Base stats'!AI:AI)=1,0.99,MIN(MROUND((1-0.6282*EXP(-0.459*AO139))*_xlfn.XLOOKUP(_xlfn.XLOOKUP(B139,'Base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W139)),ISNUMBER(SEARCH("IceSheet",BW139))),-50,IF(OR(ISNUMBER(SEARCH("GlacialPlain",BW139)),ISNUMBER(SEARCH("Tundra",BW139))),-40,IF(OR(ISNUMBER(SEARCH("Alpine",BW139)),ISNUMBER(SEARCH("BorealForest",BW139)),ISNUMBER(SEARCH("ColdBog",BW139))),-30,IF(OR(ISNUMBER(SEARCH("TemperateForest",BW139)),ISNUMBER(SEARCH("TemperateSwamp",BW139))),-20,IF(_xlfn.XLOOKUP(_xlfn.XLOOKUP(B139,'Base stats'!B:B,'Base stats'!E:E),Groups!A:A,Groups!F:F)=1,-15,IF(OR(ISNUMBER(SEARCH("Desert",BW139)),ISNUMBER(SEARCH("ExtremeDesert",BW139))),-10,IF(OR(ISNUMBER(SEARCH("Grasslands",BW139)),ISNUMBER(SEARCH("TropicalRainforest",BW139)),ISNUMBER(SEARCH("TropicalSwamp",BW139))),10,0)))))))-IF(CB139="False",MIN(IFERROR(MAX(MROUND(LOG10(_xlfn.XLOOKUP(B139,'Base stats'!B:B,'Base stats'!C:C)^(2/3))*10,5),5),5),30))-_xlfn.XLOOKUP(B139,'Base stats'!B:B,'Base stats'!P:P)+IF(CB139="True",5,0)</f>
        <v>-20</v>
      </c>
      <c r="M139" s="2">
        <f>IF(OR(_xlfn.XLOOKUP(_xlfn.XLOOKUP(B139,'Base stats'!B:B,'Base stats'!E:E),Groups!A:A,Groups!G:G)=2,ISNUMBER(SEARCH("Desert",BW139)),ISNUMBER(SEARCH("ExtremeDesert",BW139)),ISNUMBER(SEARCH("LavaField",BW139))),50,IF(ISNUMBER(SEARCH("Grasslands",BW139)),45,IF(OR(_xlfn.XLOOKUP(_xlfn.XLOOKUP(B139,'Base stats'!B:B,'Base stats'!E:E),Groups!A:A,Groups!G:G)=1,ISNUMBER(SEARCH("TropicalRainforest",BW139)),ISNUMBER(SEARCH("TropicalSwamp",BW139))),40,IF(OR(ISNUMBER(SEARCH("TemperateForest",BW139)),ISNUMBER(SEARCH("TemperateSwamp",BW139))),35,IF(OR(ISNUMBER(SEARCH("Alpine",BW139)),ISNUMBER(SEARCH("BorealForest",BW139)),ISNUMBER(SEARCH("ColdBog",BW139))),30,IF(ISNUMBER(OR(ISNUMBER(SEARCH("GlacialPlain",BW139)),SEARCH("Tundra",BW139))),25,IF(OR(ISNUMBER(SEARCH("SeaIce",BW139)),ISNUMBER(SEARCH("IceSheet",BW139)),ISNUMBER(SEARCH("TropicalSwamp",BW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stats'!AO:AO))*(AO139^0.5)+(_xlfn.XLOOKUP(B139,'Base stats'!B:B,'Base stats'!AO:AO)/1000)^(2/3)+_xlfn.XLOOKUP(B139,'Base stats'!B:B,'Base stats'!AX:AX)/2)+0.5,0.5)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stats'!AP:AP))*(AO139^0.5)+(_xlfn.XLOOKUP(B139,'Base stats'!B:B,'Base stats'!AP:AP)/1000)^(2/3)+_xlfn.XLOOKUP(B139,'Base stats'!B:B,'Base stats'!AX:AX))+_xlfn.XLOOKUP(B139,'Base stats'!B:B,'Base stats'!AV:AV)+0.5,0.5))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stats'!AR:AR))*(AO139^0.5)+(_xlfn.XLOOKUP(B139,'Base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stats'!AQ:AQ)="No","No",MROUND((LOG10(_xlfn.XLOOKUP(B139,'Base stats'!B:B,'Base stats'!AQ:AQ))*(AO139^0.75)+(_xlfn.XLOOKUP(B139,'Base stats'!B:B,'Base stats'!AQ:AQ)/1000)^(2/3)+_xlfn.XLOOKUP(B139,'Base stats'!B:B,'Base stats'!AU:AU)+_xlfn.XLOOKUP(B139,'Base stats'!B:B,'Base stats'!AX:AX))+0.5,0.5))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stats'!AP:AP))*(AO139^0.75)+(_xlfn.XLOOKUP(B139,'Base stats'!B:B,'Base stats'!AP:AP)/1000)^(2/3)+_xlfn.XLOOKUP(B139,'Base stats'!B:B,'Base stats'!AV:AV)+_xlfn.XLOOKUP(B139,'Base stats'!B:B,'Base stats'!AX:AX))+0.5,0.5))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MAX(0.01,MROUND(IF(CB139="True",0.196*(AO139*100*1000)^0.889,IF(_xlfn.XLOOKUP(_xlfn.XLOOKUP(B139,'Base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stats'!AE:AE)</f>
        <v>Leather_Dog</v>
      </c>
      <c r="BB139" s="23" t="str">
        <f>_xlfn.XLOOKUP(_xlfn.XLOOKUP(B139,'Base stats'!B:B,'Base stats'!E:E),Groups!A:A,Groups!AL:AL)</f>
        <v>QuadrupedAnimalWithPawsAndTail</v>
      </c>
      <c r="BC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D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E139" s="2">
        <f>IF(J139&gt;0.3,"No",_xlfn.XLOOKUP(_xlfn.XLOOKUP(Animals!B139,'Base stats'!B:B,'Base stats'!E:E),Groups!A:A,Groups!AP:AP))</f>
        <v>1</v>
      </c>
      <c r="BF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+ 24*(1-IF(BE139="No",0,BE139)) + 16/3, 12),"No")</f>
        <v>12</v>
      </c>
      <c r="BG139" s="2">
        <f>IF(AND(_xlfn.XLOOKUP(_xlfn.XLOOKUP(B139,'Base stats'!B:B,'Base stats'!E:E),Groups!A:A,Groups!AQ:AQ)=1,AO139&lt;=0.35),8,12)</f>
        <v>12</v>
      </c>
      <c r="BH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I139" s="2" t="str">
        <f>IF(AND(_xlfn.XLOOKUP(_xlfn.XLOOKUP(B139,'Base stats'!B:B,'Base stats'!E:E),Groups!A:A,Groups!AS:AS)=1,OR('Base stats'!Y139="Carnivore",'Base stats'!Y139="Omnivore")),"true","false")</f>
        <v>true</v>
      </c>
      <c r="BJ139" s="2">
        <f>IF(BI139="true",MROUND(IF(AND(AO139&gt;0.5,OR(_xlfn.XLOOKUP(_xlfn.XLOOKUP(B139,'Base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K139" s="2">
        <f t="shared" si="17"/>
        <v>1</v>
      </c>
      <c r="BL139" s="25" t="str">
        <f>IF(_xlfn.XLOOKUP(B139,'Base stats'!B:B,'Base stats'!AK:AK)="Standard","No",MROUND((_xlfn.XLOOKUP(B139,'Base stats'!B:B,'Base stats'!AK:AK)/3.6)/I139,0.1))</f>
        <v>No</v>
      </c>
      <c r="BM139" s="25" t="str">
        <f t="shared" si="18"/>
        <v>false</v>
      </c>
      <c r="BN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O139" s="25" t="str" cm="1">
        <f t="array" ref="BO139">IF(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 = "",
  "No",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
)</f>
        <v>Forage, Comfort</v>
      </c>
      <c r="BP139" s="25" t="str">
        <f>IF(
   AND(
      'Base stats'!AK139="Standard",_xlfn.XLOOKUP(_xlfn.XLOOKUP(B139,'Base stats'!B:B,'Base stats'!E:E),Groups!A:A,Groups!AU:AU)=0,
      OR(
      BN139="True"
      )
   ),
   10,
   IF(
       OR(BL139&lt;&gt;"No",_xlfn.XLOOKUP(_xlfn.XLOOKUP(B139,'Base stats'!B:B,'Base stats'!E:E),Groups!A:A,Groups!AU:AU)=1),
      1,
      "No"
   )
)</f>
        <v>No</v>
      </c>
      <c r="BQ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stats'!AS:AS) * 1.8) * 2) * 2.5 + 10 + I139 * 2,5)+IF(_xlfn.XLOOKUP(B139,'Base stats'!B:B,'Base stats'!AH:AH)=1,50,0)</f>
        <v>55</v>
      </c>
      <c r="BR139" s="8">
        <f t="shared" si="19"/>
        <v>0.35000000000000003</v>
      </c>
      <c r="BS139" s="8" t="str">
        <f>_xlfn.XLOOKUP(B139,'Base stats'!B:B,'Base stats'!AD:AD)</f>
        <v>2~4</v>
      </c>
      <c r="BT139" s="2" t="str">
        <f>IF(AND(J139&lt;=0.95,OR(_xlfn.XLOOKUP(B139,'Base stats'!B:B,'Base stats'!AH:AH)=1,_xlfn.XLOOKUP(B139,'Base stats'!B:B,'Base stats'!Y:Y)="Carnivore",_xlfn.XLOOKUP(B139,'Base stats'!B:B,'Base stats'!Y:Y)="Omnivore",BD139&gt;0.1)),"true","false")</f>
        <v>true</v>
      </c>
      <c r="BU139" s="2" t="str">
        <f>IF(_xlfn.XLOOKUP(B139,'Base stats'!B:B,'Base stats'!AF:AF)=1,"true","false")</f>
        <v>false</v>
      </c>
      <c r="BV139" s="25" t="str">
        <f>IF(E139="BaseInsect","AnimalInsect",
IF(J139&gt;0.95,"AnimalExotic",
_xlfn.TEXTJOIN(", ",TRUE,
IF(OR(_xlfn.XLOOKUP(B139,'Base stats'!B:B,'Base stats'!AJ:AJ)=1,AND(_xlfn.XLOOKUP(B139,'Base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stats'!AH:AH)=1,AND(BH139&lt;&gt;"None",BQ139&gt;=60),ISNUMBER(SEARCH("Attack target",BO139))),"AnimalFighter","")
)))</f>
        <v>AnimalCommon, AnimalPet</v>
      </c>
      <c r="BW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),_xlfn.XLOOKUP(B139,B:B,BW:BW))</f>
        <v/>
      </c>
      <c r="BX139" s="25" t="str">
        <f>IF(_xlfn.XLOOKUP(B139,'Base stats'!B:B,'Base stats'!AG:AG)=1,"true","false")</f>
        <v>false</v>
      </c>
      <c r="BY139" s="25">
        <f>IF(_xlfn.XLOOKUP(B139,'Base stats'!B:B,'Base stats'!N:N)=1,"No",MAX(0.01,MIN(MROUND(IF(OR(_xlfn.XLOOKUP(B139,'Base stats'!B:B,'Base stats'!AJ:AJ)=1,AND(BI139="True",CB139="False")),POWER(10,3.47*LOG10(_xlfn.XLOOKUP(B139,'Base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stats'!AH:AH)=1),0.5,1)/100,0.025),1)))</f>
        <v>7.5000000000000011E-2</v>
      </c>
      <c r="BZ139" s="25" t="str">
        <f>IF(P139="Standard","No",MAX(0.01,IF(_xlfn.XLOOKUP(B139,'Base stats'!B:B,'Base stats'!N:N)=0,MROUND(BY139*P139,0.05),MIN(1,MAX(0.025,MROUND(IF(OR(CB139="true",AND(BI139="false",BN139="false")),POWER(10,4.15*LOG10(_xlfn.XLOOKUP(B139,'Base stats'!B:B,'Base stats'!C:C)*1000)^-0.73),POWER(10,3.47*LOG10(_xlfn.XLOOKUP(B139,'Base stats'!B:B,'Base stats'!C:C)*1000)^-0.96))*IF(_xlfn.XLOOKUP(B139,'Base stats'!B:B,'Base stats'!AH:AH)=1,0.5,1)/100,0.025))))))</f>
        <v>No</v>
      </c>
      <c r="CA139" s="25" t="str">
        <f>IF(_xlfn.XLOOKUP(_xlfn.XLOOKUP(B139,'Base stats'!B:B,'Base stats'!E:E),Groups!A:A,Groups!AJ:AJ)="Mammal","True","False")</f>
        <v>True</v>
      </c>
      <c r="CB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C139" s="25" t="str">
        <f t="shared" si="20"/>
        <v>False</v>
      </c>
      <c r="CD139" s="25" t="str">
        <f>IF(_xlfn.XLOOKUP(_xlfn.XLOOKUP(B139,'Base stats'!B:B,'Base stats'!E:E),Groups!A:A,Groups!AX:AX),"True","False")</f>
        <v>False</v>
      </c>
      <c r="CE139" s="25" t="str">
        <f>IF(_xlfn.XLOOKUP(_xlfn.XLOOKUP(B139,'Base stats'!B:B,'Base stats'!E:E),Groups!A:A,Groups!AY:AY),"True","False")</f>
        <v>False</v>
      </c>
      <c r="CF139" s="25" t="str">
        <f>IF(_xlfn.XLOOKUP(_xlfn.XLOOKUP(B139,'Base stats'!B:B,'Base stats'!E:E),Groups!A:A,Groups!AW:AW),"True","False")</f>
        <v>False</v>
      </c>
      <c r="CG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H139" s="25" t="str">
        <f>IF(_xlfn.XLOOKUP(_xlfn.XLOOKUP(B139,'Base stats'!B:B,'Base stats'!E:E),Groups!A:A,Groups!BB:BB),"True","False")</f>
        <v>True</v>
      </c>
      <c r="CI139" s="25" t="str">
        <f>IF(_xlfn.XLOOKUP(_xlfn.XLOOKUP(B139,'Base stats'!B:B,'Base stats'!E:E),Groups!A:A,Groups!BA:BA),"True","False")</f>
        <v>False</v>
      </c>
    </row>
    <row r="140" spans="1:87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stats'!AI:AI)=0,BH140="None",_xlfn.XLOOKUP(_xlfn.XLOOKUP(B140,'Base stats'!B:B,'Base stats'!E:E),Groups!A:A,Groups!B:B)=0), (18 + BQ140 * 2.7) * 0.5,
    IF(AND(_xlfn.XLOOKUP(B140,'Base stats'!B:B,'Base stats'!AI:AI)=0,OR(AO140&lt;0.55,AND(BH140="Intermediate",_xlfn.XLOOKUP(_xlfn.XLOOKUP(B140,'Base stats'!B:B,'Base stats'!E:E),Groups!A:A,Groups!B:B)&lt;2))), (18 + BQ140 * 2.7),
      IF(OR(BH140="Advanced",_xlfn.XLOOKUP(B140,'Base stats'!B:B,'Base stats'!AI:AI)=1,_xlfn.XLOOKUP(_xlfn.XLOOKUP(B140,'Base stats'!B:B,'Base stats'!E:E),Groups!A:A,Groups!B:B)=2), (18 + BQ140 * 2.7) + 250, (18 + BQ140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IF(_xlfn.XLOOKUP(B140,'Base stats'!B:B,'Base stats'!AI:AI)=1,0.99,MIN(MROUND((1-0.6282*EXP(-0.459*AO140))*_xlfn.XLOOKUP(_xlfn.XLOOKUP(B140,'Base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W140)),ISNUMBER(SEARCH("IceSheet",BW140))),-50,IF(OR(ISNUMBER(SEARCH("GlacialPlain",BW140)),ISNUMBER(SEARCH("Tundra",BW140))),-40,IF(OR(ISNUMBER(SEARCH("Alpine",BW140)),ISNUMBER(SEARCH("BorealForest",BW140)),ISNUMBER(SEARCH("ColdBog",BW140))),-30,IF(OR(ISNUMBER(SEARCH("TemperateForest",BW140)),ISNUMBER(SEARCH("TemperateSwamp",BW140))),-20,IF(_xlfn.XLOOKUP(_xlfn.XLOOKUP(B140,'Base stats'!B:B,'Base stats'!E:E),Groups!A:A,Groups!F:F)=1,-15,IF(OR(ISNUMBER(SEARCH("Desert",BW140)),ISNUMBER(SEARCH("ExtremeDesert",BW140))),-10,IF(OR(ISNUMBER(SEARCH("Grasslands",BW140)),ISNUMBER(SEARCH("TropicalRainforest",BW140)),ISNUMBER(SEARCH("TropicalSwamp",BW140))),10,0)))))))-IF(CB140="False",MIN(IFERROR(MAX(MROUND(LOG10(_xlfn.XLOOKUP(B140,'Base stats'!B:B,'Base stats'!C:C)^(2/3))*10,5),5),5),30))-_xlfn.XLOOKUP(B140,'Base stats'!B:B,'Base stats'!P:P)+IF(CB140="True",5,0)</f>
        <v>-20</v>
      </c>
      <c r="M140" s="2">
        <f>IF(OR(_xlfn.XLOOKUP(_xlfn.XLOOKUP(B140,'Base stats'!B:B,'Base stats'!E:E),Groups!A:A,Groups!G:G)=2,ISNUMBER(SEARCH("Desert",BW140)),ISNUMBER(SEARCH("ExtremeDesert",BW140)),ISNUMBER(SEARCH("LavaField",BW140))),50,IF(ISNUMBER(SEARCH("Grasslands",BW140)),45,IF(OR(_xlfn.XLOOKUP(_xlfn.XLOOKUP(B140,'Base stats'!B:B,'Base stats'!E:E),Groups!A:A,Groups!G:G)=1,ISNUMBER(SEARCH("TropicalRainforest",BW140)),ISNUMBER(SEARCH("TropicalSwamp",BW140))),40,IF(OR(ISNUMBER(SEARCH("TemperateForest",BW140)),ISNUMBER(SEARCH("TemperateSwamp",BW140))),35,IF(OR(ISNUMBER(SEARCH("Alpine",BW140)),ISNUMBER(SEARCH("BorealForest",BW140)),ISNUMBER(SEARCH("ColdBog",BW140))),30,IF(ISNUMBER(OR(ISNUMBER(SEARCH("GlacialPlain",BW140)),SEARCH("Tundra",BW140))),25,IF(OR(ISNUMBER(SEARCH("SeaIce",BW140)),ISNUMBER(SEARCH("IceSheet",BW140)),ISNUMBER(SEARCH("TropicalSwamp",BW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stats'!AO:AO))*(AO140^0.5)+(_xlfn.XLOOKUP(B140,'Base stats'!B:B,'Base stats'!AO:AO)/1000)^(2/3)+_xlfn.XLOOKUP(B140,'Base stats'!B:B,'Base stats'!AX:AX)/2)+0.5,0.5)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stats'!AP:AP))*(AO140^0.5)+(_xlfn.XLOOKUP(B140,'Base stats'!B:B,'Base stats'!AP:AP)/1000)^(2/3)+_xlfn.XLOOKUP(B140,'Base stats'!B:B,'Base stats'!AX:AX))+_xlfn.XLOOKUP(B140,'Base stats'!B:B,'Base stats'!AV:AV)+0.5,0.5))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stats'!AR:AR))*(AO140^0.5)+(_xlfn.XLOOKUP(B140,'Base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stats'!AQ:AQ)="No","No",MROUND((LOG10(_xlfn.XLOOKUP(B140,'Base stats'!B:B,'Base stats'!AQ:AQ))*(AO140^0.75)+(_xlfn.XLOOKUP(B140,'Base stats'!B:B,'Base stats'!AQ:AQ)/1000)^(2/3)+_xlfn.XLOOKUP(B140,'Base stats'!B:B,'Base stats'!AU:AU)+_xlfn.XLOOKUP(B140,'Base stats'!B:B,'Base stats'!AX:AX))+0.5,0.5))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stats'!AP:AP))*(AO140^0.75)+(_xlfn.XLOOKUP(B140,'Base stats'!B:B,'Base stats'!AP:AP)/1000)^(2/3)+_xlfn.XLOOKUP(B140,'Base stats'!B:B,'Base stats'!AV:AV)+_xlfn.XLOOKUP(B140,'Base stats'!B:B,'Base stats'!AX:AX))+0.5,0.5))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MAX(0.01,MROUND(IF(CB140="True",0.196*(AO140*100*1000)^0.889,IF(_xlfn.XLOOKUP(_xlfn.XLOOKUP(B140,'Base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stats'!AE:AE)</f>
        <v>Leather_Dog</v>
      </c>
      <c r="BB140" s="23" t="str">
        <f>_xlfn.XLOOKUP(_xlfn.XLOOKUP(B140,'Base stats'!B:B,'Base stats'!E:E),Groups!A:A,Groups!AL:AL)</f>
        <v>QuadrupedAnimalWithPawsAndTail</v>
      </c>
      <c r="BC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D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E140" s="2">
        <f>IF(J140&gt;0.3,"No",_xlfn.XLOOKUP(_xlfn.XLOOKUP(Animals!B140,'Base stats'!B:B,'Base stats'!E:E),Groups!A:A,Groups!AP:AP))</f>
        <v>1</v>
      </c>
      <c r="BF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+ 24*(1-IF(BE140="No",0,BE140)) + 16/3, 12),"No")</f>
        <v>12</v>
      </c>
      <c r="BG140" s="2">
        <f>IF(AND(_xlfn.XLOOKUP(_xlfn.XLOOKUP(B140,'Base stats'!B:B,'Base stats'!E:E),Groups!A:A,Groups!AQ:AQ)=1,AO140&lt;=0.35),8,12)</f>
        <v>12</v>
      </c>
      <c r="BH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I140" s="2" t="str">
        <f>IF(AND(_xlfn.XLOOKUP(_xlfn.XLOOKUP(B140,'Base stats'!B:B,'Base stats'!E:E),Groups!A:A,Groups!AS:AS)=1,OR('Base stats'!Y140="Carnivore",'Base stats'!Y140="Omnivore")),"true","false")</f>
        <v>true</v>
      </c>
      <c r="BJ140" s="2">
        <f>IF(BI140="true",MROUND(IF(AND(AO140&gt;0.5,OR(_xlfn.XLOOKUP(_xlfn.XLOOKUP(B140,'Base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K140" s="2">
        <f t="shared" si="17"/>
        <v>1</v>
      </c>
      <c r="BL140" s="25" t="str">
        <f>IF(_xlfn.XLOOKUP(B140,'Base stats'!B:B,'Base stats'!AK:AK)="Standard","No",MROUND((_xlfn.XLOOKUP(B140,'Base stats'!B:B,'Base stats'!AK:AK)/3.6)/I140,0.1))</f>
        <v>No</v>
      </c>
      <c r="BM140" s="25" t="str">
        <f t="shared" si="18"/>
        <v>false</v>
      </c>
      <c r="BN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O140" s="25" t="str" cm="1">
        <f t="array" ref="BO140">IF(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 = "",
  "No",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
)</f>
        <v>Forage, Comfort</v>
      </c>
      <c r="BP140" s="25" t="str">
        <f>IF(
   AND(
      'Base stats'!AK140="Standard",_xlfn.XLOOKUP(_xlfn.XLOOKUP(B140,'Base stats'!B:B,'Base stats'!E:E),Groups!A:A,Groups!AU:AU)=0,
      OR(
      BN140="True"
      )
   ),
   10,
   IF(
       OR(BL140&lt;&gt;"No",_xlfn.XLOOKUP(_xlfn.XLOOKUP(B140,'Base stats'!B:B,'Base stats'!E:E),Groups!A:A,Groups!AU:AU)=1),
      1,
      "No"
   )
)</f>
        <v>No</v>
      </c>
      <c r="BQ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stats'!AS:AS) * 1.8) * 2) * 2.5 + 10 + I140 * 2,5)+IF(_xlfn.XLOOKUP(B140,'Base stats'!B:B,'Base stats'!AH:AH)=1,50,0)</f>
        <v>35</v>
      </c>
      <c r="BR140" s="8">
        <f t="shared" si="19"/>
        <v>0.25</v>
      </c>
      <c r="BS140" s="8" t="str">
        <f>_xlfn.XLOOKUP(B140,'Base stats'!B:B,'Base stats'!AD:AD)</f>
        <v>2~4</v>
      </c>
      <c r="BT140" s="2" t="str">
        <f>IF(AND(J140&lt;=0.95,OR(_xlfn.XLOOKUP(B140,'Base stats'!B:B,'Base stats'!AH:AH)=1,_xlfn.XLOOKUP(B140,'Base stats'!B:B,'Base stats'!Y:Y)="Carnivore",_xlfn.XLOOKUP(B140,'Base stats'!B:B,'Base stats'!Y:Y)="Omnivore",BD140&gt;0.1)),"true","false")</f>
        <v>true</v>
      </c>
      <c r="BU140" s="2" t="str">
        <f>IF(_xlfn.XLOOKUP(B140,'Base stats'!B:B,'Base stats'!AF:AF)=1,"true","false")</f>
        <v>false</v>
      </c>
      <c r="BV140" s="25" t="str">
        <f>IF(E140="BaseInsect","AnimalInsect",
IF(J140&gt;0.95,"AnimalExotic",
_xlfn.TEXTJOIN(", ",TRUE,
IF(OR(_xlfn.XLOOKUP(B140,'Base stats'!B:B,'Base stats'!AJ:AJ)=1,AND(_xlfn.XLOOKUP(B140,'Base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stats'!AH:AH)=1,AND(BH140&lt;&gt;"None",BQ140&gt;=60),ISNUMBER(SEARCH("Attack target",BO140))),"AnimalFighter","")
)))</f>
        <v>AnimalCommon, AnimalPet</v>
      </c>
      <c r="BW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),_xlfn.XLOOKUP(B140,B:B,BW:BW))</f>
        <v/>
      </c>
      <c r="BX140" s="25" t="str">
        <f>IF(_xlfn.XLOOKUP(B140,'Base stats'!B:B,'Base stats'!AG:AG)=1,"true","false")</f>
        <v>false</v>
      </c>
      <c r="BY140" s="25">
        <f>IF(_xlfn.XLOOKUP(B140,'Base stats'!B:B,'Base stats'!N:N)=1,"No",MAX(0.01,MIN(MROUND(IF(OR(_xlfn.XLOOKUP(B140,'Base stats'!B:B,'Base stats'!AJ:AJ)=1,AND(BI140="True",CB140="False")),POWER(10,3.47*LOG10(_xlfn.XLOOKUP(B140,'Base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stats'!AH:AH)=1),0.5,1)/100,0.025),1)))</f>
        <v>0.125</v>
      </c>
      <c r="BZ140" s="25" t="str">
        <f>IF(P140="Standard","No",MAX(0.01,IF(_xlfn.XLOOKUP(B140,'Base stats'!B:B,'Base stats'!N:N)=0,MROUND(BY140*P140,0.05),MIN(1,MAX(0.025,MROUND(IF(OR(CB140="true",AND(BI140="false",BN140="false")),POWER(10,4.15*LOG10(_xlfn.XLOOKUP(B140,'Base stats'!B:B,'Base stats'!C:C)*1000)^-0.73),POWER(10,3.47*LOG10(_xlfn.XLOOKUP(B140,'Base stats'!B:B,'Base stats'!C:C)*1000)^-0.96))*IF(_xlfn.XLOOKUP(B140,'Base stats'!B:B,'Base stats'!AH:AH)=1,0.5,1)/100,0.025))))))</f>
        <v>No</v>
      </c>
      <c r="CA140" s="25" t="str">
        <f>IF(_xlfn.XLOOKUP(_xlfn.XLOOKUP(B140,'Base stats'!B:B,'Base stats'!E:E),Groups!A:A,Groups!AJ:AJ)="Mammal","True","False")</f>
        <v>True</v>
      </c>
      <c r="CB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C140" s="25" t="str">
        <f t="shared" si="20"/>
        <v>False</v>
      </c>
      <c r="CD140" s="25" t="str">
        <f>IF(_xlfn.XLOOKUP(_xlfn.XLOOKUP(B140,'Base stats'!B:B,'Base stats'!E:E),Groups!A:A,Groups!AX:AX),"True","False")</f>
        <v>False</v>
      </c>
      <c r="CE140" s="25" t="str">
        <f>IF(_xlfn.XLOOKUP(_xlfn.XLOOKUP(B140,'Base stats'!B:B,'Base stats'!E:E),Groups!A:A,Groups!AY:AY),"True","False")</f>
        <v>False</v>
      </c>
      <c r="CF140" s="25" t="str">
        <f>IF(_xlfn.XLOOKUP(_xlfn.XLOOKUP(B140,'Base stats'!B:B,'Base stats'!E:E),Groups!A:A,Groups!AW:AW),"True","False")</f>
        <v>False</v>
      </c>
      <c r="CG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H140" s="25" t="str">
        <f>IF(_xlfn.XLOOKUP(_xlfn.XLOOKUP(B140,'Base stats'!B:B,'Base stats'!E:E),Groups!A:A,Groups!BB:BB),"True","False")</f>
        <v>True</v>
      </c>
      <c r="CI140" s="25" t="str">
        <f>IF(_xlfn.XLOOKUP(_xlfn.XLOOKUP(B140,'Base stats'!B:B,'Base stats'!E:E),Groups!A:A,Groups!BA:BA),"True","False")</f>
        <v>False</v>
      </c>
    </row>
    <row r="141" spans="1:87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stats'!AI:AI)=0,BH141="None",_xlfn.XLOOKUP(_xlfn.XLOOKUP(B141,'Base stats'!B:B,'Base stats'!E:E),Groups!A:A,Groups!B:B)=0), (18 + BQ141 * 2.7) * 0.5,
    IF(AND(_xlfn.XLOOKUP(B141,'Base stats'!B:B,'Base stats'!AI:AI)=0,OR(AO141&lt;0.55,AND(BH141="Intermediate",_xlfn.XLOOKUP(_xlfn.XLOOKUP(B141,'Base stats'!B:B,'Base stats'!E:E),Groups!A:A,Groups!B:B)&lt;2))), (18 + BQ141 * 2.7),
      IF(OR(BH141="Advanced",_xlfn.XLOOKUP(B141,'Base stats'!B:B,'Base stats'!AI:AI)=1,_xlfn.XLOOKUP(_xlfn.XLOOKUP(B141,'Base stats'!B:B,'Base stats'!E:E),Groups!A:A,Groups!B:B)=2), (18 + BQ141 * 2.7) + 250, (18 + BQ141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IF(_xlfn.XLOOKUP(B141,'Base stats'!B:B,'Base stats'!AI:AI)=1,0.99,MIN(MROUND((1-0.6282*EXP(-0.459*AO141))*_xlfn.XLOOKUP(_xlfn.XLOOKUP(B141,'Base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W141)),ISNUMBER(SEARCH("IceSheet",BW141))),-50,IF(OR(ISNUMBER(SEARCH("GlacialPlain",BW141)),ISNUMBER(SEARCH("Tundra",BW141))),-40,IF(OR(ISNUMBER(SEARCH("Alpine",BW141)),ISNUMBER(SEARCH("BorealForest",BW141)),ISNUMBER(SEARCH("ColdBog",BW141))),-30,IF(OR(ISNUMBER(SEARCH("TemperateForest",BW141)),ISNUMBER(SEARCH("TemperateSwamp",BW141))),-20,IF(_xlfn.XLOOKUP(_xlfn.XLOOKUP(B141,'Base stats'!B:B,'Base stats'!E:E),Groups!A:A,Groups!F:F)=1,-15,IF(OR(ISNUMBER(SEARCH("Desert",BW141)),ISNUMBER(SEARCH("ExtremeDesert",BW141))),-10,IF(OR(ISNUMBER(SEARCH("Grasslands",BW141)),ISNUMBER(SEARCH("TropicalRainforest",BW141)),ISNUMBER(SEARCH("TropicalSwamp",BW141))),10,0)))))))-IF(CB141="False",MIN(IFERROR(MAX(MROUND(LOG10(_xlfn.XLOOKUP(B141,'Base stats'!B:B,'Base stats'!C:C)^(2/3))*10,5),5),5),30))-_xlfn.XLOOKUP(B141,'Base stats'!B:B,'Base stats'!P:P)+IF(CB141="True",5,0)</f>
        <v>-25</v>
      </c>
      <c r="M141" s="2">
        <f>IF(OR(_xlfn.XLOOKUP(_xlfn.XLOOKUP(B141,'Base stats'!B:B,'Base stats'!E:E),Groups!A:A,Groups!G:G)=2,ISNUMBER(SEARCH("Desert",BW141)),ISNUMBER(SEARCH("ExtremeDesert",BW141)),ISNUMBER(SEARCH("LavaField",BW141))),50,IF(ISNUMBER(SEARCH("Grasslands",BW141)),45,IF(OR(_xlfn.XLOOKUP(_xlfn.XLOOKUP(B141,'Base stats'!B:B,'Base stats'!E:E),Groups!A:A,Groups!G:G)=1,ISNUMBER(SEARCH("TropicalRainforest",BW141)),ISNUMBER(SEARCH("TropicalSwamp",BW141))),40,IF(OR(ISNUMBER(SEARCH("TemperateForest",BW141)),ISNUMBER(SEARCH("TemperateSwamp",BW141))),35,IF(OR(ISNUMBER(SEARCH("Alpine",BW141)),ISNUMBER(SEARCH("BorealForest",BW141)),ISNUMBER(SEARCH("ColdBog",BW141))),30,IF(ISNUMBER(OR(ISNUMBER(SEARCH("GlacialPlain",BW141)),SEARCH("Tundra",BW141))),25,IF(OR(ISNUMBER(SEARCH("SeaIce",BW141)),ISNUMBER(SEARCH("IceSheet",BW141)),ISNUMBER(SEARCH("TropicalSwamp",BW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stats'!AO:AO))*(AO141^0.5)+(_xlfn.XLOOKUP(B141,'Base stats'!B:B,'Base stats'!AO:AO)/1000)^(2/3)+_xlfn.XLOOKUP(B141,'Base stats'!B:B,'Base stats'!AX:AX)/2)+0.5,0.5)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stats'!AP:AP))*(AO141^0.5)+(_xlfn.XLOOKUP(B141,'Base stats'!B:B,'Base stats'!AP:AP)/1000)^(2/3)+_xlfn.XLOOKUP(B141,'Base stats'!B:B,'Base stats'!AX:AX))+_xlfn.XLOOKUP(B141,'Base stats'!B:B,'Base stats'!AV:AV)+0.5,0.5))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stats'!AR:AR))*(AO141^0.5)+(_xlfn.XLOOKUP(B141,'Base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stats'!AQ:AQ)="No","No",MROUND((LOG10(_xlfn.XLOOKUP(B141,'Base stats'!B:B,'Base stats'!AQ:AQ))*(AO141^0.75)+(_xlfn.XLOOKUP(B141,'Base stats'!B:B,'Base stats'!AQ:AQ)/1000)^(2/3)+_xlfn.XLOOKUP(B141,'Base stats'!B:B,'Base stats'!AU:AU)+_xlfn.XLOOKUP(B141,'Base stats'!B:B,'Base stats'!AX:AX))+0.5,0.5))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stats'!AP:AP))*(AO141^0.75)+(_xlfn.XLOOKUP(B141,'Base stats'!B:B,'Base stats'!AP:AP)/1000)^(2/3)+_xlfn.XLOOKUP(B141,'Base stats'!B:B,'Base stats'!AV:AV)+_xlfn.XLOOKUP(B141,'Base stats'!B:B,'Base stats'!AX:AX))+0.5,0.5))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MAX(0.01,MROUND(IF(CB141="True",0.196*(AO141*100*1000)^0.889,IF(_xlfn.XLOOKUP(_xlfn.XLOOKUP(B141,'Base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stats'!AE:AE)</f>
        <v>Leather_Dog</v>
      </c>
      <c r="BB141" s="23" t="str">
        <f>_xlfn.XLOOKUP(_xlfn.XLOOKUP(B141,'Base stats'!B:B,'Base stats'!E:E),Groups!A:A,Groups!AL:AL)</f>
        <v>QuadrupedAnimalWithPawsAndTail</v>
      </c>
      <c r="BC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D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E141" s="2">
        <f>IF(J141&gt;0.3,"No",_xlfn.XLOOKUP(_xlfn.XLOOKUP(Animals!B141,'Base stats'!B:B,'Base stats'!E:E),Groups!A:A,Groups!AP:AP))</f>
        <v>1</v>
      </c>
      <c r="BF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+ 24*(1-IF(BE141="No",0,BE141)) + 16/3, 12),"No")</f>
        <v>12</v>
      </c>
      <c r="BG141" s="2">
        <f>IF(AND(_xlfn.XLOOKUP(_xlfn.XLOOKUP(B141,'Base stats'!B:B,'Base stats'!E:E),Groups!A:A,Groups!AQ:AQ)=1,AO141&lt;=0.35),8,12)</f>
        <v>12</v>
      </c>
      <c r="BH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I141" s="2" t="str">
        <f>IF(AND(_xlfn.XLOOKUP(_xlfn.XLOOKUP(B141,'Base stats'!B:B,'Base stats'!E:E),Groups!A:A,Groups!AS:AS)=1,OR('Base stats'!Y141="Carnivore",'Base stats'!Y141="Omnivore")),"true","false")</f>
        <v>true</v>
      </c>
      <c r="BJ141" s="2">
        <f>IF(BI141="true",MROUND(IF(AND(AO141&gt;0.5,OR(_xlfn.XLOOKUP(_xlfn.XLOOKUP(B141,'Base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K141" s="2">
        <f t="shared" si="17"/>
        <v>1</v>
      </c>
      <c r="BL141" s="25" t="str">
        <f>IF(_xlfn.XLOOKUP(B141,'Base stats'!B:B,'Base stats'!AK:AK)="Standard","No",MROUND((_xlfn.XLOOKUP(B141,'Base stats'!B:B,'Base stats'!AK:AK)/3.6)/I141,0.1))</f>
        <v>No</v>
      </c>
      <c r="BM141" s="25" t="str">
        <f t="shared" si="18"/>
        <v>false</v>
      </c>
      <c r="BN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O141" s="25" t="str" cm="1">
        <f t="array" ref="BO141">IF(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 = "",
  "No",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
)</f>
        <v>Forage, Comfort</v>
      </c>
      <c r="BP141" s="25" t="str">
        <f>IF(
   AND(
      'Base stats'!AK141="Standard",_xlfn.XLOOKUP(_xlfn.XLOOKUP(B141,'Base stats'!B:B,'Base stats'!E:E),Groups!A:A,Groups!AU:AU)=0,
      OR(
      BN141="True"
      )
   ),
   10,
   IF(
       OR(BL141&lt;&gt;"No",_xlfn.XLOOKUP(_xlfn.XLOOKUP(B141,'Base stats'!B:B,'Base stats'!E:E),Groups!A:A,Groups!AU:AU)=1),
      1,
      "No"
   )
)</f>
        <v>No</v>
      </c>
      <c r="BQ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stats'!AS:AS) * 1.8) * 2) * 2.5 + 10 + I141 * 2,5)+IF(_xlfn.XLOOKUP(B141,'Base stats'!B:B,'Base stats'!AH:AH)=1,50,0)</f>
        <v>65</v>
      </c>
      <c r="BR141" s="8">
        <f t="shared" si="19"/>
        <v>0.4</v>
      </c>
      <c r="BS141" s="8" t="str">
        <f>_xlfn.XLOOKUP(B141,'Base stats'!B:B,'Base stats'!AD:AD)</f>
        <v>2~4</v>
      </c>
      <c r="BT141" s="2" t="str">
        <f>IF(AND(J141&lt;=0.95,OR(_xlfn.XLOOKUP(B141,'Base stats'!B:B,'Base stats'!AH:AH)=1,_xlfn.XLOOKUP(B141,'Base stats'!B:B,'Base stats'!Y:Y)="Carnivore",_xlfn.XLOOKUP(B141,'Base stats'!B:B,'Base stats'!Y:Y)="Omnivore",BD141&gt;0.1)),"true","false")</f>
        <v>true</v>
      </c>
      <c r="BU141" s="2" t="str">
        <f>IF(_xlfn.XLOOKUP(B141,'Base stats'!B:B,'Base stats'!AF:AF)=1,"true","false")</f>
        <v>false</v>
      </c>
      <c r="BV141" s="25" t="str">
        <f>IF(E141="BaseInsect","AnimalInsect",
IF(J141&gt;0.95,"AnimalExotic",
_xlfn.TEXTJOIN(", ",TRUE,
IF(OR(_xlfn.XLOOKUP(B141,'Base stats'!B:B,'Base stats'!AJ:AJ)=1,AND(_xlfn.XLOOKUP(B141,'Base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stats'!AH:AH)=1,AND(BH141&lt;&gt;"None",BQ141&gt;=60),ISNUMBER(SEARCH("Attack target",BO141))),"AnimalFighter","")
)))</f>
        <v>AnimalCommon, AnimalPet, AnimalFighter</v>
      </c>
      <c r="BW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),_xlfn.XLOOKUP(B141,B:B,BW:BW))</f>
        <v/>
      </c>
      <c r="BX141" s="25" t="str">
        <f>IF(_xlfn.XLOOKUP(B141,'Base stats'!B:B,'Base stats'!AG:AG)=1,"true","false")</f>
        <v>false</v>
      </c>
      <c r="BY141" s="25">
        <f>IF(_xlfn.XLOOKUP(B141,'Base stats'!B:B,'Base stats'!N:N)=1,"No",MAX(0.01,MIN(MROUND(IF(OR(_xlfn.XLOOKUP(B141,'Base stats'!B:B,'Base stats'!AJ:AJ)=1,AND(BI141="True",CB141="False")),POWER(10,3.47*LOG10(_xlfn.XLOOKUP(B141,'Base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stats'!AH:AH)=1),0.5,1)/100,0.025),1)))</f>
        <v>7.5000000000000011E-2</v>
      </c>
      <c r="BZ141" s="25" t="str">
        <f>IF(P141="Standard","No",MAX(0.01,IF(_xlfn.XLOOKUP(B141,'Base stats'!B:B,'Base stats'!N:N)=0,MROUND(BY141*P141,0.05),MIN(1,MAX(0.025,MROUND(IF(OR(CB141="true",AND(BI141="false",BN141="false")),POWER(10,4.15*LOG10(_xlfn.XLOOKUP(B141,'Base stats'!B:B,'Base stats'!C:C)*1000)^-0.73),POWER(10,3.47*LOG10(_xlfn.XLOOKUP(B141,'Base stats'!B:B,'Base stats'!C:C)*1000)^-0.96))*IF(_xlfn.XLOOKUP(B141,'Base stats'!B:B,'Base stats'!AH:AH)=1,0.5,1)/100,0.025))))))</f>
        <v>No</v>
      </c>
      <c r="CA141" s="25" t="str">
        <f>IF(_xlfn.XLOOKUP(_xlfn.XLOOKUP(B141,'Base stats'!B:B,'Base stats'!E:E),Groups!A:A,Groups!AJ:AJ)="Mammal","True","False")</f>
        <v>True</v>
      </c>
      <c r="CB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C141" s="25" t="str">
        <f t="shared" si="20"/>
        <v>False</v>
      </c>
      <c r="CD141" s="25" t="str">
        <f>IF(_xlfn.XLOOKUP(_xlfn.XLOOKUP(B141,'Base stats'!B:B,'Base stats'!E:E),Groups!A:A,Groups!AX:AX),"True","False")</f>
        <v>False</v>
      </c>
      <c r="CE141" s="25" t="str">
        <f>IF(_xlfn.XLOOKUP(_xlfn.XLOOKUP(B141,'Base stats'!B:B,'Base stats'!E:E),Groups!A:A,Groups!AY:AY),"True","False")</f>
        <v>False</v>
      </c>
      <c r="CF141" s="25" t="str">
        <f>IF(_xlfn.XLOOKUP(_xlfn.XLOOKUP(B141,'Base stats'!B:B,'Base stats'!E:E),Groups!A:A,Groups!AW:AW),"True","False")</f>
        <v>False</v>
      </c>
      <c r="CG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H141" s="25" t="str">
        <f>IF(_xlfn.XLOOKUP(_xlfn.XLOOKUP(B141,'Base stats'!B:B,'Base stats'!E:E),Groups!A:A,Groups!BB:BB),"True","False")</f>
        <v>True</v>
      </c>
      <c r="CI141" s="25" t="str">
        <f>IF(_xlfn.XLOOKUP(_xlfn.XLOOKUP(B141,'Base stats'!B:B,'Base stats'!E:E),Groups!A:A,Groups!BA:BA),"True","False")</f>
        <v>False</v>
      </c>
    </row>
    <row r="142" spans="1:87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stats'!AI:AI)=0,BH142="None",_xlfn.XLOOKUP(_xlfn.XLOOKUP(B142,'Base stats'!B:B,'Base stats'!E:E),Groups!A:A,Groups!B:B)=0), (18 + BQ142 * 2.7) * 0.5,
    IF(AND(_xlfn.XLOOKUP(B142,'Base stats'!B:B,'Base stats'!AI:AI)=0,OR(AO142&lt;0.55,AND(BH142="Intermediate",_xlfn.XLOOKUP(_xlfn.XLOOKUP(B142,'Base stats'!B:B,'Base stats'!E:E),Groups!A:A,Groups!B:B)&lt;2))), (18 + BQ142 * 2.7),
      IF(OR(BH142="Advanced",_xlfn.XLOOKUP(B142,'Base stats'!B:B,'Base stats'!AI:AI)=1,_xlfn.XLOOKUP(_xlfn.XLOOKUP(B142,'Base stats'!B:B,'Base stats'!E:E),Groups!A:A,Groups!B:B)=2), (18 + BQ142 * 2.7) + 250, (18 + BQ142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IF(_xlfn.XLOOKUP(B142,'Base stats'!B:B,'Base stats'!AI:AI)=1,0.99,MIN(MROUND((1-0.6282*EXP(-0.459*AO142))*_xlfn.XLOOKUP(_xlfn.XLOOKUP(B142,'Base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W142)),ISNUMBER(SEARCH("IceSheet",BW142))),-50,IF(OR(ISNUMBER(SEARCH("GlacialPlain",BW142)),ISNUMBER(SEARCH("Tundra",BW142))),-40,IF(OR(ISNUMBER(SEARCH("Alpine",BW142)),ISNUMBER(SEARCH("BorealForest",BW142)),ISNUMBER(SEARCH("ColdBog",BW142))),-30,IF(OR(ISNUMBER(SEARCH("TemperateForest",BW142)),ISNUMBER(SEARCH("TemperateSwamp",BW142))),-20,IF(_xlfn.XLOOKUP(_xlfn.XLOOKUP(B142,'Base stats'!B:B,'Base stats'!E:E),Groups!A:A,Groups!F:F)=1,-15,IF(OR(ISNUMBER(SEARCH("Desert",BW142)),ISNUMBER(SEARCH("ExtremeDesert",BW142))),-10,IF(OR(ISNUMBER(SEARCH("Grasslands",BW142)),ISNUMBER(SEARCH("TropicalRainforest",BW142)),ISNUMBER(SEARCH("TropicalSwamp",BW142))),10,0)))))))-IF(CB142="False",MIN(IFERROR(MAX(MROUND(LOG10(_xlfn.XLOOKUP(B142,'Base stats'!B:B,'Base stats'!C:C)^(2/3))*10,5),5),5),30))-_xlfn.XLOOKUP(B142,'Base stats'!B:B,'Base stats'!P:P)+IF(CB142="True",5,0)</f>
        <v>-20</v>
      </c>
      <c r="M142" s="2">
        <f>IF(OR(_xlfn.XLOOKUP(_xlfn.XLOOKUP(B142,'Base stats'!B:B,'Base stats'!E:E),Groups!A:A,Groups!G:G)=2,ISNUMBER(SEARCH("Desert",BW142)),ISNUMBER(SEARCH("ExtremeDesert",BW142)),ISNUMBER(SEARCH("LavaField",BW142))),50,IF(ISNUMBER(SEARCH("Grasslands",BW142)),45,IF(OR(_xlfn.XLOOKUP(_xlfn.XLOOKUP(B142,'Base stats'!B:B,'Base stats'!E:E),Groups!A:A,Groups!G:G)=1,ISNUMBER(SEARCH("TropicalRainforest",BW142)),ISNUMBER(SEARCH("TropicalSwamp",BW142))),40,IF(OR(ISNUMBER(SEARCH("TemperateForest",BW142)),ISNUMBER(SEARCH("TemperateSwamp",BW142))),35,IF(OR(ISNUMBER(SEARCH("Alpine",BW142)),ISNUMBER(SEARCH("BorealForest",BW142)),ISNUMBER(SEARCH("ColdBog",BW142))),30,IF(ISNUMBER(OR(ISNUMBER(SEARCH("GlacialPlain",BW142)),SEARCH("Tundra",BW142))),25,IF(OR(ISNUMBER(SEARCH("SeaIce",BW142)),ISNUMBER(SEARCH("IceSheet",BW142)),ISNUMBER(SEARCH("TropicalSwamp",BW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stats'!AO:AO))*(AO142^0.5)+(_xlfn.XLOOKUP(B142,'Base stats'!B:B,'Base stats'!AO:AO)/1000)^(2/3)+_xlfn.XLOOKUP(B142,'Base stats'!B:B,'Base stats'!AX:AX)/2)+0.5,0.5)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stats'!AP:AP))*(AO142^0.5)+(_xlfn.XLOOKUP(B142,'Base stats'!B:B,'Base stats'!AP:AP)/1000)^(2/3)+_xlfn.XLOOKUP(B142,'Base stats'!B:B,'Base stats'!AX:AX))+_xlfn.XLOOKUP(B142,'Base stats'!B:B,'Base stats'!AV:AV)+0.5,0.5))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stats'!AR:AR))*(AO142^0.5)+(_xlfn.XLOOKUP(B142,'Base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stats'!AQ:AQ)="No","No",MROUND((LOG10(_xlfn.XLOOKUP(B142,'Base stats'!B:B,'Base stats'!AQ:AQ))*(AO142^0.75)+(_xlfn.XLOOKUP(B142,'Base stats'!B:B,'Base stats'!AQ:AQ)/1000)^(2/3)+_xlfn.XLOOKUP(B142,'Base stats'!B:B,'Base stats'!AU:AU)+_xlfn.XLOOKUP(B142,'Base stats'!B:B,'Base stats'!AX:AX))+0.5,0.5))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stats'!AP:AP))*(AO142^0.75)+(_xlfn.XLOOKUP(B142,'Base stats'!B:B,'Base stats'!AP:AP)/1000)^(2/3)+_xlfn.XLOOKUP(B142,'Base stats'!B:B,'Base stats'!AV:AV)+_xlfn.XLOOKUP(B142,'Base stats'!B:B,'Base stats'!AX:AX))+0.5,0.5))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MAX(0.01,MROUND(IF(CB142="True",0.196*(AO142*100*1000)^0.889,IF(_xlfn.XLOOKUP(_xlfn.XLOOKUP(B142,'Base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stats'!AE:AE)</f>
        <v>Leather_Dog</v>
      </c>
      <c r="BB142" s="23" t="str">
        <f>_xlfn.XLOOKUP(_xlfn.XLOOKUP(B142,'Base stats'!B:B,'Base stats'!E:E),Groups!A:A,Groups!AL:AL)</f>
        <v>QuadrupedAnimalWithPawsAndTail</v>
      </c>
      <c r="BC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D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E142" s="2">
        <f>IF(J142&gt;0.3,"No",_xlfn.XLOOKUP(_xlfn.XLOOKUP(Animals!B142,'Base stats'!B:B,'Base stats'!E:E),Groups!A:A,Groups!AP:AP))</f>
        <v>1</v>
      </c>
      <c r="BF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+ 24*(1-IF(BE142="No",0,BE142)) + 16/3, 12),"No")</f>
        <v>12</v>
      </c>
      <c r="BG142" s="2">
        <f>IF(AND(_xlfn.XLOOKUP(_xlfn.XLOOKUP(B142,'Base stats'!B:B,'Base stats'!E:E),Groups!A:A,Groups!AQ:AQ)=1,AO142&lt;=0.35),8,12)</f>
        <v>12</v>
      </c>
      <c r="BH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I142" s="2" t="str">
        <f>IF(AND(_xlfn.XLOOKUP(_xlfn.XLOOKUP(B142,'Base stats'!B:B,'Base stats'!E:E),Groups!A:A,Groups!AS:AS)=1,OR('Base stats'!Y142="Carnivore",'Base stats'!Y142="Omnivore")),"true","false")</f>
        <v>true</v>
      </c>
      <c r="BJ142" s="2">
        <f>IF(BI142="true",MROUND(IF(AND(AO142&gt;0.5,OR(_xlfn.XLOOKUP(_xlfn.XLOOKUP(B142,'Base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K142" s="2">
        <f t="shared" si="17"/>
        <v>1</v>
      </c>
      <c r="BL142" s="25" t="str">
        <f>IF(_xlfn.XLOOKUP(B142,'Base stats'!B:B,'Base stats'!AK:AK)="Standard","No",MROUND((_xlfn.XLOOKUP(B142,'Base stats'!B:B,'Base stats'!AK:AK)/3.6)/I142,0.1))</f>
        <v>No</v>
      </c>
      <c r="BM142" s="25" t="str">
        <f t="shared" si="18"/>
        <v>false</v>
      </c>
      <c r="BN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O142" s="25" t="str" cm="1">
        <f t="array" ref="BO142">IF(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 = "",
  "No",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
)</f>
        <v>Forage, Comfort</v>
      </c>
      <c r="BP142" s="25" t="str">
        <f>IF(
   AND(
      'Base stats'!AK142="Standard",_xlfn.XLOOKUP(_xlfn.XLOOKUP(B142,'Base stats'!B:B,'Base stats'!E:E),Groups!A:A,Groups!AU:AU)=0,
      OR(
      BN142="True"
      )
   ),
   10,
   IF(
       OR(BL142&lt;&gt;"No",_xlfn.XLOOKUP(_xlfn.XLOOKUP(B142,'Base stats'!B:B,'Base stats'!E:E),Groups!A:A,Groups!AU:AU)=1),
      1,
      "No"
   )
)</f>
        <v>No</v>
      </c>
      <c r="BQ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stats'!AS:AS) * 1.8) * 2) * 2.5 + 10 + I142 * 2,5)+IF(_xlfn.XLOOKUP(B142,'Base stats'!B:B,'Base stats'!AH:AH)=1,50,0)</f>
        <v>60</v>
      </c>
      <c r="BR142" s="8">
        <f t="shared" si="19"/>
        <v>0.35000000000000003</v>
      </c>
      <c r="BS142" s="8" t="str">
        <f>_xlfn.XLOOKUP(B142,'Base stats'!B:B,'Base stats'!AD:AD)</f>
        <v>2~4</v>
      </c>
      <c r="BT142" s="2" t="str">
        <f>IF(AND(J142&lt;=0.95,OR(_xlfn.XLOOKUP(B142,'Base stats'!B:B,'Base stats'!AH:AH)=1,_xlfn.XLOOKUP(B142,'Base stats'!B:B,'Base stats'!Y:Y)="Carnivore",_xlfn.XLOOKUP(B142,'Base stats'!B:B,'Base stats'!Y:Y)="Omnivore",BD142&gt;0.1)),"true","false")</f>
        <v>true</v>
      </c>
      <c r="BU142" s="2" t="str">
        <f>IF(_xlfn.XLOOKUP(B142,'Base stats'!B:B,'Base stats'!AF:AF)=1,"true","false")</f>
        <v>false</v>
      </c>
      <c r="BV142" s="25" t="str">
        <f>IF(E142="BaseInsect","AnimalInsect",
IF(J142&gt;0.95,"AnimalExotic",
_xlfn.TEXTJOIN(", ",TRUE,
IF(OR(_xlfn.XLOOKUP(B142,'Base stats'!B:B,'Base stats'!AJ:AJ)=1,AND(_xlfn.XLOOKUP(B142,'Base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stats'!AH:AH)=1,AND(BH142&lt;&gt;"None",BQ142&gt;=60),ISNUMBER(SEARCH("Attack target",BO142))),"AnimalFighter","")
)))</f>
        <v>AnimalCommon, AnimalPet, AnimalFighter</v>
      </c>
      <c r="BW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),_xlfn.XLOOKUP(B142,B:B,BW:BW))</f>
        <v/>
      </c>
      <c r="BX142" s="25" t="str">
        <f>IF(_xlfn.XLOOKUP(B142,'Base stats'!B:B,'Base stats'!AG:AG)=1,"true","false")</f>
        <v>false</v>
      </c>
      <c r="BY142" s="25">
        <f>IF(_xlfn.XLOOKUP(B142,'Base stats'!B:B,'Base stats'!N:N)=1,"No",MAX(0.01,MIN(MROUND(IF(OR(_xlfn.XLOOKUP(B142,'Base stats'!B:B,'Base stats'!AJ:AJ)=1,AND(BI142="True",CB142="False")),POWER(10,3.47*LOG10(_xlfn.XLOOKUP(B142,'Base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stats'!AH:AH)=1),0.5,1)/100,0.025),1)))</f>
        <v>7.5000000000000011E-2</v>
      </c>
      <c r="BZ142" s="25" t="str">
        <f>IF(P142="Standard","No",MAX(0.01,IF(_xlfn.XLOOKUP(B142,'Base stats'!B:B,'Base stats'!N:N)=0,MROUND(BY142*P142,0.05),MIN(1,MAX(0.025,MROUND(IF(OR(CB142="true",AND(BI142="false",BN142="false")),POWER(10,4.15*LOG10(_xlfn.XLOOKUP(B142,'Base stats'!B:B,'Base stats'!C:C)*1000)^-0.73),POWER(10,3.47*LOG10(_xlfn.XLOOKUP(B142,'Base stats'!B:B,'Base stats'!C:C)*1000)^-0.96))*IF(_xlfn.XLOOKUP(B142,'Base stats'!B:B,'Base stats'!AH:AH)=1,0.5,1)/100,0.025))))))</f>
        <v>No</v>
      </c>
      <c r="CA142" s="25" t="str">
        <f>IF(_xlfn.XLOOKUP(_xlfn.XLOOKUP(B142,'Base stats'!B:B,'Base stats'!E:E),Groups!A:A,Groups!AJ:AJ)="Mammal","True","False")</f>
        <v>True</v>
      </c>
      <c r="CB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C142" s="25" t="str">
        <f t="shared" si="20"/>
        <v>False</v>
      </c>
      <c r="CD142" s="25" t="str">
        <f>IF(_xlfn.XLOOKUP(_xlfn.XLOOKUP(B142,'Base stats'!B:B,'Base stats'!E:E),Groups!A:A,Groups!AX:AX),"True","False")</f>
        <v>False</v>
      </c>
      <c r="CE142" s="25" t="str">
        <f>IF(_xlfn.XLOOKUP(_xlfn.XLOOKUP(B142,'Base stats'!B:B,'Base stats'!E:E),Groups!A:A,Groups!AY:AY),"True","False")</f>
        <v>False</v>
      </c>
      <c r="CF142" s="25" t="str">
        <f>IF(_xlfn.XLOOKUP(_xlfn.XLOOKUP(B142,'Base stats'!B:B,'Base stats'!E:E),Groups!A:A,Groups!AW:AW),"True","False")</f>
        <v>False</v>
      </c>
      <c r="CG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H142" s="25" t="str">
        <f>IF(_xlfn.XLOOKUP(_xlfn.XLOOKUP(B142,'Base stats'!B:B,'Base stats'!E:E),Groups!A:A,Groups!BB:BB),"True","False")</f>
        <v>True</v>
      </c>
      <c r="CI142" s="25" t="str">
        <f>IF(_xlfn.XLOOKUP(_xlfn.XLOOKUP(B142,'Base stats'!B:B,'Base stats'!E:E),Groups!A:A,Groups!BA:BA),"True","False")</f>
        <v>False</v>
      </c>
    </row>
    <row r="143" spans="1:87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stats'!AI:AI)=0,BH143="None",_xlfn.XLOOKUP(_xlfn.XLOOKUP(B143,'Base stats'!B:B,'Base stats'!E:E),Groups!A:A,Groups!B:B)=0), (18 + BQ143 * 2.7) * 0.5,
    IF(AND(_xlfn.XLOOKUP(B143,'Base stats'!B:B,'Base stats'!AI:AI)=0,OR(AO143&lt;0.55,AND(BH143="Intermediate",_xlfn.XLOOKUP(_xlfn.XLOOKUP(B143,'Base stats'!B:B,'Base stats'!E:E),Groups!A:A,Groups!B:B)&lt;2))), (18 + BQ143 * 2.7),
      IF(OR(BH143="Advanced",_xlfn.XLOOKUP(B143,'Base stats'!B:B,'Base stats'!AI:AI)=1,_xlfn.XLOOKUP(_xlfn.XLOOKUP(B143,'Base stats'!B:B,'Base stats'!E:E),Groups!A:A,Groups!B:B)=2), (18 + BQ143 * 2.7) + 250, (18 + BQ143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IF(_xlfn.XLOOKUP(B143,'Base stats'!B:B,'Base stats'!AI:AI)=1,0.99,MIN(MROUND((1-0.6282*EXP(-0.459*AO143))*_xlfn.XLOOKUP(_xlfn.XLOOKUP(B143,'Base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W143)),ISNUMBER(SEARCH("IceSheet",BW143))),-50,IF(OR(ISNUMBER(SEARCH("GlacialPlain",BW143)),ISNUMBER(SEARCH("Tundra",BW143))),-40,IF(OR(ISNUMBER(SEARCH("Alpine",BW143)),ISNUMBER(SEARCH("BorealForest",BW143)),ISNUMBER(SEARCH("ColdBog",BW143))),-30,IF(OR(ISNUMBER(SEARCH("TemperateForest",BW143)),ISNUMBER(SEARCH("TemperateSwamp",BW143))),-20,IF(_xlfn.XLOOKUP(_xlfn.XLOOKUP(B143,'Base stats'!B:B,'Base stats'!E:E),Groups!A:A,Groups!F:F)=1,-15,IF(OR(ISNUMBER(SEARCH("Desert",BW143)),ISNUMBER(SEARCH("ExtremeDesert",BW143))),-10,IF(OR(ISNUMBER(SEARCH("Grasslands",BW143)),ISNUMBER(SEARCH("TropicalRainforest",BW143)),ISNUMBER(SEARCH("TropicalSwamp",BW143))),10,0)))))))-IF(CB143="False",MIN(IFERROR(MAX(MROUND(LOG10(_xlfn.XLOOKUP(B143,'Base stats'!B:B,'Base stats'!C:C)^(2/3))*10,5),5),5),30))-_xlfn.XLOOKUP(B143,'Base stats'!B:B,'Base stats'!P:P)+IF(CB143="True",5,0)</f>
        <v>-35</v>
      </c>
      <c r="M143" s="2">
        <f>IF(OR(_xlfn.XLOOKUP(_xlfn.XLOOKUP(B143,'Base stats'!B:B,'Base stats'!E:E),Groups!A:A,Groups!G:G)=2,ISNUMBER(SEARCH("Desert",BW143)),ISNUMBER(SEARCH("ExtremeDesert",BW143)),ISNUMBER(SEARCH("LavaField",BW143))),50,IF(ISNUMBER(SEARCH("Grasslands",BW143)),45,IF(OR(_xlfn.XLOOKUP(_xlfn.XLOOKUP(B143,'Base stats'!B:B,'Base stats'!E:E),Groups!A:A,Groups!G:G)=1,ISNUMBER(SEARCH("TropicalRainforest",BW143)),ISNUMBER(SEARCH("TropicalSwamp",BW143))),40,IF(OR(ISNUMBER(SEARCH("TemperateForest",BW143)),ISNUMBER(SEARCH("TemperateSwamp",BW143))),35,IF(OR(ISNUMBER(SEARCH("Alpine",BW143)),ISNUMBER(SEARCH("BorealForest",BW143)),ISNUMBER(SEARCH("ColdBog",BW143))),30,IF(ISNUMBER(OR(ISNUMBER(SEARCH("GlacialPlain",BW143)),SEARCH("Tundra",BW143))),25,IF(OR(ISNUMBER(SEARCH("SeaIce",BW143)),ISNUMBER(SEARCH("IceSheet",BW143)),ISNUMBER(SEARCH("TropicalSwamp",BW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stats'!AO:AO))*(AO143^0.5)+(_xlfn.XLOOKUP(B143,'Base stats'!B:B,'Base stats'!AO:AO)/1000)^(2/3)+_xlfn.XLOOKUP(B143,'Base stats'!B:B,'Base stats'!AX:AX)/2)+0.5,0.5)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stats'!AP:AP))*(AO143^0.5)+(_xlfn.XLOOKUP(B143,'Base stats'!B:B,'Base stats'!AP:AP)/1000)^(2/3)+_xlfn.XLOOKUP(B143,'Base stats'!B:B,'Base stats'!AX:AX))+_xlfn.XLOOKUP(B143,'Base stats'!B:B,'Base stats'!AV:AV)+0.5,0.5))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stats'!AR:AR))*(AO143^0.5)+(_xlfn.XLOOKUP(B143,'Base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stats'!AQ:AQ)="No","No",MROUND((LOG10(_xlfn.XLOOKUP(B143,'Base stats'!B:B,'Base stats'!AQ:AQ))*(AO143^0.75)+(_xlfn.XLOOKUP(B143,'Base stats'!B:B,'Base stats'!AQ:AQ)/1000)^(2/3)+_xlfn.XLOOKUP(B143,'Base stats'!B:B,'Base stats'!AU:AU)+_xlfn.XLOOKUP(B143,'Base stats'!B:B,'Base stats'!AX:AX))+0.5,0.5))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stats'!AP:AP))*(AO143^0.75)+(_xlfn.XLOOKUP(B143,'Base stats'!B:B,'Base stats'!AP:AP)/1000)^(2/3)+_xlfn.XLOOKUP(B143,'Base stats'!B:B,'Base stats'!AV:AV)+_xlfn.XLOOKUP(B143,'Base stats'!B:B,'Base stats'!AX:AX))+0.5,0.5))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MAX(0.01,MROUND(IF(CB143="True",0.196*(AO143*100*1000)^0.889,IF(_xlfn.XLOOKUP(_xlfn.XLOOKUP(B143,'Base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stats'!AE:AE)</f>
        <v>Leather_Dog</v>
      </c>
      <c r="BB143" s="23" t="str">
        <f>_xlfn.XLOOKUP(_xlfn.XLOOKUP(B143,'Base stats'!B:B,'Base stats'!E:E),Groups!A:A,Groups!AL:AL)</f>
        <v>QuadrupedAnimalWithPawsAndTail</v>
      </c>
      <c r="BC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D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E143" s="2">
        <f>IF(J143&gt;0.3,"No",_xlfn.XLOOKUP(_xlfn.XLOOKUP(Animals!B143,'Base stats'!B:B,'Base stats'!E:E),Groups!A:A,Groups!AP:AP))</f>
        <v>1</v>
      </c>
      <c r="BF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+ 24*(1-IF(BE143="No",0,BE143)) + 16/3, 12),"No")</f>
        <v>12</v>
      </c>
      <c r="BG143" s="2">
        <f>IF(AND(_xlfn.XLOOKUP(_xlfn.XLOOKUP(B143,'Base stats'!B:B,'Base stats'!E:E),Groups!A:A,Groups!AQ:AQ)=1,AO143&lt;=0.35),8,12)</f>
        <v>12</v>
      </c>
      <c r="BH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I143" s="2" t="str">
        <f>IF(AND(_xlfn.XLOOKUP(_xlfn.XLOOKUP(B143,'Base stats'!B:B,'Base stats'!E:E),Groups!A:A,Groups!AS:AS)=1,OR('Base stats'!Y143="Carnivore",'Base stats'!Y143="Omnivore")),"true","false")</f>
        <v>true</v>
      </c>
      <c r="BJ143" s="2">
        <f>IF(BI143="true",MROUND(IF(AND(AO143&gt;0.5,OR(_xlfn.XLOOKUP(_xlfn.XLOOKUP(B143,'Base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K143" s="2">
        <f t="shared" si="17"/>
        <v>1</v>
      </c>
      <c r="BL143" s="25" t="str">
        <f>IF(_xlfn.XLOOKUP(B143,'Base stats'!B:B,'Base stats'!AK:AK)="Standard","No",MROUND((_xlfn.XLOOKUP(B143,'Base stats'!B:B,'Base stats'!AK:AK)/3.6)/I143,0.1))</f>
        <v>No</v>
      </c>
      <c r="BM143" s="25" t="str">
        <f t="shared" si="18"/>
        <v>false</v>
      </c>
      <c r="BN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O143" s="25" t="str" cm="1">
        <f t="array" ref="BO143">IF(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 = "",
  "No",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
)</f>
        <v>AttackTarget, Forage, Comfort</v>
      </c>
      <c r="BP143" s="25" t="str">
        <f>IF(
   AND(
      'Base stats'!AK143="Standard",_xlfn.XLOOKUP(_xlfn.XLOOKUP(B143,'Base stats'!B:B,'Base stats'!E:E),Groups!A:A,Groups!AU:AU)=0,
      OR(
      BN143="True"
      )
   ),
   10,
   IF(
       OR(BL143&lt;&gt;"No",_xlfn.XLOOKUP(_xlfn.XLOOKUP(B143,'Base stats'!B:B,'Base stats'!E:E),Groups!A:A,Groups!AU:AU)=1),
      1,
      "No"
   )
)</f>
        <v>No</v>
      </c>
      <c r="BQ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stats'!AS:AS) * 1.8) * 2) * 2.5 + 10 + I143 * 2,5)+IF(_xlfn.XLOOKUP(B143,'Base stats'!B:B,'Base stats'!AH:AH)=1,50,0)</f>
        <v>85</v>
      </c>
      <c r="BR143" s="8">
        <f t="shared" si="19"/>
        <v>0.55000000000000004</v>
      </c>
      <c r="BS143" s="8" t="str">
        <f>_xlfn.XLOOKUP(B143,'Base stats'!B:B,'Base stats'!AD:AD)</f>
        <v>2~4</v>
      </c>
      <c r="BT143" s="2" t="str">
        <f>IF(AND(J143&lt;=0.95,OR(_xlfn.XLOOKUP(B143,'Base stats'!B:B,'Base stats'!AH:AH)=1,_xlfn.XLOOKUP(B143,'Base stats'!B:B,'Base stats'!Y:Y)="Carnivore",_xlfn.XLOOKUP(B143,'Base stats'!B:B,'Base stats'!Y:Y)="Omnivore",BD143&gt;0.1)),"true","false")</f>
        <v>true</v>
      </c>
      <c r="BU143" s="2" t="str">
        <f>IF(_xlfn.XLOOKUP(B143,'Base stats'!B:B,'Base stats'!AF:AF)=1,"true","false")</f>
        <v>false</v>
      </c>
      <c r="BV143" s="25" t="str">
        <f>IF(E143="BaseInsect","AnimalInsect",
IF(J143&gt;0.95,"AnimalExotic",
_xlfn.TEXTJOIN(", ",TRUE,
IF(OR(_xlfn.XLOOKUP(B143,'Base stats'!B:B,'Base stats'!AJ:AJ)=1,AND(_xlfn.XLOOKUP(B143,'Base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stats'!AH:AH)=1,AND(BH143&lt;&gt;"None",BQ143&gt;=60),ISNUMBER(SEARCH("Attack target",BO143))),"AnimalFighter","")
)))</f>
        <v>AnimalCommon, AnimalPet, AnimalFighter</v>
      </c>
      <c r="BW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),_xlfn.XLOOKUP(B143,B:B,BW:BW))</f>
        <v/>
      </c>
      <c r="BX143" s="25" t="str">
        <f>IF(_xlfn.XLOOKUP(B143,'Base stats'!B:B,'Base stats'!AG:AG)=1,"true","false")</f>
        <v>false</v>
      </c>
      <c r="BY143" s="25">
        <f>IF(_xlfn.XLOOKUP(B143,'Base stats'!B:B,'Base stats'!N:N)=1,"No",MAX(0.01,MIN(MROUND(IF(OR(_xlfn.XLOOKUP(B143,'Base stats'!B:B,'Base stats'!AJ:AJ)=1,AND(BI143="True",CB143="False")),POWER(10,3.47*LOG10(_xlfn.XLOOKUP(B143,'Base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stats'!AH:AH)=1),0.5,1)/100,0.025),1)))</f>
        <v>7.5000000000000011E-2</v>
      </c>
      <c r="BZ143" s="25" t="str">
        <f>IF(P143="Standard","No",MAX(0.01,IF(_xlfn.XLOOKUP(B143,'Base stats'!B:B,'Base stats'!N:N)=0,MROUND(BY143*P143,0.05),MIN(1,MAX(0.025,MROUND(IF(OR(CB143="true",AND(BI143="false",BN143="false")),POWER(10,4.15*LOG10(_xlfn.XLOOKUP(B143,'Base stats'!B:B,'Base stats'!C:C)*1000)^-0.73),POWER(10,3.47*LOG10(_xlfn.XLOOKUP(B143,'Base stats'!B:B,'Base stats'!C:C)*1000)^-0.96))*IF(_xlfn.XLOOKUP(B143,'Base stats'!B:B,'Base stats'!AH:AH)=1,0.5,1)/100,0.025))))))</f>
        <v>No</v>
      </c>
      <c r="CA143" s="25" t="str">
        <f>IF(_xlfn.XLOOKUP(_xlfn.XLOOKUP(B143,'Base stats'!B:B,'Base stats'!E:E),Groups!A:A,Groups!AJ:AJ)="Mammal","True","False")</f>
        <v>True</v>
      </c>
      <c r="CB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C143" s="25" t="str">
        <f t="shared" si="20"/>
        <v>False</v>
      </c>
      <c r="CD143" s="25" t="str">
        <f>IF(_xlfn.XLOOKUP(_xlfn.XLOOKUP(B143,'Base stats'!B:B,'Base stats'!E:E),Groups!A:A,Groups!AX:AX),"True","False")</f>
        <v>False</v>
      </c>
      <c r="CE143" s="25" t="str">
        <f>IF(_xlfn.XLOOKUP(_xlfn.XLOOKUP(B143,'Base stats'!B:B,'Base stats'!E:E),Groups!A:A,Groups!AY:AY),"True","False")</f>
        <v>False</v>
      </c>
      <c r="CF143" s="25" t="str">
        <f>IF(_xlfn.XLOOKUP(_xlfn.XLOOKUP(B143,'Base stats'!B:B,'Base stats'!E:E),Groups!A:A,Groups!AW:AW),"True","False")</f>
        <v>False</v>
      </c>
      <c r="CG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H143" s="25" t="str">
        <f>IF(_xlfn.XLOOKUP(_xlfn.XLOOKUP(B143,'Base stats'!B:B,'Base stats'!E:E),Groups!A:A,Groups!BB:BB),"True","False")</f>
        <v>True</v>
      </c>
      <c r="CI143" s="25" t="str">
        <f>IF(_xlfn.XLOOKUP(_xlfn.XLOOKUP(B143,'Base stats'!B:B,'Base stats'!E:E),Groups!A:A,Groups!BA:BA),"True","False")</f>
        <v>False</v>
      </c>
    </row>
    <row r="144" spans="1:87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stats'!AI:AI)=0,BH144="None",_xlfn.XLOOKUP(_xlfn.XLOOKUP(B144,'Base stats'!B:B,'Base stats'!E:E),Groups!A:A,Groups!B:B)=0), (18 + BQ144 * 2.7) * 0.5,
    IF(AND(_xlfn.XLOOKUP(B144,'Base stats'!B:B,'Base stats'!AI:AI)=0,OR(AO144&lt;0.55,AND(BH144="Intermediate",_xlfn.XLOOKUP(_xlfn.XLOOKUP(B144,'Base stats'!B:B,'Base stats'!E:E),Groups!A:A,Groups!B:B)&lt;2))), (18 + BQ144 * 2.7),
      IF(OR(BH144="Advanced",_xlfn.XLOOKUP(B144,'Base stats'!B:B,'Base stats'!AI:AI)=1,_xlfn.XLOOKUP(_xlfn.XLOOKUP(B144,'Base stats'!B:B,'Base stats'!E:E),Groups!A:A,Groups!B:B)=2), (18 + BQ144 * 2.7) + 250, (18 + BQ144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IF(_xlfn.XLOOKUP(B144,'Base stats'!B:B,'Base stats'!AI:AI)=1,0.99,MIN(MROUND((1-0.6282*EXP(-0.459*AO144))*_xlfn.XLOOKUP(_xlfn.XLOOKUP(B144,'Base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W144)),ISNUMBER(SEARCH("IceSheet",BW144))),-50,IF(OR(ISNUMBER(SEARCH("GlacialPlain",BW144)),ISNUMBER(SEARCH("Tundra",BW144))),-40,IF(OR(ISNUMBER(SEARCH("Alpine",BW144)),ISNUMBER(SEARCH("BorealForest",BW144)),ISNUMBER(SEARCH("ColdBog",BW144))),-30,IF(OR(ISNUMBER(SEARCH("TemperateForest",BW144)),ISNUMBER(SEARCH("TemperateSwamp",BW144))),-20,IF(_xlfn.XLOOKUP(_xlfn.XLOOKUP(B144,'Base stats'!B:B,'Base stats'!E:E),Groups!A:A,Groups!F:F)=1,-15,IF(OR(ISNUMBER(SEARCH("Desert",BW144)),ISNUMBER(SEARCH("ExtremeDesert",BW144))),-10,IF(OR(ISNUMBER(SEARCH("Grasslands",BW144)),ISNUMBER(SEARCH("TropicalRainforest",BW144)),ISNUMBER(SEARCH("TropicalSwamp",BW144))),10,0)))))))-IF(CB144="False",MIN(IFERROR(MAX(MROUND(LOG10(_xlfn.XLOOKUP(B144,'Base stats'!B:B,'Base stats'!C:C)^(2/3))*10,5),5),5),30))-_xlfn.XLOOKUP(B144,'Base stats'!B:B,'Base stats'!P:P)+IF(CB144="True",5,0)</f>
        <v>-25</v>
      </c>
      <c r="M144" s="2">
        <f>IF(OR(_xlfn.XLOOKUP(_xlfn.XLOOKUP(B144,'Base stats'!B:B,'Base stats'!E:E),Groups!A:A,Groups!G:G)=2,ISNUMBER(SEARCH("Desert",BW144)),ISNUMBER(SEARCH("ExtremeDesert",BW144)),ISNUMBER(SEARCH("LavaField",BW144))),50,IF(ISNUMBER(SEARCH("Grasslands",BW144)),45,IF(OR(_xlfn.XLOOKUP(_xlfn.XLOOKUP(B144,'Base stats'!B:B,'Base stats'!E:E),Groups!A:A,Groups!G:G)=1,ISNUMBER(SEARCH("TropicalRainforest",BW144)),ISNUMBER(SEARCH("TropicalSwamp",BW144))),40,IF(OR(ISNUMBER(SEARCH("TemperateForest",BW144)),ISNUMBER(SEARCH("TemperateSwamp",BW144))),35,IF(OR(ISNUMBER(SEARCH("Alpine",BW144)),ISNUMBER(SEARCH("BorealForest",BW144)),ISNUMBER(SEARCH("ColdBog",BW144))),30,IF(ISNUMBER(OR(ISNUMBER(SEARCH("GlacialPlain",BW144)),SEARCH("Tundra",BW144))),25,IF(OR(ISNUMBER(SEARCH("SeaIce",BW144)),ISNUMBER(SEARCH("IceSheet",BW144)),ISNUMBER(SEARCH("TropicalSwamp",BW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stats'!AO:AO))*(AO144^0.5)+(_xlfn.XLOOKUP(B144,'Base stats'!B:B,'Base stats'!AO:AO)/1000)^(2/3)+_xlfn.XLOOKUP(B144,'Base stats'!B:B,'Base stats'!AX:AX)/2)+0.5,0.5)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stats'!AP:AP))*(AO144^0.5)+(_xlfn.XLOOKUP(B144,'Base stats'!B:B,'Base stats'!AP:AP)/1000)^(2/3)+_xlfn.XLOOKUP(B144,'Base stats'!B:B,'Base stats'!AX:AX))+_xlfn.XLOOKUP(B144,'Base stats'!B:B,'Base stats'!AV:AV)+0.5,0.5))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stats'!AR:AR))*(AO144^0.5)+(_xlfn.XLOOKUP(B144,'Base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stats'!AQ:AQ)="No","No",MROUND((LOG10(_xlfn.XLOOKUP(B144,'Base stats'!B:B,'Base stats'!AQ:AQ))*(AO144^0.75)+(_xlfn.XLOOKUP(B144,'Base stats'!B:B,'Base stats'!AQ:AQ)/1000)^(2/3)+_xlfn.XLOOKUP(B144,'Base stats'!B:B,'Base stats'!AU:AU)+_xlfn.XLOOKUP(B144,'Base stats'!B:B,'Base stats'!AX:AX))+0.5,0.5))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stats'!AP:AP))*(AO144^0.75)+(_xlfn.XLOOKUP(B144,'Base stats'!B:B,'Base stats'!AP:AP)/1000)^(2/3)+_xlfn.XLOOKUP(B144,'Base stats'!B:B,'Base stats'!AV:AV)+_xlfn.XLOOKUP(B144,'Base stats'!B:B,'Base stats'!AX:AX))+0.5,0.5))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MAX(0.01,MROUND(IF(CB144="True",0.196*(AO144*100*1000)^0.889,IF(_xlfn.XLOOKUP(_xlfn.XLOOKUP(B144,'Base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stats'!AE:AE)</f>
        <v>Leather_Dog</v>
      </c>
      <c r="BB144" s="23" t="str">
        <f>_xlfn.XLOOKUP(_xlfn.XLOOKUP(B144,'Base stats'!B:B,'Base stats'!E:E),Groups!A:A,Groups!AL:AL)</f>
        <v>QuadrupedAnimalWithPawsAndTail</v>
      </c>
      <c r="BC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D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E144" s="2">
        <f>IF(J144&gt;0.3,"No",_xlfn.XLOOKUP(_xlfn.XLOOKUP(Animals!B144,'Base stats'!B:B,'Base stats'!E:E),Groups!A:A,Groups!AP:AP))</f>
        <v>1</v>
      </c>
      <c r="BF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+ 24*(1-IF(BE144="No",0,BE144)) + 16/3, 12),"No")</f>
        <v>12</v>
      </c>
      <c r="BG144" s="2">
        <f>IF(AND(_xlfn.XLOOKUP(_xlfn.XLOOKUP(B144,'Base stats'!B:B,'Base stats'!E:E),Groups!A:A,Groups!AQ:AQ)=1,AO144&lt;=0.35),8,12)</f>
        <v>12</v>
      </c>
      <c r="BH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I144" s="2" t="str">
        <f>IF(AND(_xlfn.XLOOKUP(_xlfn.XLOOKUP(B144,'Base stats'!B:B,'Base stats'!E:E),Groups!A:A,Groups!AS:AS)=1,OR('Base stats'!Y144="Carnivore",'Base stats'!Y144="Omnivore")),"true","false")</f>
        <v>true</v>
      </c>
      <c r="BJ144" s="2">
        <f>IF(BI144="true",MROUND(IF(AND(AO144&gt;0.5,OR(_xlfn.XLOOKUP(_xlfn.XLOOKUP(B144,'Base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K144" s="2">
        <f t="shared" si="17"/>
        <v>1</v>
      </c>
      <c r="BL144" s="25" t="str">
        <f>IF(_xlfn.XLOOKUP(B144,'Base stats'!B:B,'Base stats'!AK:AK)="Standard","No",MROUND((_xlfn.XLOOKUP(B144,'Base stats'!B:B,'Base stats'!AK:AK)/3.6)/I144,0.1))</f>
        <v>No</v>
      </c>
      <c r="BM144" s="25" t="str">
        <f t="shared" si="18"/>
        <v>false</v>
      </c>
      <c r="BN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O144" s="25" t="str" cm="1">
        <f t="array" ref="BO144">IF(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 = "",
  "No",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
)</f>
        <v>AttackTarget, Forage, Comfort</v>
      </c>
      <c r="BP144" s="25" t="str">
        <f>IF(
   AND(
      'Base stats'!AK144="Standard",_xlfn.XLOOKUP(_xlfn.XLOOKUP(B144,'Base stats'!B:B,'Base stats'!E:E),Groups!A:A,Groups!AU:AU)=0,
      OR(
      BN144="True"
      )
   ),
   10,
   IF(
       OR(BL144&lt;&gt;"No",_xlfn.XLOOKUP(_xlfn.XLOOKUP(B144,'Base stats'!B:B,'Base stats'!E:E),Groups!A:A,Groups!AU:AU)=1),
      1,
      "No"
   )
)</f>
        <v>No</v>
      </c>
      <c r="BQ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stats'!AS:AS) * 1.8) * 2) * 2.5 + 10 + I144 * 2,5)+IF(_xlfn.XLOOKUP(B144,'Base stats'!B:B,'Base stats'!AH:AH)=1,50,0)</f>
        <v>105</v>
      </c>
      <c r="BR144" s="8">
        <f t="shared" si="19"/>
        <v>0.65</v>
      </c>
      <c r="BS144" s="8" t="str">
        <f>_xlfn.XLOOKUP(B144,'Base stats'!B:B,'Base stats'!AD:AD)</f>
        <v>2~4</v>
      </c>
      <c r="BT144" s="2" t="str">
        <f>IF(AND(J144&lt;=0.95,OR(_xlfn.XLOOKUP(B144,'Base stats'!B:B,'Base stats'!AH:AH)=1,_xlfn.XLOOKUP(B144,'Base stats'!B:B,'Base stats'!Y:Y)="Carnivore",_xlfn.XLOOKUP(B144,'Base stats'!B:B,'Base stats'!Y:Y)="Omnivore",BD144&gt;0.1)),"true","false")</f>
        <v>true</v>
      </c>
      <c r="BU144" s="2" t="str">
        <f>IF(_xlfn.XLOOKUP(B144,'Base stats'!B:B,'Base stats'!AF:AF)=1,"true","false")</f>
        <v>false</v>
      </c>
      <c r="BV144" s="25" t="str">
        <f>IF(E144="BaseInsect","AnimalInsect",
IF(J144&gt;0.95,"AnimalExotic",
_xlfn.TEXTJOIN(", ",TRUE,
IF(OR(_xlfn.XLOOKUP(B144,'Base stats'!B:B,'Base stats'!AJ:AJ)=1,AND(_xlfn.XLOOKUP(B144,'Base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stats'!AH:AH)=1,AND(BH144&lt;&gt;"None",BQ144&gt;=60),ISNUMBER(SEARCH("Attack target",BO144))),"AnimalFighter","")
)))</f>
        <v>AnimalCommon, AnimalPet, AnimalFighter</v>
      </c>
      <c r="BW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),_xlfn.XLOOKUP(B144,B:B,BW:BW))</f>
        <v/>
      </c>
      <c r="BX144" s="25" t="str">
        <f>IF(_xlfn.XLOOKUP(B144,'Base stats'!B:B,'Base stats'!AG:AG)=1,"true","false")</f>
        <v>false</v>
      </c>
      <c r="BY144" s="25">
        <f>IF(_xlfn.XLOOKUP(B144,'Base stats'!B:B,'Base stats'!N:N)=1,"No",MAX(0.01,MIN(MROUND(IF(OR(_xlfn.XLOOKUP(B144,'Base stats'!B:B,'Base stats'!AJ:AJ)=1,AND(BI144="True",CB144="False")),POWER(10,3.47*LOG10(_xlfn.XLOOKUP(B144,'Base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stats'!AH:AH)=1),0.5,1)/100,0.025),1)))</f>
        <v>0.05</v>
      </c>
      <c r="BZ144" s="25" t="str">
        <f>IF(P144="Standard","No",MAX(0.01,IF(_xlfn.XLOOKUP(B144,'Base stats'!B:B,'Base stats'!N:N)=0,MROUND(BY144*P144,0.05),MIN(1,MAX(0.025,MROUND(IF(OR(CB144="true",AND(BI144="false",BN144="false")),POWER(10,4.15*LOG10(_xlfn.XLOOKUP(B144,'Base stats'!B:B,'Base stats'!C:C)*1000)^-0.73),POWER(10,3.47*LOG10(_xlfn.XLOOKUP(B144,'Base stats'!B:B,'Base stats'!C:C)*1000)^-0.96))*IF(_xlfn.XLOOKUP(B144,'Base stats'!B:B,'Base stats'!AH:AH)=1,0.5,1)/100,0.025))))))</f>
        <v>No</v>
      </c>
      <c r="CA144" s="25" t="str">
        <f>IF(_xlfn.XLOOKUP(_xlfn.XLOOKUP(B144,'Base stats'!B:B,'Base stats'!E:E),Groups!A:A,Groups!AJ:AJ)="Mammal","True","False")</f>
        <v>True</v>
      </c>
      <c r="CB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C144" s="25" t="str">
        <f t="shared" si="20"/>
        <v>False</v>
      </c>
      <c r="CD144" s="25" t="str">
        <f>IF(_xlfn.XLOOKUP(_xlfn.XLOOKUP(B144,'Base stats'!B:B,'Base stats'!E:E),Groups!A:A,Groups!AX:AX),"True","False")</f>
        <v>False</v>
      </c>
      <c r="CE144" s="25" t="str">
        <f>IF(_xlfn.XLOOKUP(_xlfn.XLOOKUP(B144,'Base stats'!B:B,'Base stats'!E:E),Groups!A:A,Groups!AY:AY),"True","False")</f>
        <v>False</v>
      </c>
      <c r="CF144" s="25" t="str">
        <f>IF(_xlfn.XLOOKUP(_xlfn.XLOOKUP(B144,'Base stats'!B:B,'Base stats'!E:E),Groups!A:A,Groups!AW:AW),"True","False")</f>
        <v>False</v>
      </c>
      <c r="CG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H144" s="25" t="str">
        <f>IF(_xlfn.XLOOKUP(_xlfn.XLOOKUP(B144,'Base stats'!B:B,'Base stats'!E:E),Groups!A:A,Groups!BB:BB),"True","False")</f>
        <v>True</v>
      </c>
      <c r="CI144" s="25" t="str">
        <f>IF(_xlfn.XLOOKUP(_xlfn.XLOOKUP(B144,'Base stats'!B:B,'Base stats'!E:E),Groups!A:A,Groups!BA:BA),"True","False")</f>
        <v>False</v>
      </c>
    </row>
    <row r="145" spans="1:87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stats'!AI:AI)=0,BH145="None",_xlfn.XLOOKUP(_xlfn.XLOOKUP(B145,'Base stats'!B:B,'Base stats'!E:E),Groups!A:A,Groups!B:B)=0), (18 + BQ145 * 2.7) * 0.5,
    IF(AND(_xlfn.XLOOKUP(B145,'Base stats'!B:B,'Base stats'!AI:AI)=0,OR(AO145&lt;0.55,AND(BH145="Intermediate",_xlfn.XLOOKUP(_xlfn.XLOOKUP(B145,'Base stats'!B:B,'Base stats'!E:E),Groups!A:A,Groups!B:B)&lt;2))), (18 + BQ145 * 2.7),
      IF(OR(BH145="Advanced",_xlfn.XLOOKUP(B145,'Base stats'!B:B,'Base stats'!AI:AI)=1,_xlfn.XLOOKUP(_xlfn.XLOOKUP(B145,'Base stats'!B:B,'Base stats'!E:E),Groups!A:A,Groups!B:B)=2), (18 + BQ145 * 2.7) + 250, (18 + BQ145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IF(_xlfn.XLOOKUP(B145,'Base stats'!B:B,'Base stats'!AI:AI)=1,0.99,MIN(MROUND((1-0.6282*EXP(-0.459*AO145))*_xlfn.XLOOKUP(_xlfn.XLOOKUP(B145,'Base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W145)),ISNUMBER(SEARCH("IceSheet",BW145))),-50,IF(OR(ISNUMBER(SEARCH("GlacialPlain",BW145)),ISNUMBER(SEARCH("Tundra",BW145))),-40,IF(OR(ISNUMBER(SEARCH("Alpine",BW145)),ISNUMBER(SEARCH("BorealForest",BW145)),ISNUMBER(SEARCH("ColdBog",BW145))),-30,IF(OR(ISNUMBER(SEARCH("TemperateForest",BW145)),ISNUMBER(SEARCH("TemperateSwamp",BW145))),-20,IF(_xlfn.XLOOKUP(_xlfn.XLOOKUP(B145,'Base stats'!B:B,'Base stats'!E:E),Groups!A:A,Groups!F:F)=1,-15,IF(OR(ISNUMBER(SEARCH("Desert",BW145)),ISNUMBER(SEARCH("ExtremeDesert",BW145))),-10,IF(OR(ISNUMBER(SEARCH("Grasslands",BW145)),ISNUMBER(SEARCH("TropicalRainforest",BW145)),ISNUMBER(SEARCH("TropicalSwamp",BW145))),10,0)))))))-IF(CB145="False",MIN(IFERROR(MAX(MROUND(LOG10(_xlfn.XLOOKUP(B145,'Base stats'!B:B,'Base stats'!C:C)^(2/3))*10,5),5),5),30))-_xlfn.XLOOKUP(B145,'Base stats'!B:B,'Base stats'!P:P)+IF(CB145="True",5,0)</f>
        <v>-25</v>
      </c>
      <c r="M145" s="2">
        <f>IF(OR(_xlfn.XLOOKUP(_xlfn.XLOOKUP(B145,'Base stats'!B:B,'Base stats'!E:E),Groups!A:A,Groups!G:G)=2,ISNUMBER(SEARCH("Desert",BW145)),ISNUMBER(SEARCH("ExtremeDesert",BW145)),ISNUMBER(SEARCH("LavaField",BW145))),50,IF(ISNUMBER(SEARCH("Grasslands",BW145)),45,IF(OR(_xlfn.XLOOKUP(_xlfn.XLOOKUP(B145,'Base stats'!B:B,'Base stats'!E:E),Groups!A:A,Groups!G:G)=1,ISNUMBER(SEARCH("TropicalRainforest",BW145)),ISNUMBER(SEARCH("TropicalSwamp",BW145))),40,IF(OR(ISNUMBER(SEARCH("TemperateForest",BW145)),ISNUMBER(SEARCH("TemperateSwamp",BW145))),35,IF(OR(ISNUMBER(SEARCH("Alpine",BW145)),ISNUMBER(SEARCH("BorealForest",BW145)),ISNUMBER(SEARCH("ColdBog",BW145))),30,IF(ISNUMBER(OR(ISNUMBER(SEARCH("GlacialPlain",BW145)),SEARCH("Tundra",BW145))),25,IF(OR(ISNUMBER(SEARCH("SeaIce",BW145)),ISNUMBER(SEARCH("IceSheet",BW145)),ISNUMBER(SEARCH("TropicalSwamp",BW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stats'!AO:AO))*(AO145^0.5)+(_xlfn.XLOOKUP(B145,'Base stats'!B:B,'Base stats'!AO:AO)/1000)^(2/3)+_xlfn.XLOOKUP(B145,'Base stats'!B:B,'Base stats'!AX:AX)/2)+0.5,0.5)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stats'!AP:AP))*(AO145^0.5)+(_xlfn.XLOOKUP(B145,'Base stats'!B:B,'Base stats'!AP:AP)/1000)^(2/3)+_xlfn.XLOOKUP(B145,'Base stats'!B:B,'Base stats'!AX:AX))+_xlfn.XLOOKUP(B145,'Base stats'!B:B,'Base stats'!AV:AV)+0.5,0.5))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stats'!AR:AR))*(AO145^0.5)+(_xlfn.XLOOKUP(B145,'Base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stats'!AQ:AQ)="No","No",MROUND((LOG10(_xlfn.XLOOKUP(B145,'Base stats'!B:B,'Base stats'!AQ:AQ))*(AO145^0.75)+(_xlfn.XLOOKUP(B145,'Base stats'!B:B,'Base stats'!AQ:AQ)/1000)^(2/3)+_xlfn.XLOOKUP(B145,'Base stats'!B:B,'Base stats'!AU:AU)+_xlfn.XLOOKUP(B145,'Base stats'!B:B,'Base stats'!AX:AX))+0.5,0.5))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stats'!AP:AP))*(AO145^0.75)+(_xlfn.XLOOKUP(B145,'Base stats'!B:B,'Base stats'!AP:AP)/1000)^(2/3)+_xlfn.XLOOKUP(B145,'Base stats'!B:B,'Base stats'!AV:AV)+_xlfn.XLOOKUP(B145,'Base stats'!B:B,'Base stats'!AX:AX))+0.5,0.5))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MAX(0.01,MROUND(IF(CB145="True",0.196*(AO145*100*1000)^0.889,IF(_xlfn.XLOOKUP(_xlfn.XLOOKUP(B145,'Base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stats'!AE:AE)</f>
        <v>Leather_Dog</v>
      </c>
      <c r="BB145" s="23" t="str">
        <f>_xlfn.XLOOKUP(_xlfn.XLOOKUP(B145,'Base stats'!B:B,'Base stats'!E:E),Groups!A:A,Groups!AL:AL)</f>
        <v>QuadrupedAnimalWithPawsAndTail</v>
      </c>
      <c r="BC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D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E145" s="2">
        <f>IF(J145&gt;0.3,"No",_xlfn.XLOOKUP(_xlfn.XLOOKUP(Animals!B145,'Base stats'!B:B,'Base stats'!E:E),Groups!A:A,Groups!AP:AP))</f>
        <v>1</v>
      </c>
      <c r="BF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+ 24*(1-IF(BE145="No",0,BE145)) + 16/3, 12),"No")</f>
        <v>12</v>
      </c>
      <c r="BG145" s="2">
        <f>IF(AND(_xlfn.XLOOKUP(_xlfn.XLOOKUP(B145,'Base stats'!B:B,'Base stats'!E:E),Groups!A:A,Groups!AQ:AQ)=1,AO145&lt;=0.35),8,12)</f>
        <v>12</v>
      </c>
      <c r="BH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I145" s="2" t="str">
        <f>IF(AND(_xlfn.XLOOKUP(_xlfn.XLOOKUP(B145,'Base stats'!B:B,'Base stats'!E:E),Groups!A:A,Groups!AS:AS)=1,OR('Base stats'!Y145="Carnivore",'Base stats'!Y145="Omnivore")),"true","false")</f>
        <v>true</v>
      </c>
      <c r="BJ145" s="2">
        <f>IF(BI145="true",MROUND(IF(AND(AO145&gt;0.5,OR(_xlfn.XLOOKUP(_xlfn.XLOOKUP(B145,'Base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K145" s="2">
        <f t="shared" si="17"/>
        <v>1</v>
      </c>
      <c r="BL145" s="25" t="str">
        <f>IF(_xlfn.XLOOKUP(B145,'Base stats'!B:B,'Base stats'!AK:AK)="Standard","No",MROUND((_xlfn.XLOOKUP(B145,'Base stats'!B:B,'Base stats'!AK:AK)/3.6)/I145,0.1))</f>
        <v>No</v>
      </c>
      <c r="BM145" s="25" t="str">
        <f t="shared" si="18"/>
        <v>false</v>
      </c>
      <c r="BN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O145" s="25" t="str" cm="1">
        <f t="array" ref="BO145">IF(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 = "",
  "No",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
)</f>
        <v>AttackTarget, Forage, Comfort</v>
      </c>
      <c r="BP145" s="25" t="str">
        <f>IF(
   AND(
      'Base stats'!AK145="Standard",_xlfn.XLOOKUP(_xlfn.XLOOKUP(B145,'Base stats'!B:B,'Base stats'!E:E),Groups!A:A,Groups!AU:AU)=0,
      OR(
      BN145="True"
      )
   ),
   10,
   IF(
       OR(BL145&lt;&gt;"No",_xlfn.XLOOKUP(_xlfn.XLOOKUP(B145,'Base stats'!B:B,'Base stats'!E:E),Groups!A:A,Groups!AU:AU)=1),
      1,
      "No"
   )
)</f>
        <v>No</v>
      </c>
      <c r="BQ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stats'!AS:AS) * 1.8) * 2) * 2.5 + 10 + I145 * 2,5)+IF(_xlfn.XLOOKUP(B145,'Base stats'!B:B,'Base stats'!AH:AH)=1,50,0)</f>
        <v>80</v>
      </c>
      <c r="BR145" s="8">
        <f t="shared" si="19"/>
        <v>0.5</v>
      </c>
      <c r="BS145" s="8" t="str">
        <f>_xlfn.XLOOKUP(B145,'Base stats'!B:B,'Base stats'!AD:AD)</f>
        <v>2~4</v>
      </c>
      <c r="BT145" s="2" t="str">
        <f>IF(AND(J145&lt;=0.95,OR(_xlfn.XLOOKUP(B145,'Base stats'!B:B,'Base stats'!AH:AH)=1,_xlfn.XLOOKUP(B145,'Base stats'!B:B,'Base stats'!Y:Y)="Carnivore",_xlfn.XLOOKUP(B145,'Base stats'!B:B,'Base stats'!Y:Y)="Omnivore",BD145&gt;0.1)),"true","false")</f>
        <v>true</v>
      </c>
      <c r="BU145" s="2" t="str">
        <f>IF(_xlfn.XLOOKUP(B145,'Base stats'!B:B,'Base stats'!AF:AF)=1,"true","false")</f>
        <v>false</v>
      </c>
      <c r="BV145" s="25" t="str">
        <f>IF(E145="BaseInsect","AnimalInsect",
IF(J145&gt;0.95,"AnimalExotic",
_xlfn.TEXTJOIN(", ",TRUE,
IF(OR(_xlfn.XLOOKUP(B145,'Base stats'!B:B,'Base stats'!AJ:AJ)=1,AND(_xlfn.XLOOKUP(B145,'Base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stats'!AH:AH)=1,AND(BH145&lt;&gt;"None",BQ145&gt;=60),ISNUMBER(SEARCH("Attack target",BO145))),"AnimalFighter","")
)))</f>
        <v>AnimalCommon, AnimalPet, AnimalFighter</v>
      </c>
      <c r="BW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),_xlfn.XLOOKUP(B145,B:B,BW:BW))</f>
        <v/>
      </c>
      <c r="BX145" s="25" t="str">
        <f>IF(_xlfn.XLOOKUP(B145,'Base stats'!B:B,'Base stats'!AG:AG)=1,"true","false")</f>
        <v>false</v>
      </c>
      <c r="BY145" s="25">
        <f>IF(_xlfn.XLOOKUP(B145,'Base stats'!B:B,'Base stats'!N:N)=1,"No",MAX(0.01,MIN(MROUND(IF(OR(_xlfn.XLOOKUP(B145,'Base stats'!B:B,'Base stats'!AJ:AJ)=1,AND(BI145="True",CB145="False")),POWER(10,3.47*LOG10(_xlfn.XLOOKUP(B145,'Base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stats'!AH:AH)=1),0.5,1)/100,0.025),1)))</f>
        <v>7.5000000000000011E-2</v>
      </c>
      <c r="BZ145" s="25" t="str">
        <f>IF(P145="Standard","No",MAX(0.01,IF(_xlfn.XLOOKUP(B145,'Base stats'!B:B,'Base stats'!N:N)=0,MROUND(BY145*P145,0.05),MIN(1,MAX(0.025,MROUND(IF(OR(CB145="true",AND(BI145="false",BN145="false")),POWER(10,4.15*LOG10(_xlfn.XLOOKUP(B145,'Base stats'!B:B,'Base stats'!C:C)*1000)^-0.73),POWER(10,3.47*LOG10(_xlfn.XLOOKUP(B145,'Base stats'!B:B,'Base stats'!C:C)*1000)^-0.96))*IF(_xlfn.XLOOKUP(B145,'Base stats'!B:B,'Base stats'!AH:AH)=1,0.5,1)/100,0.025))))))</f>
        <v>No</v>
      </c>
      <c r="CA145" s="25" t="str">
        <f>IF(_xlfn.XLOOKUP(_xlfn.XLOOKUP(B145,'Base stats'!B:B,'Base stats'!E:E),Groups!A:A,Groups!AJ:AJ)="Mammal","True","False")</f>
        <v>True</v>
      </c>
      <c r="CB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C145" s="25" t="str">
        <f t="shared" si="20"/>
        <v>False</v>
      </c>
      <c r="CD145" s="25" t="str">
        <f>IF(_xlfn.XLOOKUP(_xlfn.XLOOKUP(B145,'Base stats'!B:B,'Base stats'!E:E),Groups!A:A,Groups!AX:AX),"True","False")</f>
        <v>False</v>
      </c>
      <c r="CE145" s="25" t="str">
        <f>IF(_xlfn.XLOOKUP(_xlfn.XLOOKUP(B145,'Base stats'!B:B,'Base stats'!E:E),Groups!A:A,Groups!AY:AY),"True","False")</f>
        <v>False</v>
      </c>
      <c r="CF145" s="25" t="str">
        <f>IF(_xlfn.XLOOKUP(_xlfn.XLOOKUP(B145,'Base stats'!B:B,'Base stats'!E:E),Groups!A:A,Groups!AW:AW),"True","False")</f>
        <v>False</v>
      </c>
      <c r="CG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H145" s="25" t="str">
        <f>IF(_xlfn.XLOOKUP(_xlfn.XLOOKUP(B145,'Base stats'!B:B,'Base stats'!E:E),Groups!A:A,Groups!BB:BB),"True","False")</f>
        <v>True</v>
      </c>
      <c r="CI145" s="25" t="str">
        <f>IF(_xlfn.XLOOKUP(_xlfn.XLOOKUP(B145,'Base stats'!B:B,'Base stats'!E:E),Groups!A:A,Groups!BA:BA),"True","False")</f>
        <v>False</v>
      </c>
    </row>
    <row r="146" spans="1:87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stats'!AI:AI)=0,BH146="None",_xlfn.XLOOKUP(_xlfn.XLOOKUP(B146,'Base stats'!B:B,'Base stats'!E:E),Groups!A:A,Groups!B:B)=0), (18 + BQ146 * 2.7) * 0.5,
    IF(AND(_xlfn.XLOOKUP(B146,'Base stats'!B:B,'Base stats'!AI:AI)=0,OR(AO146&lt;0.55,AND(BH146="Intermediate",_xlfn.XLOOKUP(_xlfn.XLOOKUP(B146,'Base stats'!B:B,'Base stats'!E:E),Groups!A:A,Groups!B:B)&lt;2))), (18 + BQ146 * 2.7),
      IF(OR(BH146="Advanced",_xlfn.XLOOKUP(B146,'Base stats'!B:B,'Base stats'!AI:AI)=1,_xlfn.XLOOKUP(_xlfn.XLOOKUP(B146,'Base stats'!B:B,'Base stats'!E:E),Groups!A:A,Groups!B:B)=2), (18 + BQ146 * 2.7) + 250, (18 + BQ146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IF(_xlfn.XLOOKUP(B146,'Base stats'!B:B,'Base stats'!AI:AI)=1,0.99,MIN(MROUND((1-0.6282*EXP(-0.459*AO146))*_xlfn.XLOOKUP(_xlfn.XLOOKUP(B146,'Base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W146)),ISNUMBER(SEARCH("IceSheet",BW146))),-50,IF(OR(ISNUMBER(SEARCH("GlacialPlain",BW146)),ISNUMBER(SEARCH("Tundra",BW146))),-40,IF(OR(ISNUMBER(SEARCH("Alpine",BW146)),ISNUMBER(SEARCH("BorealForest",BW146)),ISNUMBER(SEARCH("ColdBog",BW146))),-30,IF(OR(ISNUMBER(SEARCH("TemperateForest",BW146)),ISNUMBER(SEARCH("TemperateSwamp",BW146))),-20,IF(_xlfn.XLOOKUP(_xlfn.XLOOKUP(B146,'Base stats'!B:B,'Base stats'!E:E),Groups!A:A,Groups!F:F)=1,-15,IF(OR(ISNUMBER(SEARCH("Desert",BW146)),ISNUMBER(SEARCH("ExtremeDesert",BW146))),-10,IF(OR(ISNUMBER(SEARCH("Grasslands",BW146)),ISNUMBER(SEARCH("TropicalRainforest",BW146)),ISNUMBER(SEARCH("TropicalSwamp",BW146))),10,0)))))))-IF(CB146="False",MIN(IFERROR(MAX(MROUND(LOG10(_xlfn.XLOOKUP(B146,'Base stats'!B:B,'Base stats'!C:C)^(2/3))*10,5),5),5),30))-_xlfn.XLOOKUP(B146,'Base stats'!B:B,'Base stats'!P:P)+IF(CB146="True",5,0)</f>
        <v>-20</v>
      </c>
      <c r="M146" s="2">
        <f>IF(OR(_xlfn.XLOOKUP(_xlfn.XLOOKUP(B146,'Base stats'!B:B,'Base stats'!E:E),Groups!A:A,Groups!G:G)=2,ISNUMBER(SEARCH("Desert",BW146)),ISNUMBER(SEARCH("ExtremeDesert",BW146)),ISNUMBER(SEARCH("LavaField",BW146))),50,IF(ISNUMBER(SEARCH("Grasslands",BW146)),45,IF(OR(_xlfn.XLOOKUP(_xlfn.XLOOKUP(B146,'Base stats'!B:B,'Base stats'!E:E),Groups!A:A,Groups!G:G)=1,ISNUMBER(SEARCH("TropicalRainforest",BW146)),ISNUMBER(SEARCH("TropicalSwamp",BW146))),40,IF(OR(ISNUMBER(SEARCH("TemperateForest",BW146)),ISNUMBER(SEARCH("TemperateSwamp",BW146))),35,IF(OR(ISNUMBER(SEARCH("Alpine",BW146)),ISNUMBER(SEARCH("BorealForest",BW146)),ISNUMBER(SEARCH("ColdBog",BW146))),30,IF(ISNUMBER(OR(ISNUMBER(SEARCH("GlacialPlain",BW146)),SEARCH("Tundra",BW146))),25,IF(OR(ISNUMBER(SEARCH("SeaIce",BW146)),ISNUMBER(SEARCH("IceSheet",BW146)),ISNUMBER(SEARCH("TropicalSwamp",BW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stats'!AO:AO))*(AO146^0.5)+(_xlfn.XLOOKUP(B146,'Base stats'!B:B,'Base stats'!AO:AO)/1000)^(2/3)+_xlfn.XLOOKUP(B146,'Base stats'!B:B,'Base stats'!AX:AX)/2)+0.5,0.5)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stats'!AP:AP))*(AO146^0.5)+(_xlfn.XLOOKUP(B146,'Base stats'!B:B,'Base stats'!AP:AP)/1000)^(2/3)+_xlfn.XLOOKUP(B146,'Base stats'!B:B,'Base stats'!AX:AX))+_xlfn.XLOOKUP(B146,'Base stats'!B:B,'Base stats'!AV:AV)+0.5,0.5))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stats'!AR:AR))*(AO146^0.5)+(_xlfn.XLOOKUP(B146,'Base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stats'!AQ:AQ)="No","No",MROUND((LOG10(_xlfn.XLOOKUP(B146,'Base stats'!B:B,'Base stats'!AQ:AQ))*(AO146^0.75)+(_xlfn.XLOOKUP(B146,'Base stats'!B:B,'Base stats'!AQ:AQ)/1000)^(2/3)+_xlfn.XLOOKUP(B146,'Base stats'!B:B,'Base stats'!AU:AU)+_xlfn.XLOOKUP(B146,'Base stats'!B:B,'Base stats'!AX:AX))+0.5,0.5))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stats'!AP:AP))*(AO146^0.75)+(_xlfn.XLOOKUP(B146,'Base stats'!B:B,'Base stats'!AP:AP)/1000)^(2/3)+_xlfn.XLOOKUP(B146,'Base stats'!B:B,'Base stats'!AV:AV)+_xlfn.XLOOKUP(B146,'Base stats'!B:B,'Base stats'!AX:AX))+0.5,0.5))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MAX(0.01,MROUND(IF(CB146="True",0.196*(AO146*100*1000)^0.889,IF(_xlfn.XLOOKUP(_xlfn.XLOOKUP(B146,'Base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stats'!AE:AE)</f>
        <v>Leather_Dog</v>
      </c>
      <c r="BB146" s="23" t="str">
        <f>_xlfn.XLOOKUP(_xlfn.XLOOKUP(B146,'Base stats'!B:B,'Base stats'!E:E),Groups!A:A,Groups!AL:AL)</f>
        <v>QuadrupedAnimalWithPawsAndTail</v>
      </c>
      <c r="BC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D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E146" s="2">
        <f>IF(J146&gt;0.3,"No",_xlfn.XLOOKUP(_xlfn.XLOOKUP(Animals!B146,'Base stats'!B:B,'Base stats'!E:E),Groups!A:A,Groups!AP:AP))</f>
        <v>1</v>
      </c>
      <c r="BF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+ 24*(1-IF(BE146="No",0,BE146)) + 16/3, 12),"No")</f>
        <v>12</v>
      </c>
      <c r="BG146" s="2">
        <f>IF(AND(_xlfn.XLOOKUP(_xlfn.XLOOKUP(B146,'Base stats'!B:B,'Base stats'!E:E),Groups!A:A,Groups!AQ:AQ)=1,AO146&lt;=0.35),8,12)</f>
        <v>12</v>
      </c>
      <c r="BH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I146" s="2" t="str">
        <f>IF(AND(_xlfn.XLOOKUP(_xlfn.XLOOKUP(B146,'Base stats'!B:B,'Base stats'!E:E),Groups!A:A,Groups!AS:AS)=1,OR('Base stats'!Y146="Carnivore",'Base stats'!Y146="Omnivore")),"true","false")</f>
        <v>true</v>
      </c>
      <c r="BJ146" s="2">
        <f>IF(BI146="true",MROUND(IF(AND(AO146&gt;0.5,OR(_xlfn.XLOOKUP(_xlfn.XLOOKUP(B146,'Base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K146" s="2">
        <f t="shared" si="17"/>
        <v>1</v>
      </c>
      <c r="BL146" s="25" t="str">
        <f>IF(_xlfn.XLOOKUP(B146,'Base stats'!B:B,'Base stats'!AK:AK)="Standard","No",MROUND((_xlfn.XLOOKUP(B146,'Base stats'!B:B,'Base stats'!AK:AK)/3.6)/I146,0.1))</f>
        <v>No</v>
      </c>
      <c r="BM146" s="25" t="str">
        <f t="shared" si="18"/>
        <v>false</v>
      </c>
      <c r="BN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O146" s="25" t="str" cm="1">
        <f t="array" ref="BO146">IF(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 = "",
  "No",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
)</f>
        <v>Forage, Comfort</v>
      </c>
      <c r="BP146" s="25" t="str">
        <f>IF(
   AND(
      'Base stats'!AK146="Standard",_xlfn.XLOOKUP(_xlfn.XLOOKUP(B146,'Base stats'!B:B,'Base stats'!E:E),Groups!A:A,Groups!AU:AU)=0,
      OR(
      BN146="True"
      )
   ),
   10,
   IF(
       OR(BL146&lt;&gt;"No",_xlfn.XLOOKUP(_xlfn.XLOOKUP(B146,'Base stats'!B:B,'Base stats'!E:E),Groups!A:A,Groups!AU:AU)=1),
      1,
      "No"
   )
)</f>
        <v>No</v>
      </c>
      <c r="BQ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stats'!AS:AS) * 1.8) * 2) * 2.5 + 10 + I146 * 2,5)+IF(_xlfn.XLOOKUP(B146,'Base stats'!B:B,'Base stats'!AH:AH)=1,50,0)</f>
        <v>50</v>
      </c>
      <c r="BR146" s="8">
        <f t="shared" si="19"/>
        <v>0.30000000000000004</v>
      </c>
      <c r="BS146" s="8" t="str">
        <f>_xlfn.XLOOKUP(B146,'Base stats'!B:B,'Base stats'!AD:AD)</f>
        <v>2~4</v>
      </c>
      <c r="BT146" s="2" t="str">
        <f>IF(AND(J146&lt;=0.95,OR(_xlfn.XLOOKUP(B146,'Base stats'!B:B,'Base stats'!AH:AH)=1,_xlfn.XLOOKUP(B146,'Base stats'!B:B,'Base stats'!Y:Y)="Carnivore",_xlfn.XLOOKUP(B146,'Base stats'!B:B,'Base stats'!Y:Y)="Omnivore",BD146&gt;0.1)),"true","false")</f>
        <v>true</v>
      </c>
      <c r="BU146" s="2" t="str">
        <f>IF(_xlfn.XLOOKUP(B146,'Base stats'!B:B,'Base stats'!AF:AF)=1,"true","false")</f>
        <v>false</v>
      </c>
      <c r="BV146" s="25" t="str">
        <f>IF(E146="BaseInsect","AnimalInsect",
IF(J146&gt;0.95,"AnimalExotic",
_xlfn.TEXTJOIN(", ",TRUE,
IF(OR(_xlfn.XLOOKUP(B146,'Base stats'!B:B,'Base stats'!AJ:AJ)=1,AND(_xlfn.XLOOKUP(B146,'Base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stats'!AH:AH)=1,AND(BH146&lt;&gt;"None",BQ146&gt;=60),ISNUMBER(SEARCH("Attack target",BO146))),"AnimalFighter","")
)))</f>
        <v>AnimalCommon, AnimalPet</v>
      </c>
      <c r="BW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),_xlfn.XLOOKUP(B146,B:B,BW:BW))</f>
        <v/>
      </c>
      <c r="BX146" s="25" t="str">
        <f>IF(_xlfn.XLOOKUP(B146,'Base stats'!B:B,'Base stats'!AG:AG)=1,"true","false")</f>
        <v>false</v>
      </c>
      <c r="BY146" s="25">
        <f>IF(_xlfn.XLOOKUP(B146,'Base stats'!B:B,'Base stats'!N:N)=1,"No",MAX(0.01,MIN(MROUND(IF(OR(_xlfn.XLOOKUP(B146,'Base stats'!B:B,'Base stats'!AJ:AJ)=1,AND(BI146="True",CB146="False")),POWER(10,3.47*LOG10(_xlfn.XLOOKUP(B146,'Base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stats'!AH:AH)=1),0.5,1)/100,0.025),1)))</f>
        <v>0.1</v>
      </c>
      <c r="BZ146" s="25" t="str">
        <f>IF(P146="Standard","No",MAX(0.01,IF(_xlfn.XLOOKUP(B146,'Base stats'!B:B,'Base stats'!N:N)=0,MROUND(BY146*P146,0.05),MIN(1,MAX(0.025,MROUND(IF(OR(CB146="true",AND(BI146="false",BN146="false")),POWER(10,4.15*LOG10(_xlfn.XLOOKUP(B146,'Base stats'!B:B,'Base stats'!C:C)*1000)^-0.73),POWER(10,3.47*LOG10(_xlfn.XLOOKUP(B146,'Base stats'!B:B,'Base stats'!C:C)*1000)^-0.96))*IF(_xlfn.XLOOKUP(B146,'Base stats'!B:B,'Base stats'!AH:AH)=1,0.5,1)/100,0.025))))))</f>
        <v>No</v>
      </c>
      <c r="CA146" s="25" t="str">
        <f>IF(_xlfn.XLOOKUP(_xlfn.XLOOKUP(B146,'Base stats'!B:B,'Base stats'!E:E),Groups!A:A,Groups!AJ:AJ)="Mammal","True","False")</f>
        <v>True</v>
      </c>
      <c r="CB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C146" s="25" t="str">
        <f t="shared" si="20"/>
        <v>False</v>
      </c>
      <c r="CD146" s="25" t="str">
        <f>IF(_xlfn.XLOOKUP(_xlfn.XLOOKUP(B146,'Base stats'!B:B,'Base stats'!E:E),Groups!A:A,Groups!AX:AX),"True","False")</f>
        <v>False</v>
      </c>
      <c r="CE146" s="25" t="str">
        <f>IF(_xlfn.XLOOKUP(_xlfn.XLOOKUP(B146,'Base stats'!B:B,'Base stats'!E:E),Groups!A:A,Groups!AY:AY),"True","False")</f>
        <v>False</v>
      </c>
      <c r="CF146" s="25" t="str">
        <f>IF(_xlfn.XLOOKUP(_xlfn.XLOOKUP(B146,'Base stats'!B:B,'Base stats'!E:E),Groups!A:A,Groups!AW:AW),"True","False")</f>
        <v>False</v>
      </c>
      <c r="CG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H146" s="25" t="str">
        <f>IF(_xlfn.XLOOKUP(_xlfn.XLOOKUP(B146,'Base stats'!B:B,'Base stats'!E:E),Groups!A:A,Groups!BB:BB),"True","False")</f>
        <v>True</v>
      </c>
      <c r="CI146" s="25" t="str">
        <f>IF(_xlfn.XLOOKUP(_xlfn.XLOOKUP(B146,'Base stats'!B:B,'Base stats'!E:E),Groups!A:A,Groups!BA:BA),"True","False")</f>
        <v>False</v>
      </c>
    </row>
    <row r="147" spans="1:87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stats'!AI:AI)=0,BH147="None",_xlfn.XLOOKUP(_xlfn.XLOOKUP(B147,'Base stats'!B:B,'Base stats'!E:E),Groups!A:A,Groups!B:B)=0), (18 + BQ147 * 2.7) * 0.5,
    IF(AND(_xlfn.XLOOKUP(B147,'Base stats'!B:B,'Base stats'!AI:AI)=0,OR(AO147&lt;0.55,AND(BH147="Intermediate",_xlfn.XLOOKUP(_xlfn.XLOOKUP(B147,'Base stats'!B:B,'Base stats'!E:E),Groups!A:A,Groups!B:B)&lt;2))), (18 + BQ147 * 2.7),
      IF(OR(BH147="Advanced",_xlfn.XLOOKUP(B147,'Base stats'!B:B,'Base stats'!AI:AI)=1,_xlfn.XLOOKUP(_xlfn.XLOOKUP(B147,'Base stats'!B:B,'Base stats'!E:E),Groups!A:A,Groups!B:B)=2), (18 + BQ147 * 2.7) + 250, (18 + BQ147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IF(_xlfn.XLOOKUP(B147,'Base stats'!B:B,'Base stats'!AI:AI)=1,0.99,MIN(MROUND((1-0.6282*EXP(-0.459*AO147))*_xlfn.XLOOKUP(_xlfn.XLOOKUP(B147,'Base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W147)),ISNUMBER(SEARCH("IceSheet",BW147))),-50,IF(OR(ISNUMBER(SEARCH("GlacialPlain",BW147)),ISNUMBER(SEARCH("Tundra",BW147))),-40,IF(OR(ISNUMBER(SEARCH("Alpine",BW147)),ISNUMBER(SEARCH("BorealForest",BW147)),ISNUMBER(SEARCH("ColdBog",BW147))),-30,IF(OR(ISNUMBER(SEARCH("TemperateForest",BW147)),ISNUMBER(SEARCH("TemperateSwamp",BW147))),-20,IF(_xlfn.XLOOKUP(_xlfn.XLOOKUP(B147,'Base stats'!B:B,'Base stats'!E:E),Groups!A:A,Groups!F:F)=1,-15,IF(OR(ISNUMBER(SEARCH("Desert",BW147)),ISNUMBER(SEARCH("ExtremeDesert",BW147))),-10,IF(OR(ISNUMBER(SEARCH("Grasslands",BW147)),ISNUMBER(SEARCH("TropicalRainforest",BW147)),ISNUMBER(SEARCH("TropicalSwamp",BW147))),10,0)))))))-IF(CB147="False",MIN(IFERROR(MAX(MROUND(LOG10(_xlfn.XLOOKUP(B147,'Base stats'!B:B,'Base stats'!C:C)^(2/3))*10,5),5),5),30))-_xlfn.XLOOKUP(B147,'Base stats'!B:B,'Base stats'!P:P)+IF(CB147="True",5,0)</f>
        <v>-25</v>
      </c>
      <c r="M147" s="2">
        <f>IF(OR(_xlfn.XLOOKUP(_xlfn.XLOOKUP(B147,'Base stats'!B:B,'Base stats'!E:E),Groups!A:A,Groups!G:G)=2,ISNUMBER(SEARCH("Desert",BW147)),ISNUMBER(SEARCH("ExtremeDesert",BW147)),ISNUMBER(SEARCH("LavaField",BW147))),50,IF(ISNUMBER(SEARCH("Grasslands",BW147)),45,IF(OR(_xlfn.XLOOKUP(_xlfn.XLOOKUP(B147,'Base stats'!B:B,'Base stats'!E:E),Groups!A:A,Groups!G:G)=1,ISNUMBER(SEARCH("TropicalRainforest",BW147)),ISNUMBER(SEARCH("TropicalSwamp",BW147))),40,IF(OR(ISNUMBER(SEARCH("TemperateForest",BW147)),ISNUMBER(SEARCH("TemperateSwamp",BW147))),35,IF(OR(ISNUMBER(SEARCH("Alpine",BW147)),ISNUMBER(SEARCH("BorealForest",BW147)),ISNUMBER(SEARCH("ColdBog",BW147))),30,IF(ISNUMBER(OR(ISNUMBER(SEARCH("GlacialPlain",BW147)),SEARCH("Tundra",BW147))),25,IF(OR(ISNUMBER(SEARCH("SeaIce",BW147)),ISNUMBER(SEARCH("IceSheet",BW147)),ISNUMBER(SEARCH("TropicalSwamp",BW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stats'!AO:AO))*(AO147^0.5)+(_xlfn.XLOOKUP(B147,'Base stats'!B:B,'Base stats'!AO:AO)/1000)^(2/3)+_xlfn.XLOOKUP(B147,'Base stats'!B:B,'Base stats'!AX:AX)/2)+0.5,0.5)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stats'!AP:AP))*(AO147^0.5)+(_xlfn.XLOOKUP(B147,'Base stats'!B:B,'Base stats'!AP:AP)/1000)^(2/3)+_xlfn.XLOOKUP(B147,'Base stats'!B:B,'Base stats'!AX:AX))+_xlfn.XLOOKUP(B147,'Base stats'!B:B,'Base stats'!AV:AV)+0.5,0.5))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stats'!AR:AR))*(AO147^0.5)+(_xlfn.XLOOKUP(B147,'Base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stats'!AQ:AQ)="No","No",MROUND((LOG10(_xlfn.XLOOKUP(B147,'Base stats'!B:B,'Base stats'!AQ:AQ))*(AO147^0.75)+(_xlfn.XLOOKUP(B147,'Base stats'!B:B,'Base stats'!AQ:AQ)/1000)^(2/3)+_xlfn.XLOOKUP(B147,'Base stats'!B:B,'Base stats'!AU:AU)+_xlfn.XLOOKUP(B147,'Base stats'!B:B,'Base stats'!AX:AX))+0.5,0.5))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stats'!AP:AP))*(AO147^0.75)+(_xlfn.XLOOKUP(B147,'Base stats'!B:B,'Base stats'!AP:AP)/1000)^(2/3)+_xlfn.XLOOKUP(B147,'Base stats'!B:B,'Base stats'!AV:AV)+_xlfn.XLOOKUP(B147,'Base stats'!B:B,'Base stats'!AX:AX))+0.5,0.5))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MAX(0.01,MROUND(IF(CB147="True",0.196*(AO147*100*1000)^0.889,IF(_xlfn.XLOOKUP(_xlfn.XLOOKUP(B147,'Base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stats'!AE:AE)</f>
        <v>Leather_Dog</v>
      </c>
      <c r="BB147" s="23" t="str">
        <f>_xlfn.XLOOKUP(_xlfn.XLOOKUP(B147,'Base stats'!B:B,'Base stats'!E:E),Groups!A:A,Groups!AL:AL)</f>
        <v>QuadrupedAnimalWithPawsAndTail</v>
      </c>
      <c r="BC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D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E147" s="2">
        <f>IF(J147&gt;0.3,"No",_xlfn.XLOOKUP(_xlfn.XLOOKUP(Animals!B147,'Base stats'!B:B,'Base stats'!E:E),Groups!A:A,Groups!AP:AP))</f>
        <v>1</v>
      </c>
      <c r="BF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+ 24*(1-IF(BE147="No",0,BE147)) + 16/3, 12),"No")</f>
        <v>12</v>
      </c>
      <c r="BG147" s="2">
        <f>IF(AND(_xlfn.XLOOKUP(_xlfn.XLOOKUP(B147,'Base stats'!B:B,'Base stats'!E:E),Groups!A:A,Groups!AQ:AQ)=1,AO147&lt;=0.35),8,12)</f>
        <v>12</v>
      </c>
      <c r="BH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I147" s="2" t="str">
        <f>IF(AND(_xlfn.XLOOKUP(_xlfn.XLOOKUP(B147,'Base stats'!B:B,'Base stats'!E:E),Groups!A:A,Groups!AS:AS)=1,OR('Base stats'!Y147="Carnivore",'Base stats'!Y147="Omnivore")),"true","false")</f>
        <v>true</v>
      </c>
      <c r="BJ147" s="2">
        <f>IF(BI147="true",MROUND(IF(AND(AO147&gt;0.5,OR(_xlfn.XLOOKUP(_xlfn.XLOOKUP(B147,'Base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K147" s="2">
        <f t="shared" si="17"/>
        <v>1</v>
      </c>
      <c r="BL147" s="25" t="str">
        <f>IF(_xlfn.XLOOKUP(B147,'Base stats'!B:B,'Base stats'!AK:AK)="Standard","No",MROUND((_xlfn.XLOOKUP(B147,'Base stats'!B:B,'Base stats'!AK:AK)/3.6)/I147,0.1))</f>
        <v>No</v>
      </c>
      <c r="BM147" s="25" t="str">
        <f t="shared" si="18"/>
        <v>false</v>
      </c>
      <c r="BN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O147" s="25" t="str" cm="1">
        <f t="array" ref="BO147">IF(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 = "",
  "No",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
)</f>
        <v>AttackTarget, Forage, Comfort</v>
      </c>
      <c r="BP147" s="25" t="str">
        <f>IF(
   AND(
      'Base stats'!AK147="Standard",_xlfn.XLOOKUP(_xlfn.XLOOKUP(B147,'Base stats'!B:B,'Base stats'!E:E),Groups!A:A,Groups!AU:AU)=0,
      OR(
      BN147="True"
      )
   ),
   10,
   IF(
       OR(BL147&lt;&gt;"No",_xlfn.XLOOKUP(_xlfn.XLOOKUP(B147,'Base stats'!B:B,'Base stats'!E:E),Groups!A:A,Groups!AU:AU)=1),
      1,
      "No"
   )
)</f>
        <v>No</v>
      </c>
      <c r="BQ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stats'!AS:AS) * 1.8) * 2) * 2.5 + 10 + I147 * 2,5)+IF(_xlfn.XLOOKUP(B147,'Base stats'!B:B,'Base stats'!AH:AH)=1,50,0)</f>
        <v>95</v>
      </c>
      <c r="BR147" s="8">
        <f t="shared" si="19"/>
        <v>0.55000000000000004</v>
      </c>
      <c r="BS147" s="8" t="str">
        <f>_xlfn.XLOOKUP(B147,'Base stats'!B:B,'Base stats'!AD:AD)</f>
        <v>2~4</v>
      </c>
      <c r="BT147" s="2" t="str">
        <f>IF(AND(J147&lt;=0.95,OR(_xlfn.XLOOKUP(B147,'Base stats'!B:B,'Base stats'!AH:AH)=1,_xlfn.XLOOKUP(B147,'Base stats'!B:B,'Base stats'!Y:Y)="Carnivore",_xlfn.XLOOKUP(B147,'Base stats'!B:B,'Base stats'!Y:Y)="Omnivore",BD147&gt;0.1)),"true","false")</f>
        <v>true</v>
      </c>
      <c r="BU147" s="2" t="str">
        <f>IF(_xlfn.XLOOKUP(B147,'Base stats'!B:B,'Base stats'!AF:AF)=1,"true","false")</f>
        <v>false</v>
      </c>
      <c r="BV147" s="25" t="str">
        <f>IF(E147="BaseInsect","AnimalInsect",
IF(J147&gt;0.95,"AnimalExotic",
_xlfn.TEXTJOIN(", ",TRUE,
IF(OR(_xlfn.XLOOKUP(B147,'Base stats'!B:B,'Base stats'!AJ:AJ)=1,AND(_xlfn.XLOOKUP(B147,'Base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stats'!AH:AH)=1,AND(BH147&lt;&gt;"None",BQ147&gt;=60),ISNUMBER(SEARCH("Attack target",BO147))),"AnimalFighter","")
)))</f>
        <v>AnimalCommon, AnimalPet, AnimalFighter</v>
      </c>
      <c r="BW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),_xlfn.XLOOKUP(B147,B:B,BW:BW))</f>
        <v/>
      </c>
      <c r="BX147" s="25" t="str">
        <f>IF(_xlfn.XLOOKUP(B147,'Base stats'!B:B,'Base stats'!AG:AG)=1,"true","false")</f>
        <v>false</v>
      </c>
      <c r="BY147" s="25">
        <f>IF(_xlfn.XLOOKUP(B147,'Base stats'!B:B,'Base stats'!N:N)=1,"No",MAX(0.01,MIN(MROUND(IF(OR(_xlfn.XLOOKUP(B147,'Base stats'!B:B,'Base stats'!AJ:AJ)=1,AND(BI147="True",CB147="False")),POWER(10,3.47*LOG10(_xlfn.XLOOKUP(B147,'Base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stats'!AH:AH)=1),0.5,1)/100,0.025),1)))</f>
        <v>0.05</v>
      </c>
      <c r="BZ147" s="25" t="str">
        <f>IF(P147="Standard","No",MAX(0.01,IF(_xlfn.XLOOKUP(B147,'Base stats'!B:B,'Base stats'!N:N)=0,MROUND(BY147*P147,0.05),MIN(1,MAX(0.025,MROUND(IF(OR(CB147="true",AND(BI147="false",BN147="false")),POWER(10,4.15*LOG10(_xlfn.XLOOKUP(B147,'Base stats'!B:B,'Base stats'!C:C)*1000)^-0.73),POWER(10,3.47*LOG10(_xlfn.XLOOKUP(B147,'Base stats'!B:B,'Base stats'!C:C)*1000)^-0.96))*IF(_xlfn.XLOOKUP(B147,'Base stats'!B:B,'Base stats'!AH:AH)=1,0.5,1)/100,0.025))))))</f>
        <v>No</v>
      </c>
      <c r="CA147" s="25" t="str">
        <f>IF(_xlfn.XLOOKUP(_xlfn.XLOOKUP(B147,'Base stats'!B:B,'Base stats'!E:E),Groups!A:A,Groups!AJ:AJ)="Mammal","True","False")</f>
        <v>True</v>
      </c>
      <c r="CB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C147" s="25" t="str">
        <f t="shared" si="20"/>
        <v>False</v>
      </c>
      <c r="CD147" s="25" t="str">
        <f>IF(_xlfn.XLOOKUP(_xlfn.XLOOKUP(B147,'Base stats'!B:B,'Base stats'!E:E),Groups!A:A,Groups!AX:AX),"True","False")</f>
        <v>False</v>
      </c>
      <c r="CE147" s="25" t="str">
        <f>IF(_xlfn.XLOOKUP(_xlfn.XLOOKUP(B147,'Base stats'!B:B,'Base stats'!E:E),Groups!A:A,Groups!AY:AY),"True","False")</f>
        <v>False</v>
      </c>
      <c r="CF147" s="25" t="str">
        <f>IF(_xlfn.XLOOKUP(_xlfn.XLOOKUP(B147,'Base stats'!B:B,'Base stats'!E:E),Groups!A:A,Groups!AW:AW),"True","False")</f>
        <v>False</v>
      </c>
      <c r="CG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H147" s="25" t="str">
        <f>IF(_xlfn.XLOOKUP(_xlfn.XLOOKUP(B147,'Base stats'!B:B,'Base stats'!E:E),Groups!A:A,Groups!BB:BB),"True","False")</f>
        <v>True</v>
      </c>
      <c r="CI147" s="25" t="str">
        <f>IF(_xlfn.XLOOKUP(_xlfn.XLOOKUP(B147,'Base stats'!B:B,'Base stats'!E:E),Groups!A:A,Groups!BA:BA),"True","False")</f>
        <v>False</v>
      </c>
    </row>
    <row r="148" spans="1:87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stats'!AI:AI)=0,BH148="None",_xlfn.XLOOKUP(_xlfn.XLOOKUP(B148,'Base stats'!B:B,'Base stats'!E:E),Groups!A:A,Groups!B:B)=0), (18 + BQ148 * 2.7) * 0.5,
    IF(AND(_xlfn.XLOOKUP(B148,'Base stats'!B:B,'Base stats'!AI:AI)=0,OR(AO148&lt;0.55,AND(BH148="Intermediate",_xlfn.XLOOKUP(_xlfn.XLOOKUP(B148,'Base stats'!B:B,'Base stats'!E:E),Groups!A:A,Groups!B:B)&lt;2))), (18 + BQ148 * 2.7),
      IF(OR(BH148="Advanced",_xlfn.XLOOKUP(B148,'Base stats'!B:B,'Base stats'!AI:AI)=1,_xlfn.XLOOKUP(_xlfn.XLOOKUP(B148,'Base stats'!B:B,'Base stats'!E:E),Groups!A:A,Groups!B:B)=2), (18 + BQ148 * 2.7) + 250, (18 + BQ148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IF(_xlfn.XLOOKUP(B148,'Base stats'!B:B,'Base stats'!AI:AI)=1,0.99,MIN(MROUND((1-0.6282*EXP(-0.459*AO148))*_xlfn.XLOOKUP(_xlfn.XLOOKUP(B148,'Base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W148)),ISNUMBER(SEARCH("IceSheet",BW148))),-50,IF(OR(ISNUMBER(SEARCH("GlacialPlain",BW148)),ISNUMBER(SEARCH("Tundra",BW148))),-40,IF(OR(ISNUMBER(SEARCH("Alpine",BW148)),ISNUMBER(SEARCH("BorealForest",BW148)),ISNUMBER(SEARCH("ColdBog",BW148))),-30,IF(OR(ISNUMBER(SEARCH("TemperateForest",BW148)),ISNUMBER(SEARCH("TemperateSwamp",BW148))),-20,IF(_xlfn.XLOOKUP(_xlfn.XLOOKUP(B148,'Base stats'!B:B,'Base stats'!E:E),Groups!A:A,Groups!F:F)=1,-15,IF(OR(ISNUMBER(SEARCH("Desert",BW148)),ISNUMBER(SEARCH("ExtremeDesert",BW148))),-10,IF(OR(ISNUMBER(SEARCH("Grasslands",BW148)),ISNUMBER(SEARCH("TropicalRainforest",BW148)),ISNUMBER(SEARCH("TropicalSwamp",BW148))),10,0)))))))-IF(CB148="False",MIN(IFERROR(MAX(MROUND(LOG10(_xlfn.XLOOKUP(B148,'Base stats'!B:B,'Base stats'!C:C)^(2/3))*10,5),5),5),30))-_xlfn.XLOOKUP(B148,'Base stats'!B:B,'Base stats'!P:P)+IF(CB148="True",5,0)</f>
        <v>-20</v>
      </c>
      <c r="M148" s="2">
        <f>IF(OR(_xlfn.XLOOKUP(_xlfn.XLOOKUP(B148,'Base stats'!B:B,'Base stats'!E:E),Groups!A:A,Groups!G:G)=2,ISNUMBER(SEARCH("Desert",BW148)),ISNUMBER(SEARCH("ExtremeDesert",BW148)),ISNUMBER(SEARCH("LavaField",BW148))),50,IF(ISNUMBER(SEARCH("Grasslands",BW148)),45,IF(OR(_xlfn.XLOOKUP(_xlfn.XLOOKUP(B148,'Base stats'!B:B,'Base stats'!E:E),Groups!A:A,Groups!G:G)=1,ISNUMBER(SEARCH("TropicalRainforest",BW148)),ISNUMBER(SEARCH("TropicalSwamp",BW148))),40,IF(OR(ISNUMBER(SEARCH("TemperateForest",BW148)),ISNUMBER(SEARCH("TemperateSwamp",BW148))),35,IF(OR(ISNUMBER(SEARCH("Alpine",BW148)),ISNUMBER(SEARCH("BorealForest",BW148)),ISNUMBER(SEARCH("ColdBog",BW148))),30,IF(ISNUMBER(OR(ISNUMBER(SEARCH("GlacialPlain",BW148)),SEARCH("Tundra",BW148))),25,IF(OR(ISNUMBER(SEARCH("SeaIce",BW148)),ISNUMBER(SEARCH("IceSheet",BW148)),ISNUMBER(SEARCH("TropicalSwamp",BW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stats'!AO:AO))*(AO148^0.5)+(_xlfn.XLOOKUP(B148,'Base stats'!B:B,'Base stats'!AO:AO)/1000)^(2/3)+_xlfn.XLOOKUP(B148,'Base stats'!B:B,'Base stats'!AX:AX)/2)+0.5,0.5)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stats'!AP:AP))*(AO148^0.5)+(_xlfn.XLOOKUP(B148,'Base stats'!B:B,'Base stats'!AP:AP)/1000)^(2/3)+_xlfn.XLOOKUP(B148,'Base stats'!B:B,'Base stats'!AX:AX))+_xlfn.XLOOKUP(B148,'Base stats'!B:B,'Base stats'!AV:AV)+0.5,0.5))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stats'!AR:AR))*(AO148^0.5)+(_xlfn.XLOOKUP(B148,'Base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stats'!AQ:AQ)="No","No",MROUND((LOG10(_xlfn.XLOOKUP(B148,'Base stats'!B:B,'Base stats'!AQ:AQ))*(AO148^0.75)+(_xlfn.XLOOKUP(B148,'Base stats'!B:B,'Base stats'!AQ:AQ)/1000)^(2/3)+_xlfn.XLOOKUP(B148,'Base stats'!B:B,'Base stats'!AU:AU)+_xlfn.XLOOKUP(B148,'Base stats'!B:B,'Base stats'!AX:AX))+0.5,0.5))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stats'!AP:AP))*(AO148^0.75)+(_xlfn.XLOOKUP(B148,'Base stats'!B:B,'Base stats'!AP:AP)/1000)^(2/3)+_xlfn.XLOOKUP(B148,'Base stats'!B:B,'Base stats'!AV:AV)+_xlfn.XLOOKUP(B148,'Base stats'!B:B,'Base stats'!AX:AX))+0.5,0.5))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MAX(0.01,MROUND(IF(CB148="True",0.196*(AO148*100*1000)^0.889,IF(_xlfn.XLOOKUP(_xlfn.XLOOKUP(B148,'Base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stats'!AE:AE)</f>
        <v>Leather_Dog</v>
      </c>
      <c r="BB148" s="23" t="str">
        <f>_xlfn.XLOOKUP(_xlfn.XLOOKUP(B148,'Base stats'!B:B,'Base stats'!E:E),Groups!A:A,Groups!AL:AL)</f>
        <v>QuadrupedAnimalWithPawsAndTail</v>
      </c>
      <c r="BC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D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E148" s="2">
        <f>IF(J148&gt;0.3,"No",_xlfn.XLOOKUP(_xlfn.XLOOKUP(Animals!B148,'Base stats'!B:B,'Base stats'!E:E),Groups!A:A,Groups!AP:AP))</f>
        <v>1</v>
      </c>
      <c r="BF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+ 24*(1-IF(BE148="No",0,BE148)) + 16/3, 12),"No")</f>
        <v>12</v>
      </c>
      <c r="BG148" s="2">
        <f>IF(AND(_xlfn.XLOOKUP(_xlfn.XLOOKUP(B148,'Base stats'!B:B,'Base stats'!E:E),Groups!A:A,Groups!AQ:AQ)=1,AO148&lt;=0.35),8,12)</f>
        <v>12</v>
      </c>
      <c r="BH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I148" s="2" t="str">
        <f>IF(AND(_xlfn.XLOOKUP(_xlfn.XLOOKUP(B148,'Base stats'!B:B,'Base stats'!E:E),Groups!A:A,Groups!AS:AS)=1,OR('Base stats'!Y148="Carnivore",'Base stats'!Y148="Omnivore")),"true","false")</f>
        <v>true</v>
      </c>
      <c r="BJ148" s="2">
        <f>IF(BI148="true",MROUND(IF(AND(AO148&gt;0.5,OR(_xlfn.XLOOKUP(_xlfn.XLOOKUP(B148,'Base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K148" s="2">
        <f t="shared" si="17"/>
        <v>1</v>
      </c>
      <c r="BL148" s="25" t="str">
        <f>IF(_xlfn.XLOOKUP(B148,'Base stats'!B:B,'Base stats'!AK:AK)="Standard","No",MROUND((_xlfn.XLOOKUP(B148,'Base stats'!B:B,'Base stats'!AK:AK)/3.6)/I148,0.1))</f>
        <v>No</v>
      </c>
      <c r="BM148" s="25" t="str">
        <f t="shared" si="18"/>
        <v>false</v>
      </c>
      <c r="BN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O148" s="25" t="str" cm="1">
        <f t="array" ref="BO148">IF(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 = "",
  "No",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
)</f>
        <v>Forage, Comfort</v>
      </c>
      <c r="BP148" s="25" t="str">
        <f>IF(
   AND(
      'Base stats'!AK148="Standard",_xlfn.XLOOKUP(_xlfn.XLOOKUP(B148,'Base stats'!B:B,'Base stats'!E:E),Groups!A:A,Groups!AU:AU)=0,
      OR(
      BN148="True"
      )
   ),
   10,
   IF(
       OR(BL148&lt;&gt;"No",_xlfn.XLOOKUP(_xlfn.XLOOKUP(B148,'Base stats'!B:B,'Base stats'!E:E),Groups!A:A,Groups!AU:AU)=1),
      1,
      "No"
   )
)</f>
        <v>No</v>
      </c>
      <c r="BQ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stats'!AS:AS) * 1.8) * 2) * 2.5 + 10 + I148 * 2,5)+IF(_xlfn.XLOOKUP(B148,'Base stats'!B:B,'Base stats'!AH:AH)=1,50,0)</f>
        <v>45</v>
      </c>
      <c r="BR148" s="8">
        <f t="shared" si="19"/>
        <v>0.30000000000000004</v>
      </c>
      <c r="BS148" s="8" t="str">
        <f>_xlfn.XLOOKUP(B148,'Base stats'!B:B,'Base stats'!AD:AD)</f>
        <v>2~4</v>
      </c>
      <c r="BT148" s="2" t="str">
        <f>IF(AND(J148&lt;=0.95,OR(_xlfn.XLOOKUP(B148,'Base stats'!B:B,'Base stats'!AH:AH)=1,_xlfn.XLOOKUP(B148,'Base stats'!B:B,'Base stats'!Y:Y)="Carnivore",_xlfn.XLOOKUP(B148,'Base stats'!B:B,'Base stats'!Y:Y)="Omnivore",BD148&gt;0.1)),"true","false")</f>
        <v>true</v>
      </c>
      <c r="BU148" s="2" t="str">
        <f>IF(_xlfn.XLOOKUP(B148,'Base stats'!B:B,'Base stats'!AF:AF)=1,"true","false")</f>
        <v>false</v>
      </c>
      <c r="BV148" s="25" t="str">
        <f>IF(E148="BaseInsect","AnimalInsect",
IF(J148&gt;0.95,"AnimalExotic",
_xlfn.TEXTJOIN(", ",TRUE,
IF(OR(_xlfn.XLOOKUP(B148,'Base stats'!B:B,'Base stats'!AJ:AJ)=1,AND(_xlfn.XLOOKUP(B148,'Base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stats'!AH:AH)=1,AND(BH148&lt;&gt;"None",BQ148&gt;=60),ISNUMBER(SEARCH("Attack target",BO148))),"AnimalFighter","")
)))</f>
        <v>AnimalCommon, AnimalPet</v>
      </c>
      <c r="BW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),_xlfn.XLOOKUP(B148,B:B,BW:BW))</f>
        <v/>
      </c>
      <c r="BX148" s="25" t="str">
        <f>IF(_xlfn.XLOOKUP(B148,'Base stats'!B:B,'Base stats'!AG:AG)=1,"true","false")</f>
        <v>false</v>
      </c>
      <c r="BY148" s="25">
        <f>IF(_xlfn.XLOOKUP(B148,'Base stats'!B:B,'Base stats'!N:N)=1,"No",MAX(0.01,MIN(MROUND(IF(OR(_xlfn.XLOOKUP(B148,'Base stats'!B:B,'Base stats'!AJ:AJ)=1,AND(BI148="True",CB148="False")),POWER(10,3.47*LOG10(_xlfn.XLOOKUP(B148,'Base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stats'!AH:AH)=1),0.5,1)/100,0.025),1)))</f>
        <v>0.1</v>
      </c>
      <c r="BZ148" s="25" t="str">
        <f>IF(P148="Standard","No",MAX(0.01,IF(_xlfn.XLOOKUP(B148,'Base stats'!B:B,'Base stats'!N:N)=0,MROUND(BY148*P148,0.05),MIN(1,MAX(0.025,MROUND(IF(OR(CB148="true",AND(BI148="false",BN148="false")),POWER(10,4.15*LOG10(_xlfn.XLOOKUP(B148,'Base stats'!B:B,'Base stats'!C:C)*1000)^-0.73),POWER(10,3.47*LOG10(_xlfn.XLOOKUP(B148,'Base stats'!B:B,'Base stats'!C:C)*1000)^-0.96))*IF(_xlfn.XLOOKUP(B148,'Base stats'!B:B,'Base stats'!AH:AH)=1,0.5,1)/100,0.025))))))</f>
        <v>No</v>
      </c>
      <c r="CA148" s="25" t="str">
        <f>IF(_xlfn.XLOOKUP(_xlfn.XLOOKUP(B148,'Base stats'!B:B,'Base stats'!E:E),Groups!A:A,Groups!AJ:AJ)="Mammal","True","False")</f>
        <v>True</v>
      </c>
      <c r="CB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C148" s="25" t="str">
        <f t="shared" si="20"/>
        <v>False</v>
      </c>
      <c r="CD148" s="25" t="str">
        <f>IF(_xlfn.XLOOKUP(_xlfn.XLOOKUP(B148,'Base stats'!B:B,'Base stats'!E:E),Groups!A:A,Groups!AX:AX),"True","False")</f>
        <v>False</v>
      </c>
      <c r="CE148" s="25" t="str">
        <f>IF(_xlfn.XLOOKUP(_xlfn.XLOOKUP(B148,'Base stats'!B:B,'Base stats'!E:E),Groups!A:A,Groups!AY:AY),"True","False")</f>
        <v>False</v>
      </c>
      <c r="CF148" s="25" t="str">
        <f>IF(_xlfn.XLOOKUP(_xlfn.XLOOKUP(B148,'Base stats'!B:B,'Base stats'!E:E),Groups!A:A,Groups!AW:AW),"True","False")</f>
        <v>False</v>
      </c>
      <c r="CG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H148" s="25" t="str">
        <f>IF(_xlfn.XLOOKUP(_xlfn.XLOOKUP(B148,'Base stats'!B:B,'Base stats'!E:E),Groups!A:A,Groups!BB:BB),"True","False")</f>
        <v>True</v>
      </c>
      <c r="CI148" s="25" t="str">
        <f>IF(_xlfn.XLOOKUP(_xlfn.XLOOKUP(B148,'Base stats'!B:B,'Base stats'!E:E),Groups!A:A,Groups!BA:BA),"True","False")</f>
        <v>False</v>
      </c>
    </row>
    <row r="149" spans="1:87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stats'!AI:AI)=0,BH149="None",_xlfn.XLOOKUP(_xlfn.XLOOKUP(B149,'Base stats'!B:B,'Base stats'!E:E),Groups!A:A,Groups!B:B)=0), (18 + BQ149 * 2.7) * 0.5,
    IF(AND(_xlfn.XLOOKUP(B149,'Base stats'!B:B,'Base stats'!AI:AI)=0,OR(AO149&lt;0.55,AND(BH149="Intermediate",_xlfn.XLOOKUP(_xlfn.XLOOKUP(B149,'Base stats'!B:B,'Base stats'!E:E),Groups!A:A,Groups!B:B)&lt;2))), (18 + BQ149 * 2.7),
      IF(OR(BH149="Advanced",_xlfn.XLOOKUP(B149,'Base stats'!B:B,'Base stats'!AI:AI)=1,_xlfn.XLOOKUP(_xlfn.XLOOKUP(B149,'Base stats'!B:B,'Base stats'!E:E),Groups!A:A,Groups!B:B)=2), (18 + BQ149 * 2.7) + 250, (18 + BQ149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IF(_xlfn.XLOOKUP(B149,'Base stats'!B:B,'Base stats'!AI:AI)=1,0.99,MIN(MROUND((1-0.6282*EXP(-0.459*AO149))*_xlfn.XLOOKUP(_xlfn.XLOOKUP(B149,'Base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W149)),ISNUMBER(SEARCH("IceSheet",BW149))),-50,IF(OR(ISNUMBER(SEARCH("GlacialPlain",BW149)),ISNUMBER(SEARCH("Tundra",BW149))),-40,IF(OR(ISNUMBER(SEARCH("Alpine",BW149)),ISNUMBER(SEARCH("BorealForest",BW149)),ISNUMBER(SEARCH("ColdBog",BW149))),-30,IF(OR(ISNUMBER(SEARCH("TemperateForest",BW149)),ISNUMBER(SEARCH("TemperateSwamp",BW149))),-20,IF(_xlfn.XLOOKUP(_xlfn.XLOOKUP(B149,'Base stats'!B:B,'Base stats'!E:E),Groups!A:A,Groups!F:F)=1,-15,IF(OR(ISNUMBER(SEARCH("Desert",BW149)),ISNUMBER(SEARCH("ExtremeDesert",BW149))),-10,IF(OR(ISNUMBER(SEARCH("Grasslands",BW149)),ISNUMBER(SEARCH("TropicalRainforest",BW149)),ISNUMBER(SEARCH("TropicalSwamp",BW149))),10,0)))))))-IF(CB149="False",MIN(IFERROR(MAX(MROUND(LOG10(_xlfn.XLOOKUP(B149,'Base stats'!B:B,'Base stats'!C:C)^(2/3))*10,5),5),5),30))-_xlfn.XLOOKUP(B149,'Base stats'!B:B,'Base stats'!P:P)+IF(CB149="True",5,0)</f>
        <v>-25</v>
      </c>
      <c r="M149" s="2">
        <f>IF(OR(_xlfn.XLOOKUP(_xlfn.XLOOKUP(B149,'Base stats'!B:B,'Base stats'!E:E),Groups!A:A,Groups!G:G)=2,ISNUMBER(SEARCH("Desert",BW149)),ISNUMBER(SEARCH("ExtremeDesert",BW149)),ISNUMBER(SEARCH("LavaField",BW149))),50,IF(ISNUMBER(SEARCH("Grasslands",BW149)),45,IF(OR(_xlfn.XLOOKUP(_xlfn.XLOOKUP(B149,'Base stats'!B:B,'Base stats'!E:E),Groups!A:A,Groups!G:G)=1,ISNUMBER(SEARCH("TropicalRainforest",BW149)),ISNUMBER(SEARCH("TropicalSwamp",BW149))),40,IF(OR(ISNUMBER(SEARCH("TemperateForest",BW149)),ISNUMBER(SEARCH("TemperateSwamp",BW149))),35,IF(OR(ISNUMBER(SEARCH("Alpine",BW149)),ISNUMBER(SEARCH("BorealForest",BW149)),ISNUMBER(SEARCH("ColdBog",BW149))),30,IF(ISNUMBER(OR(ISNUMBER(SEARCH("GlacialPlain",BW149)),SEARCH("Tundra",BW149))),25,IF(OR(ISNUMBER(SEARCH("SeaIce",BW149)),ISNUMBER(SEARCH("IceSheet",BW149)),ISNUMBER(SEARCH("TropicalSwamp",BW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stats'!AO:AO))*(AO149^0.5)+(_xlfn.XLOOKUP(B149,'Base stats'!B:B,'Base stats'!AO:AO)/1000)^(2/3)+_xlfn.XLOOKUP(B149,'Base stats'!B:B,'Base stats'!AX:AX)/2)+0.5,0.5)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stats'!AP:AP))*(AO149^0.5)+(_xlfn.XLOOKUP(B149,'Base stats'!B:B,'Base stats'!AP:AP)/1000)^(2/3)+_xlfn.XLOOKUP(B149,'Base stats'!B:B,'Base stats'!AX:AX))+_xlfn.XLOOKUP(B149,'Base stats'!B:B,'Base stats'!AV:AV)+0.5,0.5))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stats'!AR:AR))*(AO149^0.5)+(_xlfn.XLOOKUP(B149,'Base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stats'!AQ:AQ)="No","No",MROUND((LOG10(_xlfn.XLOOKUP(B149,'Base stats'!B:B,'Base stats'!AQ:AQ))*(AO149^0.75)+(_xlfn.XLOOKUP(B149,'Base stats'!B:B,'Base stats'!AQ:AQ)/1000)^(2/3)+_xlfn.XLOOKUP(B149,'Base stats'!B:B,'Base stats'!AU:AU)+_xlfn.XLOOKUP(B149,'Base stats'!B:B,'Base stats'!AX:AX))+0.5,0.5))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stats'!AP:AP))*(AO149^0.75)+(_xlfn.XLOOKUP(B149,'Base stats'!B:B,'Base stats'!AP:AP)/1000)^(2/3)+_xlfn.XLOOKUP(B149,'Base stats'!B:B,'Base stats'!AV:AV)+_xlfn.XLOOKUP(B149,'Base stats'!B:B,'Base stats'!AX:AX))+0.5,0.5))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MAX(0.01,MROUND(IF(CB149="True",0.196*(AO149*100*1000)^0.889,IF(_xlfn.XLOOKUP(_xlfn.XLOOKUP(B149,'Base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stats'!AE:AE)</f>
        <v>Leather_Dog</v>
      </c>
      <c r="BB149" s="23" t="str">
        <f>_xlfn.XLOOKUP(_xlfn.XLOOKUP(B149,'Base stats'!B:B,'Base stats'!E:E),Groups!A:A,Groups!AL:AL)</f>
        <v>QuadrupedAnimalWithPawsAndTail</v>
      </c>
      <c r="BC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D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E149" s="2">
        <f>IF(J149&gt;0.3,"No",_xlfn.XLOOKUP(_xlfn.XLOOKUP(Animals!B149,'Base stats'!B:B,'Base stats'!E:E),Groups!A:A,Groups!AP:AP))</f>
        <v>1</v>
      </c>
      <c r="BF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+ 24*(1-IF(BE149="No",0,BE149)) + 16/3, 12),"No")</f>
        <v>12</v>
      </c>
      <c r="BG149" s="2">
        <f>IF(AND(_xlfn.XLOOKUP(_xlfn.XLOOKUP(B149,'Base stats'!B:B,'Base stats'!E:E),Groups!A:A,Groups!AQ:AQ)=1,AO149&lt;=0.35),8,12)</f>
        <v>12</v>
      </c>
      <c r="BH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I149" s="2" t="str">
        <f>IF(AND(_xlfn.XLOOKUP(_xlfn.XLOOKUP(B149,'Base stats'!B:B,'Base stats'!E:E),Groups!A:A,Groups!AS:AS)=1,OR('Base stats'!Y149="Carnivore",'Base stats'!Y149="Omnivore")),"true","false")</f>
        <v>true</v>
      </c>
      <c r="BJ149" s="2">
        <f>IF(BI149="true",MROUND(IF(AND(AO149&gt;0.5,OR(_xlfn.XLOOKUP(_xlfn.XLOOKUP(B149,'Base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K149" s="2">
        <f t="shared" si="17"/>
        <v>1</v>
      </c>
      <c r="BL149" s="25" t="str">
        <f>IF(_xlfn.XLOOKUP(B149,'Base stats'!B:B,'Base stats'!AK:AK)="Standard","No",MROUND((_xlfn.XLOOKUP(B149,'Base stats'!B:B,'Base stats'!AK:AK)/3.6)/I149,0.1))</f>
        <v>No</v>
      </c>
      <c r="BM149" s="25" t="str">
        <f t="shared" si="18"/>
        <v>false</v>
      </c>
      <c r="BN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O149" s="25" t="str" cm="1">
        <f t="array" ref="BO149">IF(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 = "",
  "No",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
)</f>
        <v>AttackTarget, Forage, Comfort</v>
      </c>
      <c r="BP149" s="25" t="str">
        <f>IF(
   AND(
      'Base stats'!AK149="Standard",_xlfn.XLOOKUP(_xlfn.XLOOKUP(B149,'Base stats'!B:B,'Base stats'!E:E),Groups!A:A,Groups!AU:AU)=0,
      OR(
      BN149="True"
      )
   ),
   10,
   IF(
       OR(BL149&lt;&gt;"No",_xlfn.XLOOKUP(_xlfn.XLOOKUP(B149,'Base stats'!B:B,'Base stats'!E:E),Groups!A:A,Groups!AU:AU)=1),
      1,
      "No"
   )
)</f>
        <v>No</v>
      </c>
      <c r="BQ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stats'!AS:AS) * 1.8) * 2) * 2.5 + 10 + I149 * 2,5)+IF(_xlfn.XLOOKUP(B149,'Base stats'!B:B,'Base stats'!AH:AH)=1,50,0)</f>
        <v>70</v>
      </c>
      <c r="BR149" s="8">
        <f t="shared" si="19"/>
        <v>0.45</v>
      </c>
      <c r="BS149" s="8" t="str">
        <f>_xlfn.XLOOKUP(B149,'Base stats'!B:B,'Base stats'!AD:AD)</f>
        <v>2~4</v>
      </c>
      <c r="BT149" s="2" t="str">
        <f>IF(AND(J149&lt;=0.95,OR(_xlfn.XLOOKUP(B149,'Base stats'!B:B,'Base stats'!AH:AH)=1,_xlfn.XLOOKUP(B149,'Base stats'!B:B,'Base stats'!Y:Y)="Carnivore",_xlfn.XLOOKUP(B149,'Base stats'!B:B,'Base stats'!Y:Y)="Omnivore",BD149&gt;0.1)),"true","false")</f>
        <v>true</v>
      </c>
      <c r="BU149" s="2" t="str">
        <f>IF(_xlfn.XLOOKUP(B149,'Base stats'!B:B,'Base stats'!AF:AF)=1,"true","false")</f>
        <v>false</v>
      </c>
      <c r="BV149" s="25" t="str">
        <f>IF(E149="BaseInsect","AnimalInsect",
IF(J149&gt;0.95,"AnimalExotic",
_xlfn.TEXTJOIN(", ",TRUE,
IF(OR(_xlfn.XLOOKUP(B149,'Base stats'!B:B,'Base stats'!AJ:AJ)=1,AND(_xlfn.XLOOKUP(B149,'Base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stats'!AH:AH)=1,AND(BH149&lt;&gt;"None",BQ149&gt;=60),ISNUMBER(SEARCH("Attack target",BO149))),"AnimalFighter","")
)))</f>
        <v>AnimalCommon, AnimalPet, AnimalFighter</v>
      </c>
      <c r="BW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),_xlfn.XLOOKUP(B149,B:B,BW:BW))</f>
        <v/>
      </c>
      <c r="BX149" s="25" t="str">
        <f>IF(_xlfn.XLOOKUP(B149,'Base stats'!B:B,'Base stats'!AG:AG)=1,"true","false")</f>
        <v>false</v>
      </c>
      <c r="BY149" s="25">
        <f>IF(_xlfn.XLOOKUP(B149,'Base stats'!B:B,'Base stats'!N:N)=1,"No",MAX(0.01,MIN(MROUND(IF(OR(_xlfn.XLOOKUP(B149,'Base stats'!B:B,'Base stats'!AJ:AJ)=1,AND(BI149="True",CB149="False")),POWER(10,3.47*LOG10(_xlfn.XLOOKUP(B149,'Base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stats'!AH:AH)=1),0.5,1)/100,0.025),1)))</f>
        <v>7.5000000000000011E-2</v>
      </c>
      <c r="BZ149" s="25" t="str">
        <f>IF(P149="Standard","No",MAX(0.01,IF(_xlfn.XLOOKUP(B149,'Base stats'!B:B,'Base stats'!N:N)=0,MROUND(BY149*P149,0.05),MIN(1,MAX(0.025,MROUND(IF(OR(CB149="true",AND(BI149="false",BN149="false")),POWER(10,4.15*LOG10(_xlfn.XLOOKUP(B149,'Base stats'!B:B,'Base stats'!C:C)*1000)^-0.73),POWER(10,3.47*LOG10(_xlfn.XLOOKUP(B149,'Base stats'!B:B,'Base stats'!C:C)*1000)^-0.96))*IF(_xlfn.XLOOKUP(B149,'Base stats'!B:B,'Base stats'!AH:AH)=1,0.5,1)/100,0.025))))))</f>
        <v>No</v>
      </c>
      <c r="CA149" s="25" t="str">
        <f>IF(_xlfn.XLOOKUP(_xlfn.XLOOKUP(B149,'Base stats'!B:B,'Base stats'!E:E),Groups!A:A,Groups!AJ:AJ)="Mammal","True","False")</f>
        <v>True</v>
      </c>
      <c r="CB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C149" s="25" t="str">
        <f t="shared" si="20"/>
        <v>False</v>
      </c>
      <c r="CD149" s="25" t="str">
        <f>IF(_xlfn.XLOOKUP(_xlfn.XLOOKUP(B149,'Base stats'!B:B,'Base stats'!E:E),Groups!A:A,Groups!AX:AX),"True","False")</f>
        <v>False</v>
      </c>
      <c r="CE149" s="25" t="str">
        <f>IF(_xlfn.XLOOKUP(_xlfn.XLOOKUP(B149,'Base stats'!B:B,'Base stats'!E:E),Groups!A:A,Groups!AY:AY),"True","False")</f>
        <v>False</v>
      </c>
      <c r="CF149" s="25" t="str">
        <f>IF(_xlfn.XLOOKUP(_xlfn.XLOOKUP(B149,'Base stats'!B:B,'Base stats'!E:E),Groups!A:A,Groups!AW:AW),"True","False")</f>
        <v>False</v>
      </c>
      <c r="CG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H149" s="25" t="str">
        <f>IF(_xlfn.XLOOKUP(_xlfn.XLOOKUP(B149,'Base stats'!B:B,'Base stats'!E:E),Groups!A:A,Groups!BB:BB),"True","False")</f>
        <v>True</v>
      </c>
      <c r="CI149" s="25" t="str">
        <f>IF(_xlfn.XLOOKUP(_xlfn.XLOOKUP(B149,'Base stats'!B:B,'Base stats'!E:E),Groups!A:A,Groups!BA:BA),"True","False")</f>
        <v>False</v>
      </c>
    </row>
    <row r="150" spans="1:87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stats'!AI:AI)=0,BH150="None",_xlfn.XLOOKUP(_xlfn.XLOOKUP(B150,'Base stats'!B:B,'Base stats'!E:E),Groups!A:A,Groups!B:B)=0), (18 + BQ150 * 2.7) * 0.5,
    IF(AND(_xlfn.XLOOKUP(B150,'Base stats'!B:B,'Base stats'!AI:AI)=0,OR(AO150&lt;0.55,AND(BH150="Intermediate",_xlfn.XLOOKUP(_xlfn.XLOOKUP(B150,'Base stats'!B:B,'Base stats'!E:E),Groups!A:A,Groups!B:B)&lt;2))), (18 + BQ150 * 2.7),
      IF(OR(BH150="Advanced",_xlfn.XLOOKUP(B150,'Base stats'!B:B,'Base stats'!AI:AI)=1,_xlfn.XLOOKUP(_xlfn.XLOOKUP(B150,'Base stats'!B:B,'Base stats'!E:E),Groups!A:A,Groups!B:B)=2), (18 + BQ150 * 2.7) + 250, (18 + BQ150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IF(_xlfn.XLOOKUP(B150,'Base stats'!B:B,'Base stats'!AI:AI)=1,0.99,MIN(MROUND((1-0.6282*EXP(-0.459*AO150))*_xlfn.XLOOKUP(_xlfn.XLOOKUP(B150,'Base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W150)),ISNUMBER(SEARCH("IceSheet",BW150))),-50,IF(OR(ISNUMBER(SEARCH("GlacialPlain",BW150)),ISNUMBER(SEARCH("Tundra",BW150))),-40,IF(OR(ISNUMBER(SEARCH("Alpine",BW150)),ISNUMBER(SEARCH("BorealForest",BW150)),ISNUMBER(SEARCH("ColdBog",BW150))),-30,IF(OR(ISNUMBER(SEARCH("TemperateForest",BW150)),ISNUMBER(SEARCH("TemperateSwamp",BW150))),-20,IF(_xlfn.XLOOKUP(_xlfn.XLOOKUP(B150,'Base stats'!B:B,'Base stats'!E:E),Groups!A:A,Groups!F:F)=1,-15,IF(OR(ISNUMBER(SEARCH("Desert",BW150)),ISNUMBER(SEARCH("ExtremeDesert",BW150))),-10,IF(OR(ISNUMBER(SEARCH("Grasslands",BW150)),ISNUMBER(SEARCH("TropicalRainforest",BW150)),ISNUMBER(SEARCH("TropicalSwamp",BW150))),10,0)))))))-IF(CB150="False",MIN(IFERROR(MAX(MROUND(LOG10(_xlfn.XLOOKUP(B150,'Base stats'!B:B,'Base stats'!C:C)^(2/3))*10,5),5),5),30))-_xlfn.XLOOKUP(B150,'Base stats'!B:B,'Base stats'!P:P)+IF(CB150="True",5,0)</f>
        <v>-15</v>
      </c>
      <c r="M150" s="2">
        <f>IF(OR(_xlfn.XLOOKUP(_xlfn.XLOOKUP(B150,'Base stats'!B:B,'Base stats'!E:E),Groups!A:A,Groups!G:G)=2,ISNUMBER(SEARCH("Desert",BW150)),ISNUMBER(SEARCH("ExtremeDesert",BW150)),ISNUMBER(SEARCH("LavaField",BW150))),50,IF(ISNUMBER(SEARCH("Grasslands",BW150)),45,IF(OR(_xlfn.XLOOKUP(_xlfn.XLOOKUP(B150,'Base stats'!B:B,'Base stats'!E:E),Groups!A:A,Groups!G:G)=1,ISNUMBER(SEARCH("TropicalRainforest",BW150)),ISNUMBER(SEARCH("TropicalSwamp",BW150))),40,IF(OR(ISNUMBER(SEARCH("TemperateForest",BW150)),ISNUMBER(SEARCH("TemperateSwamp",BW150))),35,IF(OR(ISNUMBER(SEARCH("Alpine",BW150)),ISNUMBER(SEARCH("BorealForest",BW150)),ISNUMBER(SEARCH("ColdBog",BW150))),30,IF(ISNUMBER(OR(ISNUMBER(SEARCH("GlacialPlain",BW150)),SEARCH("Tundra",BW150))),25,IF(OR(ISNUMBER(SEARCH("SeaIce",BW150)),ISNUMBER(SEARCH("IceSheet",BW150)),ISNUMBER(SEARCH("TropicalSwamp",BW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stats'!AO:AO))*(AO150^0.5)+(_xlfn.XLOOKUP(B150,'Base stats'!B:B,'Base stats'!AO:AO)/1000)^(2/3)+_xlfn.XLOOKUP(B150,'Base stats'!B:B,'Base stats'!AX:AX)/2)+0.5,0.5)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stats'!AP:AP))*(AO150^0.5)+(_xlfn.XLOOKUP(B150,'Base stats'!B:B,'Base stats'!AP:AP)/1000)^(2/3)+_xlfn.XLOOKUP(B150,'Base stats'!B:B,'Base stats'!AX:AX))+_xlfn.XLOOKUP(B150,'Base stats'!B:B,'Base stats'!AV:AV)+0.5,0.5))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stats'!AR:AR))*(AO150^0.5)+(_xlfn.XLOOKUP(B150,'Base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stats'!AQ:AQ)="No","No",MROUND((LOG10(_xlfn.XLOOKUP(B150,'Base stats'!B:B,'Base stats'!AQ:AQ))*(AO150^0.75)+(_xlfn.XLOOKUP(B150,'Base stats'!B:B,'Base stats'!AQ:AQ)/1000)^(2/3)+_xlfn.XLOOKUP(B150,'Base stats'!B:B,'Base stats'!AU:AU)+_xlfn.XLOOKUP(B150,'Base stats'!B:B,'Base stats'!AX:AX))+0.5,0.5))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stats'!AP:AP))*(AO150^0.75)+(_xlfn.XLOOKUP(B150,'Base stats'!B:B,'Base stats'!AP:AP)/1000)^(2/3)+_xlfn.XLOOKUP(B150,'Base stats'!B:B,'Base stats'!AV:AV)+_xlfn.XLOOKUP(B150,'Base stats'!B:B,'Base stats'!AX:AX))+0.5,0.5))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MAX(0.01,MROUND(IF(CB150="True",0.196*(AO150*100*1000)^0.889,IF(_xlfn.XLOOKUP(_xlfn.XLOOKUP(B150,'Base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stats'!AE:AE)</f>
        <v>Leather_Light</v>
      </c>
      <c r="BB150" s="23" t="str">
        <f>_xlfn.XLOOKUP(_xlfn.XLOOKUP(B150,'Base stats'!B:B,'Base stats'!E:E),Groups!A:A,Groups!AL:AL)</f>
        <v>QuadrupedAnimalWithPawsAndTail</v>
      </c>
      <c r="BC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D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E150" s="2">
        <f>IF(J150&gt;0.3,"No",_xlfn.XLOOKUP(_xlfn.XLOOKUP(Animals!B150,'Base stats'!B:B,'Base stats'!E:E),Groups!A:A,Groups!AP:AP))</f>
        <v>1</v>
      </c>
      <c r="BF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+ 24*(1-IF(BE150="No",0,BE150)) + 16/3, 12),"No")</f>
        <v>12</v>
      </c>
      <c r="BG150" s="2">
        <f>IF(AND(_xlfn.XLOOKUP(_xlfn.XLOOKUP(B150,'Base stats'!B:B,'Base stats'!E:E),Groups!A:A,Groups!AQ:AQ)=1,AO150&lt;=0.35),8,12)</f>
        <v>12</v>
      </c>
      <c r="BH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I150" s="2" t="str">
        <f>IF(AND(_xlfn.XLOOKUP(_xlfn.XLOOKUP(B150,'Base stats'!B:B,'Base stats'!E:E),Groups!A:A,Groups!AS:AS)=1,OR('Base stats'!Y150="Carnivore",'Base stats'!Y150="Omnivore")),"true","false")</f>
        <v>true</v>
      </c>
      <c r="BJ150" s="2">
        <f>IF(BI150="true",MROUND(IF(AND(AO150&gt;0.5,OR(_xlfn.XLOOKUP(_xlfn.XLOOKUP(B150,'Base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K150" s="2">
        <f t="shared" si="17"/>
        <v>1</v>
      </c>
      <c r="BL150" s="25" t="str">
        <f>IF(_xlfn.XLOOKUP(B150,'Base stats'!B:B,'Base stats'!AK:AK)="Standard","No",MROUND((_xlfn.XLOOKUP(B150,'Base stats'!B:B,'Base stats'!AK:AK)/3.6)/I150,0.1))</f>
        <v>No</v>
      </c>
      <c r="BM150" s="25" t="str">
        <f t="shared" si="18"/>
        <v>false</v>
      </c>
      <c r="BN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O150" s="25" t="str" cm="1">
        <f t="array" ref="BO150">IF(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 = "",
  "No",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
)</f>
        <v>Comfort</v>
      </c>
      <c r="BP150" s="25" t="str">
        <f>IF(
   AND(
      'Base stats'!AK150="Standard",_xlfn.XLOOKUP(_xlfn.XLOOKUP(B150,'Base stats'!B:B,'Base stats'!E:E),Groups!A:A,Groups!AU:AU)=0,
      OR(
      BN150="True"
      )
   ),
   10,
   IF(
       OR(BL150&lt;&gt;"No",_xlfn.XLOOKUP(_xlfn.XLOOKUP(B150,'Base stats'!B:B,'Base stats'!E:E),Groups!A:A,Groups!AU:AU)=1),
      1,
      "No"
   )
)</f>
        <v>No</v>
      </c>
      <c r="BQ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stats'!AS:AS) * 1.8) * 2) * 2.5 + 10 + I150 * 2,5)+IF(_xlfn.XLOOKUP(B150,'Base stats'!B:B,'Base stats'!AH:AH)=1,50,0)</f>
        <v>45</v>
      </c>
      <c r="BR150" s="8">
        <f t="shared" si="19"/>
        <v>0.30000000000000004</v>
      </c>
      <c r="BS150" s="8" t="str">
        <f>_xlfn.XLOOKUP(B150,'Base stats'!B:B,'Base stats'!AD:AD)</f>
        <v>No</v>
      </c>
      <c r="BT150" s="2" t="str">
        <f>IF(AND(J150&lt;=0.95,OR(_xlfn.XLOOKUP(B150,'Base stats'!B:B,'Base stats'!AH:AH)=1,_xlfn.XLOOKUP(B150,'Base stats'!B:B,'Base stats'!Y:Y)="Carnivore",_xlfn.XLOOKUP(B150,'Base stats'!B:B,'Base stats'!Y:Y)="Omnivore",BD150&gt;0.1)),"true","false")</f>
        <v>true</v>
      </c>
      <c r="BU150" s="2" t="str">
        <f>IF(_xlfn.XLOOKUP(B150,'Base stats'!B:B,'Base stats'!AF:AF)=1,"true","false")</f>
        <v>false</v>
      </c>
      <c r="BV150" s="25" t="str">
        <f>IF(E150="BaseInsect","AnimalInsect",
IF(J150&gt;0.95,"AnimalExotic",
_xlfn.TEXTJOIN(", ",TRUE,
IF(OR(_xlfn.XLOOKUP(B150,'Base stats'!B:B,'Base stats'!AJ:AJ)=1,AND(_xlfn.XLOOKUP(B150,'Base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stats'!AH:AH)=1,AND(BH150&lt;&gt;"None",BQ150&gt;=60),ISNUMBER(SEARCH("Attack target",BO150))),"AnimalFighter","")
)))</f>
        <v>AnimalCommon, AnimalPet</v>
      </c>
      <c r="BW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),_xlfn.XLOOKUP(B150,B:B,BW:BW))</f>
        <v/>
      </c>
      <c r="BX150" s="25" t="str">
        <f>IF(_xlfn.XLOOKUP(B150,'Base stats'!B:B,'Base stats'!AG:AG)=1,"true","false")</f>
        <v>false</v>
      </c>
      <c r="BY150" s="25">
        <f>IF(_xlfn.XLOOKUP(B150,'Base stats'!B:B,'Base stats'!N:N)=1,"No",MAX(0.01,MIN(MROUND(IF(OR(_xlfn.XLOOKUP(B150,'Base stats'!B:B,'Base stats'!AJ:AJ)=1,AND(BI150="True",CB150="False")),POWER(10,3.47*LOG10(_xlfn.XLOOKUP(B150,'Base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stats'!AH:AH)=1),0.5,1)/100,0.025),1)))</f>
        <v>0.1</v>
      </c>
      <c r="BZ150" s="25" t="str">
        <f>IF(P150="Standard","No",MAX(0.01,IF(_xlfn.XLOOKUP(B150,'Base stats'!B:B,'Base stats'!N:N)=0,MROUND(BY150*P150,0.05),MIN(1,MAX(0.025,MROUND(IF(OR(CB150="true",AND(BI150="false",BN150="false")),POWER(10,4.15*LOG10(_xlfn.XLOOKUP(B150,'Base stats'!B:B,'Base stats'!C:C)*1000)^-0.73),POWER(10,3.47*LOG10(_xlfn.XLOOKUP(B150,'Base stats'!B:B,'Base stats'!C:C)*1000)^-0.96))*IF(_xlfn.XLOOKUP(B150,'Base stats'!B:B,'Base stats'!AH:AH)=1,0.5,1)/100,0.025))))))</f>
        <v>No</v>
      </c>
      <c r="CA150" s="25" t="str">
        <f>IF(_xlfn.XLOOKUP(_xlfn.XLOOKUP(B150,'Base stats'!B:B,'Base stats'!E:E),Groups!A:A,Groups!AJ:AJ)="Mammal","True","False")</f>
        <v>True</v>
      </c>
      <c r="CB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C150" s="25" t="str">
        <f t="shared" si="20"/>
        <v>False</v>
      </c>
      <c r="CD150" s="25" t="str">
        <f>IF(_xlfn.XLOOKUP(_xlfn.XLOOKUP(B150,'Base stats'!B:B,'Base stats'!E:E),Groups!A:A,Groups!AX:AX),"True","False")</f>
        <v>False</v>
      </c>
      <c r="CE150" s="25" t="str">
        <f>IF(_xlfn.XLOOKUP(_xlfn.XLOOKUP(B150,'Base stats'!B:B,'Base stats'!E:E),Groups!A:A,Groups!AY:AY),"True","False")</f>
        <v>False</v>
      </c>
      <c r="CF150" s="25" t="str">
        <f>IF(_xlfn.XLOOKUP(_xlfn.XLOOKUP(B150,'Base stats'!B:B,'Base stats'!E:E),Groups!A:A,Groups!AW:AW),"True","False")</f>
        <v>False</v>
      </c>
      <c r="CG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H150" s="25" t="str">
        <f>IF(_xlfn.XLOOKUP(_xlfn.XLOOKUP(B150,'Base stats'!B:B,'Base stats'!E:E),Groups!A:A,Groups!BB:BB),"True","False")</f>
        <v>True</v>
      </c>
      <c r="CI150" s="25" t="str">
        <f>IF(_xlfn.XLOOKUP(_xlfn.XLOOKUP(B150,'Base stats'!B:B,'Base stats'!E:E),Groups!A:A,Groups!BA:BA),"True","False")</f>
        <v>False</v>
      </c>
    </row>
    <row r="151" spans="1:87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stats'!AI:AI)=0,BH151="None",_xlfn.XLOOKUP(_xlfn.XLOOKUP(B151,'Base stats'!B:B,'Base stats'!E:E),Groups!A:A,Groups!B:B)=0), (18 + BQ151 * 2.7) * 0.5,
    IF(AND(_xlfn.XLOOKUP(B151,'Base stats'!B:B,'Base stats'!AI:AI)=0,OR(AO151&lt;0.55,AND(BH151="Intermediate",_xlfn.XLOOKUP(_xlfn.XLOOKUP(B151,'Base stats'!B:B,'Base stats'!E:E),Groups!A:A,Groups!B:B)&lt;2))), (18 + BQ151 * 2.7),
      IF(OR(BH151="Advanced",_xlfn.XLOOKUP(B151,'Base stats'!B:B,'Base stats'!AI:AI)=1,_xlfn.XLOOKUP(_xlfn.XLOOKUP(B151,'Base stats'!B:B,'Base stats'!E:E),Groups!A:A,Groups!B:B)=2), (18 + BQ151 * 2.7) + 250, (18 + BQ151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IF(_xlfn.XLOOKUP(B151,'Base stats'!B:B,'Base stats'!AI:AI)=1,0.99,MIN(MROUND((1-0.6282*EXP(-0.459*AO151))*_xlfn.XLOOKUP(_xlfn.XLOOKUP(B151,'Base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W151)),ISNUMBER(SEARCH("IceSheet",BW151))),-50,IF(OR(ISNUMBER(SEARCH("GlacialPlain",BW151)),ISNUMBER(SEARCH("Tundra",BW151))),-40,IF(OR(ISNUMBER(SEARCH("Alpine",BW151)),ISNUMBER(SEARCH("BorealForest",BW151)),ISNUMBER(SEARCH("ColdBog",BW151))),-30,IF(OR(ISNUMBER(SEARCH("TemperateForest",BW151)),ISNUMBER(SEARCH("TemperateSwamp",BW151))),-20,IF(_xlfn.XLOOKUP(_xlfn.XLOOKUP(B151,'Base stats'!B:B,'Base stats'!E:E),Groups!A:A,Groups!F:F)=1,-15,IF(OR(ISNUMBER(SEARCH("Desert",BW151)),ISNUMBER(SEARCH("ExtremeDesert",BW151))),-10,IF(OR(ISNUMBER(SEARCH("Grasslands",BW151)),ISNUMBER(SEARCH("TropicalRainforest",BW151)),ISNUMBER(SEARCH("TropicalSwamp",BW151))),10,0)))))))-IF(CB151="False",MIN(IFERROR(MAX(MROUND(LOG10(_xlfn.XLOOKUP(B151,'Base stats'!B:B,'Base stats'!C:C)^(2/3))*10,5),5),5),30))-_xlfn.XLOOKUP(B151,'Base stats'!B:B,'Base stats'!P:P)+IF(CB151="True",5,0)</f>
        <v>-15</v>
      </c>
      <c r="M151" s="2">
        <f>IF(OR(_xlfn.XLOOKUP(_xlfn.XLOOKUP(B151,'Base stats'!B:B,'Base stats'!E:E),Groups!A:A,Groups!G:G)=2,ISNUMBER(SEARCH("Desert",BW151)),ISNUMBER(SEARCH("ExtremeDesert",BW151)),ISNUMBER(SEARCH("LavaField",BW151))),50,IF(ISNUMBER(SEARCH("Grasslands",BW151)),45,IF(OR(_xlfn.XLOOKUP(_xlfn.XLOOKUP(B151,'Base stats'!B:B,'Base stats'!E:E),Groups!A:A,Groups!G:G)=1,ISNUMBER(SEARCH("TropicalRainforest",BW151)),ISNUMBER(SEARCH("TropicalSwamp",BW151))),40,IF(OR(ISNUMBER(SEARCH("TemperateForest",BW151)),ISNUMBER(SEARCH("TemperateSwamp",BW151))),35,IF(OR(ISNUMBER(SEARCH("Alpine",BW151)),ISNUMBER(SEARCH("BorealForest",BW151)),ISNUMBER(SEARCH("ColdBog",BW151))),30,IF(ISNUMBER(OR(ISNUMBER(SEARCH("GlacialPlain",BW151)),SEARCH("Tundra",BW151))),25,IF(OR(ISNUMBER(SEARCH("SeaIce",BW151)),ISNUMBER(SEARCH("IceSheet",BW151)),ISNUMBER(SEARCH("TropicalSwamp",BW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stats'!AO:AO))*(AO151^0.5)+(_xlfn.XLOOKUP(B151,'Base stats'!B:B,'Base stats'!AO:AO)/1000)^(2/3)+_xlfn.XLOOKUP(B151,'Base stats'!B:B,'Base stats'!AX:AX)/2)+0.5,0.5)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stats'!AP:AP))*(AO151^0.5)+(_xlfn.XLOOKUP(B151,'Base stats'!B:B,'Base stats'!AP:AP)/1000)^(2/3)+_xlfn.XLOOKUP(B151,'Base stats'!B:B,'Base stats'!AX:AX))+_xlfn.XLOOKUP(B151,'Base stats'!B:B,'Base stats'!AV:AV)+0.5,0.5))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stats'!AR:AR))*(AO151^0.5)+(_xlfn.XLOOKUP(B151,'Base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stats'!AQ:AQ)="No","No",MROUND((LOG10(_xlfn.XLOOKUP(B151,'Base stats'!B:B,'Base stats'!AQ:AQ))*(AO151^0.75)+(_xlfn.XLOOKUP(B151,'Base stats'!B:B,'Base stats'!AQ:AQ)/1000)^(2/3)+_xlfn.XLOOKUP(B151,'Base stats'!B:B,'Base stats'!AU:AU)+_xlfn.XLOOKUP(B151,'Base stats'!B:B,'Base stats'!AX:AX))+0.5,0.5))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stats'!AP:AP))*(AO151^0.75)+(_xlfn.XLOOKUP(B151,'Base stats'!B:B,'Base stats'!AP:AP)/1000)^(2/3)+_xlfn.XLOOKUP(B151,'Base stats'!B:B,'Base stats'!AV:AV)+_xlfn.XLOOKUP(B151,'Base stats'!B:B,'Base stats'!AX:AX))+0.5,0.5))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MAX(0.01,MROUND(IF(CB151="True",0.196*(AO151*100*1000)^0.889,IF(_xlfn.XLOOKUP(_xlfn.XLOOKUP(B151,'Base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stats'!AE:AE)</f>
        <v>Leather_Light</v>
      </c>
      <c r="BB151" s="23" t="str">
        <f>_xlfn.XLOOKUP(_xlfn.XLOOKUP(B151,'Base stats'!B:B,'Base stats'!E:E),Groups!A:A,Groups!AL:AL)</f>
        <v>QuadrupedAnimalWithPawsAndTail</v>
      </c>
      <c r="BC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D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E151" s="2">
        <f>IF(J151&gt;0.3,"No",_xlfn.XLOOKUP(_xlfn.XLOOKUP(Animals!B151,'Base stats'!B:B,'Base stats'!E:E),Groups!A:A,Groups!AP:AP))</f>
        <v>1</v>
      </c>
      <c r="BF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+ 24*(1-IF(BE151="No",0,BE151)) + 16/3, 12),"No")</f>
        <v>12</v>
      </c>
      <c r="BG151" s="2">
        <f>IF(AND(_xlfn.XLOOKUP(_xlfn.XLOOKUP(B151,'Base stats'!B:B,'Base stats'!E:E),Groups!A:A,Groups!AQ:AQ)=1,AO151&lt;=0.35),8,12)</f>
        <v>12</v>
      </c>
      <c r="BH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I151" s="2" t="str">
        <f>IF(AND(_xlfn.XLOOKUP(_xlfn.XLOOKUP(B151,'Base stats'!B:B,'Base stats'!E:E),Groups!A:A,Groups!AS:AS)=1,OR('Base stats'!Y151="Carnivore",'Base stats'!Y151="Omnivore")),"true","false")</f>
        <v>true</v>
      </c>
      <c r="BJ151" s="2">
        <f>IF(BI151="true",MROUND(IF(AND(AO151&gt;0.5,OR(_xlfn.XLOOKUP(_xlfn.XLOOKUP(B151,'Base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K151" s="2">
        <f t="shared" si="17"/>
        <v>1</v>
      </c>
      <c r="BL151" s="25" t="str">
        <f>IF(_xlfn.XLOOKUP(B151,'Base stats'!B:B,'Base stats'!AK:AK)="Standard","No",MROUND((_xlfn.XLOOKUP(B151,'Base stats'!B:B,'Base stats'!AK:AK)/3.6)/I151,0.1))</f>
        <v>No</v>
      </c>
      <c r="BM151" s="25" t="str">
        <f t="shared" si="18"/>
        <v>false</v>
      </c>
      <c r="BN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O151" s="25" t="str" cm="1">
        <f t="array" ref="BO151">IF(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 = "",
  "No",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
)</f>
        <v>Comfort</v>
      </c>
      <c r="BP151" s="25" t="str">
        <f>IF(
   AND(
      'Base stats'!AK151="Standard",_xlfn.XLOOKUP(_xlfn.XLOOKUP(B151,'Base stats'!B:B,'Base stats'!E:E),Groups!A:A,Groups!AU:AU)=0,
      OR(
      BN151="True"
      )
   ),
   10,
   IF(
       OR(BL151&lt;&gt;"No",_xlfn.XLOOKUP(_xlfn.XLOOKUP(B151,'Base stats'!B:B,'Base stats'!E:E),Groups!A:A,Groups!AU:AU)=1),
      1,
      "No"
   )
)</f>
        <v>No</v>
      </c>
      <c r="BQ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stats'!AS:AS) * 1.8) * 2) * 2.5 + 10 + I151 * 2,5)+IF(_xlfn.XLOOKUP(B151,'Base stats'!B:B,'Base stats'!AH:AH)=1,50,0)</f>
        <v>45</v>
      </c>
      <c r="BR151" s="8">
        <f t="shared" si="19"/>
        <v>0.30000000000000004</v>
      </c>
      <c r="BS151" s="8" t="str">
        <f>_xlfn.XLOOKUP(B151,'Base stats'!B:B,'Base stats'!AD:AD)</f>
        <v>No</v>
      </c>
      <c r="BT151" s="2" t="str">
        <f>IF(AND(J151&lt;=0.95,OR(_xlfn.XLOOKUP(B151,'Base stats'!B:B,'Base stats'!AH:AH)=1,_xlfn.XLOOKUP(B151,'Base stats'!B:B,'Base stats'!Y:Y)="Carnivore",_xlfn.XLOOKUP(B151,'Base stats'!B:B,'Base stats'!Y:Y)="Omnivore",BD151&gt;0.1)),"true","false")</f>
        <v>true</v>
      </c>
      <c r="BU151" s="2" t="str">
        <f>IF(_xlfn.XLOOKUP(B151,'Base stats'!B:B,'Base stats'!AF:AF)=1,"true","false")</f>
        <v>false</v>
      </c>
      <c r="BV151" s="25" t="str">
        <f>IF(E151="BaseInsect","AnimalInsect",
IF(J151&gt;0.95,"AnimalExotic",
_xlfn.TEXTJOIN(", ",TRUE,
IF(OR(_xlfn.XLOOKUP(B151,'Base stats'!B:B,'Base stats'!AJ:AJ)=1,AND(_xlfn.XLOOKUP(B151,'Base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stats'!AH:AH)=1,AND(BH151&lt;&gt;"None",BQ151&gt;=60),ISNUMBER(SEARCH("Attack target",BO151))),"AnimalFighter","")
)))</f>
        <v>AnimalCommon, AnimalPet</v>
      </c>
      <c r="BW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),_xlfn.XLOOKUP(B151,B:B,BW:BW))</f>
        <v/>
      </c>
      <c r="BX151" s="25" t="str">
        <f>IF(_xlfn.XLOOKUP(B151,'Base stats'!B:B,'Base stats'!AG:AG)=1,"true","false")</f>
        <v>false</v>
      </c>
      <c r="BY151" s="25">
        <f>IF(_xlfn.XLOOKUP(B151,'Base stats'!B:B,'Base stats'!N:N)=1,"No",MAX(0.01,MIN(MROUND(IF(OR(_xlfn.XLOOKUP(B151,'Base stats'!B:B,'Base stats'!AJ:AJ)=1,AND(BI151="True",CB151="False")),POWER(10,3.47*LOG10(_xlfn.XLOOKUP(B151,'Base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stats'!AH:AH)=1),0.5,1)/100,0.025),1)))</f>
        <v>0.1</v>
      </c>
      <c r="BZ151" s="25" t="str">
        <f>IF(P151="Standard","No",MAX(0.01,IF(_xlfn.XLOOKUP(B151,'Base stats'!B:B,'Base stats'!N:N)=0,MROUND(BY151*P151,0.05),MIN(1,MAX(0.025,MROUND(IF(OR(CB151="true",AND(BI151="false",BN151="false")),POWER(10,4.15*LOG10(_xlfn.XLOOKUP(B151,'Base stats'!B:B,'Base stats'!C:C)*1000)^-0.73),POWER(10,3.47*LOG10(_xlfn.XLOOKUP(B151,'Base stats'!B:B,'Base stats'!C:C)*1000)^-0.96))*IF(_xlfn.XLOOKUP(B151,'Base stats'!B:B,'Base stats'!AH:AH)=1,0.5,1)/100,0.025))))))</f>
        <v>No</v>
      </c>
      <c r="CA151" s="25" t="str">
        <f>IF(_xlfn.XLOOKUP(_xlfn.XLOOKUP(B151,'Base stats'!B:B,'Base stats'!E:E),Groups!A:A,Groups!AJ:AJ)="Mammal","True","False")</f>
        <v>True</v>
      </c>
      <c r="CB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C151" s="25" t="str">
        <f t="shared" si="20"/>
        <v>False</v>
      </c>
      <c r="CD151" s="25" t="str">
        <f>IF(_xlfn.XLOOKUP(_xlfn.XLOOKUP(B151,'Base stats'!B:B,'Base stats'!E:E),Groups!A:A,Groups!AX:AX),"True","False")</f>
        <v>False</v>
      </c>
      <c r="CE151" s="25" t="str">
        <f>IF(_xlfn.XLOOKUP(_xlfn.XLOOKUP(B151,'Base stats'!B:B,'Base stats'!E:E),Groups!A:A,Groups!AY:AY),"True","False")</f>
        <v>False</v>
      </c>
      <c r="CF151" s="25" t="str">
        <f>IF(_xlfn.XLOOKUP(_xlfn.XLOOKUP(B151,'Base stats'!B:B,'Base stats'!E:E),Groups!A:A,Groups!AW:AW),"True","False")</f>
        <v>False</v>
      </c>
      <c r="CG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H151" s="25" t="str">
        <f>IF(_xlfn.XLOOKUP(_xlfn.XLOOKUP(B151,'Base stats'!B:B,'Base stats'!E:E),Groups!A:A,Groups!BB:BB),"True","False")</f>
        <v>True</v>
      </c>
      <c r="CI151" s="25" t="str">
        <f>IF(_xlfn.XLOOKUP(_xlfn.XLOOKUP(B151,'Base stats'!B:B,'Base stats'!E:E),Groups!A:A,Groups!BA:BA),"True","False")</f>
        <v>False</v>
      </c>
    </row>
    <row r="152" spans="1:87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stats'!AI:AI)=0,BH152="None",_xlfn.XLOOKUP(_xlfn.XLOOKUP(B152,'Base stats'!B:B,'Base stats'!E:E),Groups!A:A,Groups!B:B)=0), (18 + BQ152 * 2.7) * 0.5,
    IF(AND(_xlfn.XLOOKUP(B152,'Base stats'!B:B,'Base stats'!AI:AI)=0,OR(AO152&lt;0.55,AND(BH152="Intermediate",_xlfn.XLOOKUP(_xlfn.XLOOKUP(B152,'Base stats'!B:B,'Base stats'!E:E),Groups!A:A,Groups!B:B)&lt;2))), (18 + BQ152 * 2.7),
      IF(OR(BH152="Advanced",_xlfn.XLOOKUP(B152,'Base stats'!B:B,'Base stats'!AI:AI)=1,_xlfn.XLOOKUP(_xlfn.XLOOKUP(B152,'Base stats'!B:B,'Base stats'!E:E),Groups!A:A,Groups!B:B)=2), (18 + BQ152 * 2.7) + 250, (18 + BQ152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IF(_xlfn.XLOOKUP(B152,'Base stats'!B:B,'Base stats'!AI:AI)=1,0.99,MIN(MROUND((1-0.6282*EXP(-0.459*AO152))*_xlfn.XLOOKUP(_xlfn.XLOOKUP(B152,'Base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W152)),ISNUMBER(SEARCH("IceSheet",BW152))),-50,IF(OR(ISNUMBER(SEARCH("GlacialPlain",BW152)),ISNUMBER(SEARCH("Tundra",BW152))),-40,IF(OR(ISNUMBER(SEARCH("Alpine",BW152)),ISNUMBER(SEARCH("BorealForest",BW152)),ISNUMBER(SEARCH("ColdBog",BW152))),-30,IF(OR(ISNUMBER(SEARCH("TemperateForest",BW152)),ISNUMBER(SEARCH("TemperateSwamp",BW152))),-20,IF(_xlfn.XLOOKUP(_xlfn.XLOOKUP(B152,'Base stats'!B:B,'Base stats'!E:E),Groups!A:A,Groups!F:F)=1,-15,IF(OR(ISNUMBER(SEARCH("Desert",BW152)),ISNUMBER(SEARCH("ExtremeDesert",BW152))),-10,IF(OR(ISNUMBER(SEARCH("Grasslands",BW152)),ISNUMBER(SEARCH("TropicalRainforest",BW152)),ISNUMBER(SEARCH("TropicalSwamp",BW152))),10,0)))))))-IF(CB152="False",MIN(IFERROR(MAX(MROUND(LOG10(_xlfn.XLOOKUP(B152,'Base stats'!B:B,'Base stats'!C:C)^(2/3))*10,5),5),5),30))-_xlfn.XLOOKUP(B152,'Base stats'!B:B,'Base stats'!P:P)+IF(CB152="True",5,0)</f>
        <v>-20</v>
      </c>
      <c r="M152" s="2">
        <f>IF(OR(_xlfn.XLOOKUP(_xlfn.XLOOKUP(B152,'Base stats'!B:B,'Base stats'!E:E),Groups!A:A,Groups!G:G)=2,ISNUMBER(SEARCH("Desert",BW152)),ISNUMBER(SEARCH("ExtremeDesert",BW152)),ISNUMBER(SEARCH("LavaField",BW152))),50,IF(ISNUMBER(SEARCH("Grasslands",BW152)),45,IF(OR(_xlfn.XLOOKUP(_xlfn.XLOOKUP(B152,'Base stats'!B:B,'Base stats'!E:E),Groups!A:A,Groups!G:G)=1,ISNUMBER(SEARCH("TropicalRainforest",BW152)),ISNUMBER(SEARCH("TropicalSwamp",BW152))),40,IF(OR(ISNUMBER(SEARCH("TemperateForest",BW152)),ISNUMBER(SEARCH("TemperateSwamp",BW152))),35,IF(OR(ISNUMBER(SEARCH("Alpine",BW152)),ISNUMBER(SEARCH("BorealForest",BW152)),ISNUMBER(SEARCH("ColdBog",BW152))),30,IF(ISNUMBER(OR(ISNUMBER(SEARCH("GlacialPlain",BW152)),SEARCH("Tundra",BW152))),25,IF(OR(ISNUMBER(SEARCH("SeaIce",BW152)),ISNUMBER(SEARCH("IceSheet",BW152)),ISNUMBER(SEARCH("TropicalSwamp",BW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stats'!AO:AO))*(AO152^0.5)+(_xlfn.XLOOKUP(B152,'Base stats'!B:B,'Base stats'!AO:AO)/1000)^(2/3)+_xlfn.XLOOKUP(B152,'Base stats'!B:B,'Base stats'!AX:AX)/2)+0.5,0.5)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stats'!AP:AP))*(AO152^0.5)+(_xlfn.XLOOKUP(B152,'Base stats'!B:B,'Base stats'!AP:AP)/1000)^(2/3)+_xlfn.XLOOKUP(B152,'Base stats'!B:B,'Base stats'!AX:AX))+_xlfn.XLOOKUP(B152,'Base stats'!B:B,'Base stats'!AV:AV)+0.5,0.5))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stats'!AR:AR))*(AO152^0.5)+(_xlfn.XLOOKUP(B152,'Base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stats'!AQ:AQ)="No","No",MROUND((LOG10(_xlfn.XLOOKUP(B152,'Base stats'!B:B,'Base stats'!AQ:AQ))*(AO152^0.75)+(_xlfn.XLOOKUP(B152,'Base stats'!B:B,'Base stats'!AQ:AQ)/1000)^(2/3)+_xlfn.XLOOKUP(B152,'Base stats'!B:B,'Base stats'!AU:AU)+_xlfn.XLOOKUP(B152,'Base stats'!B:B,'Base stats'!AX:AX))+0.5,0.5))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stats'!AP:AP))*(AO152^0.75)+(_xlfn.XLOOKUP(B152,'Base stats'!B:B,'Base stats'!AP:AP)/1000)^(2/3)+_xlfn.XLOOKUP(B152,'Base stats'!B:B,'Base stats'!AV:AV)+_xlfn.XLOOKUP(B152,'Base stats'!B:B,'Base stats'!AX:AX))+0.5,0.5))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MAX(0.01,MROUND(IF(CB152="True",0.196*(AO152*100*1000)^0.889,IF(_xlfn.XLOOKUP(_xlfn.XLOOKUP(B152,'Base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stats'!AE:AE)</f>
        <v>Leather_Light</v>
      </c>
      <c r="BB152" s="23" t="str">
        <f>_xlfn.XLOOKUP(_xlfn.XLOOKUP(B152,'Base stats'!B:B,'Base stats'!E:E),Groups!A:A,Groups!AL:AL)</f>
        <v>QuadrupedAnimalWithPawsAndTail</v>
      </c>
      <c r="BC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D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E152" s="2">
        <f>IF(J152&gt;0.3,"No",_xlfn.XLOOKUP(_xlfn.XLOOKUP(Animals!B152,'Base stats'!B:B,'Base stats'!E:E),Groups!A:A,Groups!AP:AP))</f>
        <v>1</v>
      </c>
      <c r="BF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+ 24*(1-IF(BE152="No",0,BE152)) + 16/3, 12),"No")</f>
        <v>12</v>
      </c>
      <c r="BG152" s="2">
        <f>IF(AND(_xlfn.XLOOKUP(_xlfn.XLOOKUP(B152,'Base stats'!B:B,'Base stats'!E:E),Groups!A:A,Groups!AQ:AQ)=1,AO152&lt;=0.35),8,12)</f>
        <v>12</v>
      </c>
      <c r="BH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I152" s="2" t="str">
        <f>IF(AND(_xlfn.XLOOKUP(_xlfn.XLOOKUP(B152,'Base stats'!B:B,'Base stats'!E:E),Groups!A:A,Groups!AS:AS)=1,OR('Base stats'!Y152="Carnivore",'Base stats'!Y152="Omnivore")),"true","false")</f>
        <v>true</v>
      </c>
      <c r="BJ152" s="2">
        <f>IF(BI152="true",MROUND(IF(AND(AO152&gt;0.5,OR(_xlfn.XLOOKUP(_xlfn.XLOOKUP(B152,'Base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K152" s="2">
        <f t="shared" si="17"/>
        <v>1</v>
      </c>
      <c r="BL152" s="25" t="str">
        <f>IF(_xlfn.XLOOKUP(B152,'Base stats'!B:B,'Base stats'!AK:AK)="Standard","No",MROUND((_xlfn.XLOOKUP(B152,'Base stats'!B:B,'Base stats'!AK:AK)/3.6)/I152,0.1))</f>
        <v>No</v>
      </c>
      <c r="BM152" s="25" t="str">
        <f t="shared" si="18"/>
        <v>false</v>
      </c>
      <c r="BN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O152" s="25" t="str" cm="1">
        <f t="array" ref="BO152">IF(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 = "",
  "No",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
)</f>
        <v>Comfort</v>
      </c>
      <c r="BP152" s="25" t="str">
        <f>IF(
   AND(
      'Base stats'!AK152="Standard",_xlfn.XLOOKUP(_xlfn.XLOOKUP(B152,'Base stats'!B:B,'Base stats'!E:E),Groups!A:A,Groups!AU:AU)=0,
      OR(
      BN152="True"
      )
   ),
   10,
   IF(
       OR(BL152&lt;&gt;"No",_xlfn.XLOOKUP(_xlfn.XLOOKUP(B152,'Base stats'!B:B,'Base stats'!E:E),Groups!A:A,Groups!AU:AU)=1),
      1,
      "No"
   )
)</f>
        <v>No</v>
      </c>
      <c r="BQ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stats'!AS:AS) * 1.8) * 2) * 2.5 + 10 + I152 * 2,5)+IF(_xlfn.XLOOKUP(B152,'Base stats'!B:B,'Base stats'!AH:AH)=1,50,0)</f>
        <v>45</v>
      </c>
      <c r="BR152" s="8">
        <f t="shared" si="19"/>
        <v>0.30000000000000004</v>
      </c>
      <c r="BS152" s="8" t="str">
        <f>_xlfn.XLOOKUP(B152,'Base stats'!B:B,'Base stats'!AD:AD)</f>
        <v>No</v>
      </c>
      <c r="BT152" s="2" t="str">
        <f>IF(AND(J152&lt;=0.95,OR(_xlfn.XLOOKUP(B152,'Base stats'!B:B,'Base stats'!AH:AH)=1,_xlfn.XLOOKUP(B152,'Base stats'!B:B,'Base stats'!Y:Y)="Carnivore",_xlfn.XLOOKUP(B152,'Base stats'!B:B,'Base stats'!Y:Y)="Omnivore",BD152&gt;0.1)),"true","false")</f>
        <v>true</v>
      </c>
      <c r="BU152" s="2" t="str">
        <f>IF(_xlfn.XLOOKUP(B152,'Base stats'!B:B,'Base stats'!AF:AF)=1,"true","false")</f>
        <v>false</v>
      </c>
      <c r="BV152" s="25" t="str">
        <f>IF(E152="BaseInsect","AnimalInsect",
IF(J152&gt;0.95,"AnimalExotic",
_xlfn.TEXTJOIN(", ",TRUE,
IF(OR(_xlfn.XLOOKUP(B152,'Base stats'!B:B,'Base stats'!AJ:AJ)=1,AND(_xlfn.XLOOKUP(B152,'Base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stats'!AH:AH)=1,AND(BH152&lt;&gt;"None",BQ152&gt;=60),ISNUMBER(SEARCH("Attack target",BO152))),"AnimalFighter","")
)))</f>
        <v>AnimalCommon, AnimalPet</v>
      </c>
      <c r="BW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),_xlfn.XLOOKUP(B152,B:B,BW:BW))</f>
        <v/>
      </c>
      <c r="BX152" s="25" t="str">
        <f>IF(_xlfn.XLOOKUP(B152,'Base stats'!B:B,'Base stats'!AG:AG)=1,"true","false")</f>
        <v>false</v>
      </c>
      <c r="BY152" s="25">
        <f>IF(_xlfn.XLOOKUP(B152,'Base stats'!B:B,'Base stats'!N:N)=1,"No",MAX(0.01,MIN(MROUND(IF(OR(_xlfn.XLOOKUP(B152,'Base stats'!B:B,'Base stats'!AJ:AJ)=1,AND(BI152="True",CB152="False")),POWER(10,3.47*LOG10(_xlfn.XLOOKUP(B152,'Base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stats'!AH:AH)=1),0.5,1)/100,0.025),1)))</f>
        <v>0.1</v>
      </c>
      <c r="BZ152" s="25" t="str">
        <f>IF(P152="Standard","No",MAX(0.01,IF(_xlfn.XLOOKUP(B152,'Base stats'!B:B,'Base stats'!N:N)=0,MROUND(BY152*P152,0.05),MIN(1,MAX(0.025,MROUND(IF(OR(CB152="true",AND(BI152="false",BN152="false")),POWER(10,4.15*LOG10(_xlfn.XLOOKUP(B152,'Base stats'!B:B,'Base stats'!C:C)*1000)^-0.73),POWER(10,3.47*LOG10(_xlfn.XLOOKUP(B152,'Base stats'!B:B,'Base stats'!C:C)*1000)^-0.96))*IF(_xlfn.XLOOKUP(B152,'Base stats'!B:B,'Base stats'!AH:AH)=1,0.5,1)/100,0.025))))))</f>
        <v>No</v>
      </c>
      <c r="CA152" s="25" t="str">
        <f>IF(_xlfn.XLOOKUP(_xlfn.XLOOKUP(B152,'Base stats'!B:B,'Base stats'!E:E),Groups!A:A,Groups!AJ:AJ)="Mammal","True","False")</f>
        <v>True</v>
      </c>
      <c r="CB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C152" s="25" t="str">
        <f t="shared" si="20"/>
        <v>False</v>
      </c>
      <c r="CD152" s="25" t="str">
        <f>IF(_xlfn.XLOOKUP(_xlfn.XLOOKUP(B152,'Base stats'!B:B,'Base stats'!E:E),Groups!A:A,Groups!AX:AX),"True","False")</f>
        <v>False</v>
      </c>
      <c r="CE152" s="25" t="str">
        <f>IF(_xlfn.XLOOKUP(_xlfn.XLOOKUP(B152,'Base stats'!B:B,'Base stats'!E:E),Groups!A:A,Groups!AY:AY),"True","False")</f>
        <v>False</v>
      </c>
      <c r="CF152" s="25" t="str">
        <f>IF(_xlfn.XLOOKUP(_xlfn.XLOOKUP(B152,'Base stats'!B:B,'Base stats'!E:E),Groups!A:A,Groups!AW:AW),"True","False")</f>
        <v>False</v>
      </c>
      <c r="CG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H152" s="25" t="str">
        <f>IF(_xlfn.XLOOKUP(_xlfn.XLOOKUP(B152,'Base stats'!B:B,'Base stats'!E:E),Groups!A:A,Groups!BB:BB),"True","False")</f>
        <v>True</v>
      </c>
      <c r="CI152" s="25" t="str">
        <f>IF(_xlfn.XLOOKUP(_xlfn.XLOOKUP(B152,'Base stats'!B:B,'Base stats'!E:E),Groups!A:A,Groups!BA:BA),"True","False")</f>
        <v>False</v>
      </c>
    </row>
    <row r="153" spans="1:87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stats'!AI:AI)=0,BH153="None",_xlfn.XLOOKUP(_xlfn.XLOOKUP(B153,'Base stats'!B:B,'Base stats'!E:E),Groups!A:A,Groups!B:B)=0), (18 + BQ153 * 2.7) * 0.5,
    IF(AND(_xlfn.XLOOKUP(B153,'Base stats'!B:B,'Base stats'!AI:AI)=0,OR(AO153&lt;0.55,AND(BH153="Intermediate",_xlfn.XLOOKUP(_xlfn.XLOOKUP(B153,'Base stats'!B:B,'Base stats'!E:E),Groups!A:A,Groups!B:B)&lt;2))), (18 + BQ153 * 2.7),
      IF(OR(BH153="Advanced",_xlfn.XLOOKUP(B153,'Base stats'!B:B,'Base stats'!AI:AI)=1,_xlfn.XLOOKUP(_xlfn.XLOOKUP(B153,'Base stats'!B:B,'Base stats'!E:E),Groups!A:A,Groups!B:B)=2), (18 + BQ153 * 2.7) + 250, (18 + BQ153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IF(_xlfn.XLOOKUP(B153,'Base stats'!B:B,'Base stats'!AI:AI)=1,0.99,MIN(MROUND((1-0.6282*EXP(-0.459*AO153))*_xlfn.XLOOKUP(_xlfn.XLOOKUP(B153,'Base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W153)),ISNUMBER(SEARCH("IceSheet",BW153))),-50,IF(OR(ISNUMBER(SEARCH("GlacialPlain",BW153)),ISNUMBER(SEARCH("Tundra",BW153))),-40,IF(OR(ISNUMBER(SEARCH("Alpine",BW153)),ISNUMBER(SEARCH("BorealForest",BW153)),ISNUMBER(SEARCH("ColdBog",BW153))),-30,IF(OR(ISNUMBER(SEARCH("TemperateForest",BW153)),ISNUMBER(SEARCH("TemperateSwamp",BW153))),-20,IF(_xlfn.XLOOKUP(_xlfn.XLOOKUP(B153,'Base stats'!B:B,'Base stats'!E:E),Groups!A:A,Groups!F:F)=1,-15,IF(OR(ISNUMBER(SEARCH("Desert",BW153)),ISNUMBER(SEARCH("ExtremeDesert",BW153))),-10,IF(OR(ISNUMBER(SEARCH("Grasslands",BW153)),ISNUMBER(SEARCH("TropicalRainforest",BW153)),ISNUMBER(SEARCH("TropicalSwamp",BW153))),10,0)))))))-IF(CB153="False",MIN(IFERROR(MAX(MROUND(LOG10(_xlfn.XLOOKUP(B153,'Base stats'!B:B,'Base stats'!C:C)^(2/3))*10,5),5),5),30))-_xlfn.XLOOKUP(B153,'Base stats'!B:B,'Base stats'!P:P)+IF(CB153="True",5,0)</f>
        <v>-30</v>
      </c>
      <c r="M153" s="2">
        <f>IF(OR(_xlfn.XLOOKUP(_xlfn.XLOOKUP(B153,'Base stats'!B:B,'Base stats'!E:E),Groups!A:A,Groups!G:G)=2,ISNUMBER(SEARCH("Desert",BW153)),ISNUMBER(SEARCH("ExtremeDesert",BW153)),ISNUMBER(SEARCH("LavaField",BW153))),50,IF(ISNUMBER(SEARCH("Grasslands",BW153)),45,IF(OR(_xlfn.XLOOKUP(_xlfn.XLOOKUP(B153,'Base stats'!B:B,'Base stats'!E:E),Groups!A:A,Groups!G:G)=1,ISNUMBER(SEARCH("TropicalRainforest",BW153)),ISNUMBER(SEARCH("TropicalSwamp",BW153))),40,IF(OR(ISNUMBER(SEARCH("TemperateForest",BW153)),ISNUMBER(SEARCH("TemperateSwamp",BW153))),35,IF(OR(ISNUMBER(SEARCH("Alpine",BW153)),ISNUMBER(SEARCH("BorealForest",BW153)),ISNUMBER(SEARCH("ColdBog",BW153))),30,IF(ISNUMBER(OR(ISNUMBER(SEARCH("GlacialPlain",BW153)),SEARCH("Tundra",BW153))),25,IF(OR(ISNUMBER(SEARCH("SeaIce",BW153)),ISNUMBER(SEARCH("IceSheet",BW153)),ISNUMBER(SEARCH("TropicalSwamp",BW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stats'!AO:AO))*(AO153^0.5)+(_xlfn.XLOOKUP(B153,'Base stats'!B:B,'Base stats'!AO:AO)/1000)^(2/3)+_xlfn.XLOOKUP(B153,'Base stats'!B:B,'Base stats'!AX:AX)/2)+0.5,0.5)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stats'!AP:AP))*(AO153^0.5)+(_xlfn.XLOOKUP(B153,'Base stats'!B:B,'Base stats'!AP:AP)/1000)^(2/3)+_xlfn.XLOOKUP(B153,'Base stats'!B:B,'Base stats'!AX:AX))+_xlfn.XLOOKUP(B153,'Base stats'!B:B,'Base stats'!AV:AV)+0.5,0.5))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stats'!AR:AR))*(AO153^0.5)+(_xlfn.XLOOKUP(B153,'Base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stats'!AQ:AQ)="No","No",MROUND((LOG10(_xlfn.XLOOKUP(B153,'Base stats'!B:B,'Base stats'!AQ:AQ))*(AO153^0.75)+(_xlfn.XLOOKUP(B153,'Base stats'!B:B,'Base stats'!AQ:AQ)/1000)^(2/3)+_xlfn.XLOOKUP(B153,'Base stats'!B:B,'Base stats'!AU:AU)+_xlfn.XLOOKUP(B153,'Base stats'!B:B,'Base stats'!AX:AX))+0.5,0.5))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stats'!AP:AP))*(AO153^0.75)+(_xlfn.XLOOKUP(B153,'Base stats'!B:B,'Base stats'!AP:AP)/1000)^(2/3)+_xlfn.XLOOKUP(B153,'Base stats'!B:B,'Base stats'!AV:AV)+_xlfn.XLOOKUP(B153,'Base stats'!B:B,'Base stats'!AX:AX))+0.5,0.5))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MAX(0.01,MROUND(IF(CB153="True",0.196*(AO153*100*1000)^0.889,IF(_xlfn.XLOOKUP(_xlfn.XLOOKUP(B153,'Base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stats'!AE:AE)</f>
        <v>Leather_Light</v>
      </c>
      <c r="BB153" s="23" t="str">
        <f>_xlfn.XLOOKUP(_xlfn.XLOOKUP(B153,'Base stats'!B:B,'Base stats'!E:E),Groups!A:A,Groups!AL:AL)</f>
        <v>QuadrupedAnimalWithPawsAndTail</v>
      </c>
      <c r="BC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D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E153" s="2">
        <f>IF(J153&gt;0.3,"No",_xlfn.XLOOKUP(_xlfn.XLOOKUP(Animals!B153,'Base stats'!B:B,'Base stats'!E:E),Groups!A:A,Groups!AP:AP))</f>
        <v>1</v>
      </c>
      <c r="BF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+ 24*(1-IF(BE153="No",0,BE153)) + 16/3, 12),"No")</f>
        <v>12</v>
      </c>
      <c r="BG153" s="2">
        <f>IF(AND(_xlfn.XLOOKUP(_xlfn.XLOOKUP(B153,'Base stats'!B:B,'Base stats'!E:E),Groups!A:A,Groups!AQ:AQ)=1,AO153&lt;=0.35),8,12)</f>
        <v>12</v>
      </c>
      <c r="BH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I153" s="2" t="str">
        <f>IF(AND(_xlfn.XLOOKUP(_xlfn.XLOOKUP(B153,'Base stats'!B:B,'Base stats'!E:E),Groups!A:A,Groups!AS:AS)=1,OR('Base stats'!Y153="Carnivore",'Base stats'!Y153="Omnivore")),"true","false")</f>
        <v>true</v>
      </c>
      <c r="BJ153" s="2">
        <f>IF(BI153="true",MROUND(IF(AND(AO153&gt;0.5,OR(_xlfn.XLOOKUP(_xlfn.XLOOKUP(B153,'Base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K153" s="2">
        <f t="shared" si="17"/>
        <v>1</v>
      </c>
      <c r="BL153" s="25" t="str">
        <f>IF(_xlfn.XLOOKUP(B153,'Base stats'!B:B,'Base stats'!AK:AK)="Standard","No",MROUND((_xlfn.XLOOKUP(B153,'Base stats'!B:B,'Base stats'!AK:AK)/3.6)/I153,0.1))</f>
        <v>No</v>
      </c>
      <c r="BM153" s="25" t="str">
        <f t="shared" si="18"/>
        <v>false</v>
      </c>
      <c r="BN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O153" s="25" t="str" cm="1">
        <f t="array" ref="BO153">IF(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 = "",
  "No",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
)</f>
        <v>Comfort</v>
      </c>
      <c r="BP153" s="25" t="str">
        <f>IF(
   AND(
      'Base stats'!AK153="Standard",_xlfn.XLOOKUP(_xlfn.XLOOKUP(B153,'Base stats'!B:B,'Base stats'!E:E),Groups!A:A,Groups!AU:AU)=0,
      OR(
      BN153="True"
      )
   ),
   10,
   IF(
       OR(BL153&lt;&gt;"No",_xlfn.XLOOKUP(_xlfn.XLOOKUP(B153,'Base stats'!B:B,'Base stats'!E:E),Groups!A:A,Groups!AU:AU)=1),
      1,
      "No"
   )
)</f>
        <v>No</v>
      </c>
      <c r="BQ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stats'!AS:AS) * 1.8) * 2) * 2.5 + 10 + I153 * 2,5)+IF(_xlfn.XLOOKUP(B153,'Base stats'!B:B,'Base stats'!AH:AH)=1,50,0)</f>
        <v>50</v>
      </c>
      <c r="BR153" s="8">
        <f t="shared" si="19"/>
        <v>0.30000000000000004</v>
      </c>
      <c r="BS153" s="8" t="str">
        <f>_xlfn.XLOOKUP(B153,'Base stats'!B:B,'Base stats'!AD:AD)</f>
        <v>No</v>
      </c>
      <c r="BT153" s="2" t="str">
        <f>IF(AND(J153&lt;=0.95,OR(_xlfn.XLOOKUP(B153,'Base stats'!B:B,'Base stats'!AH:AH)=1,_xlfn.XLOOKUP(B153,'Base stats'!B:B,'Base stats'!Y:Y)="Carnivore",_xlfn.XLOOKUP(B153,'Base stats'!B:B,'Base stats'!Y:Y)="Omnivore",BD153&gt;0.1)),"true","false")</f>
        <v>true</v>
      </c>
      <c r="BU153" s="2" t="str">
        <f>IF(_xlfn.XLOOKUP(B153,'Base stats'!B:B,'Base stats'!AF:AF)=1,"true","false")</f>
        <v>false</v>
      </c>
      <c r="BV153" s="25" t="str">
        <f>IF(E153="BaseInsect","AnimalInsect",
IF(J153&gt;0.95,"AnimalExotic",
_xlfn.TEXTJOIN(", ",TRUE,
IF(OR(_xlfn.XLOOKUP(B153,'Base stats'!B:B,'Base stats'!AJ:AJ)=1,AND(_xlfn.XLOOKUP(B153,'Base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stats'!AH:AH)=1,AND(BH153&lt;&gt;"None",BQ153&gt;=60),ISNUMBER(SEARCH("Attack target",BO153))),"AnimalFighter","")
)))</f>
        <v>AnimalCommon, AnimalPet</v>
      </c>
      <c r="BW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),_xlfn.XLOOKUP(B153,B:B,BW:BW))</f>
        <v/>
      </c>
      <c r="BX153" s="25" t="str">
        <f>IF(_xlfn.XLOOKUP(B153,'Base stats'!B:B,'Base stats'!AG:AG)=1,"true","false")</f>
        <v>false</v>
      </c>
      <c r="BY153" s="25">
        <f>IF(_xlfn.XLOOKUP(B153,'Base stats'!B:B,'Base stats'!N:N)=1,"No",MAX(0.01,MIN(MROUND(IF(OR(_xlfn.XLOOKUP(B153,'Base stats'!B:B,'Base stats'!AJ:AJ)=1,AND(BI153="True",CB153="False")),POWER(10,3.47*LOG10(_xlfn.XLOOKUP(B153,'Base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stats'!AH:AH)=1),0.5,1)/100,0.025),1)))</f>
        <v>0.1</v>
      </c>
      <c r="BZ153" s="25" t="str">
        <f>IF(P153="Standard","No",MAX(0.01,IF(_xlfn.XLOOKUP(B153,'Base stats'!B:B,'Base stats'!N:N)=0,MROUND(BY153*P153,0.05),MIN(1,MAX(0.025,MROUND(IF(OR(CB153="true",AND(BI153="false",BN153="false")),POWER(10,4.15*LOG10(_xlfn.XLOOKUP(B153,'Base stats'!B:B,'Base stats'!C:C)*1000)^-0.73),POWER(10,3.47*LOG10(_xlfn.XLOOKUP(B153,'Base stats'!B:B,'Base stats'!C:C)*1000)^-0.96))*IF(_xlfn.XLOOKUP(B153,'Base stats'!B:B,'Base stats'!AH:AH)=1,0.5,1)/100,0.025))))))</f>
        <v>No</v>
      </c>
      <c r="CA153" s="25" t="str">
        <f>IF(_xlfn.XLOOKUP(_xlfn.XLOOKUP(B153,'Base stats'!B:B,'Base stats'!E:E),Groups!A:A,Groups!AJ:AJ)="Mammal","True","False")</f>
        <v>True</v>
      </c>
      <c r="CB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C153" s="25" t="str">
        <f t="shared" si="20"/>
        <v>False</v>
      </c>
      <c r="CD153" s="25" t="str">
        <f>IF(_xlfn.XLOOKUP(_xlfn.XLOOKUP(B153,'Base stats'!B:B,'Base stats'!E:E),Groups!A:A,Groups!AX:AX),"True","False")</f>
        <v>False</v>
      </c>
      <c r="CE153" s="25" t="str">
        <f>IF(_xlfn.XLOOKUP(_xlfn.XLOOKUP(B153,'Base stats'!B:B,'Base stats'!E:E),Groups!A:A,Groups!AY:AY),"True","False")</f>
        <v>False</v>
      </c>
      <c r="CF153" s="25" t="str">
        <f>IF(_xlfn.XLOOKUP(_xlfn.XLOOKUP(B153,'Base stats'!B:B,'Base stats'!E:E),Groups!A:A,Groups!AW:AW),"True","False")</f>
        <v>False</v>
      </c>
      <c r="CG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H153" s="25" t="str">
        <f>IF(_xlfn.XLOOKUP(_xlfn.XLOOKUP(B153,'Base stats'!B:B,'Base stats'!E:E),Groups!A:A,Groups!BB:BB),"True","False")</f>
        <v>True</v>
      </c>
      <c r="CI153" s="25" t="str">
        <f>IF(_xlfn.XLOOKUP(_xlfn.XLOOKUP(B153,'Base stats'!B:B,'Base stats'!E:E),Groups!A:A,Groups!BA:BA),"True","False")</f>
        <v>False</v>
      </c>
    </row>
    <row r="154" spans="1:87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stats'!AI:AI)=0,BH154="None",_xlfn.XLOOKUP(_xlfn.XLOOKUP(B154,'Base stats'!B:B,'Base stats'!E:E),Groups!A:A,Groups!B:B)=0), (18 + BQ154 * 2.7) * 0.5,
    IF(AND(_xlfn.XLOOKUP(B154,'Base stats'!B:B,'Base stats'!AI:AI)=0,OR(AO154&lt;0.55,AND(BH154="Intermediate",_xlfn.XLOOKUP(_xlfn.XLOOKUP(B154,'Base stats'!B:B,'Base stats'!E:E),Groups!A:A,Groups!B:B)&lt;2))), (18 + BQ154 * 2.7),
      IF(OR(BH154="Advanced",_xlfn.XLOOKUP(B154,'Base stats'!B:B,'Base stats'!AI:AI)=1,_xlfn.XLOOKUP(_xlfn.XLOOKUP(B154,'Base stats'!B:B,'Base stats'!E:E),Groups!A:A,Groups!B:B)=2), (18 + BQ154 * 2.7) + 250, (18 + BQ154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IF(_xlfn.XLOOKUP(B154,'Base stats'!B:B,'Base stats'!AI:AI)=1,0.99,MIN(MROUND((1-0.6282*EXP(-0.459*AO154))*_xlfn.XLOOKUP(_xlfn.XLOOKUP(B154,'Base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W154)),ISNUMBER(SEARCH("IceSheet",BW154))),-50,IF(OR(ISNUMBER(SEARCH("GlacialPlain",BW154)),ISNUMBER(SEARCH("Tundra",BW154))),-40,IF(OR(ISNUMBER(SEARCH("Alpine",BW154)),ISNUMBER(SEARCH("BorealForest",BW154)),ISNUMBER(SEARCH("ColdBog",BW154))),-30,IF(OR(ISNUMBER(SEARCH("TemperateForest",BW154)),ISNUMBER(SEARCH("TemperateSwamp",BW154))),-20,IF(_xlfn.XLOOKUP(_xlfn.XLOOKUP(B154,'Base stats'!B:B,'Base stats'!E:E),Groups!A:A,Groups!F:F)=1,-15,IF(OR(ISNUMBER(SEARCH("Desert",BW154)),ISNUMBER(SEARCH("ExtremeDesert",BW154))),-10,IF(OR(ISNUMBER(SEARCH("Grasslands",BW154)),ISNUMBER(SEARCH("TropicalRainforest",BW154)),ISNUMBER(SEARCH("TropicalSwamp",BW154))),10,0)))))))-IF(CB154="False",MIN(IFERROR(MAX(MROUND(LOG10(_xlfn.XLOOKUP(B154,'Base stats'!B:B,'Base stats'!C:C)^(2/3))*10,5),5),5),30))-_xlfn.XLOOKUP(B154,'Base stats'!B:B,'Base stats'!P:P)+IF(CB154="True",5,0)</f>
        <v>-20</v>
      </c>
      <c r="M154" s="2">
        <f>IF(OR(_xlfn.XLOOKUP(_xlfn.XLOOKUP(B154,'Base stats'!B:B,'Base stats'!E:E),Groups!A:A,Groups!G:G)=2,ISNUMBER(SEARCH("Desert",BW154)),ISNUMBER(SEARCH("ExtremeDesert",BW154)),ISNUMBER(SEARCH("LavaField",BW154))),50,IF(ISNUMBER(SEARCH("Grasslands",BW154)),45,IF(OR(_xlfn.XLOOKUP(_xlfn.XLOOKUP(B154,'Base stats'!B:B,'Base stats'!E:E),Groups!A:A,Groups!G:G)=1,ISNUMBER(SEARCH("TropicalRainforest",BW154)),ISNUMBER(SEARCH("TropicalSwamp",BW154))),40,IF(OR(ISNUMBER(SEARCH("TemperateForest",BW154)),ISNUMBER(SEARCH("TemperateSwamp",BW154))),35,IF(OR(ISNUMBER(SEARCH("Alpine",BW154)),ISNUMBER(SEARCH("BorealForest",BW154)),ISNUMBER(SEARCH("ColdBog",BW154))),30,IF(ISNUMBER(OR(ISNUMBER(SEARCH("GlacialPlain",BW154)),SEARCH("Tundra",BW154))),25,IF(OR(ISNUMBER(SEARCH("SeaIce",BW154)),ISNUMBER(SEARCH("IceSheet",BW154)),ISNUMBER(SEARCH("TropicalSwamp",BW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stats'!AO:AO))*(AO154^0.5)+(_xlfn.XLOOKUP(B154,'Base stats'!B:B,'Base stats'!AO:AO)/1000)^(2/3)+_xlfn.XLOOKUP(B154,'Base stats'!B:B,'Base stats'!AX:AX)/2)+0.5,0.5)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stats'!AP:AP))*(AO154^0.5)+(_xlfn.XLOOKUP(B154,'Base stats'!B:B,'Base stats'!AP:AP)/1000)^(2/3)+_xlfn.XLOOKUP(B154,'Base stats'!B:B,'Base stats'!AX:AX))+_xlfn.XLOOKUP(B154,'Base stats'!B:B,'Base stats'!AV:AV)+0.5,0.5))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stats'!AR:AR))*(AO154^0.5)+(_xlfn.XLOOKUP(B154,'Base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stats'!AQ:AQ)="No","No",MROUND((LOG10(_xlfn.XLOOKUP(B154,'Base stats'!B:B,'Base stats'!AQ:AQ))*(AO154^0.75)+(_xlfn.XLOOKUP(B154,'Base stats'!B:B,'Base stats'!AQ:AQ)/1000)^(2/3)+_xlfn.XLOOKUP(B154,'Base stats'!B:B,'Base stats'!AU:AU)+_xlfn.XLOOKUP(B154,'Base stats'!B:B,'Base stats'!AX:AX))+0.5,0.5))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stats'!AP:AP))*(AO154^0.75)+(_xlfn.XLOOKUP(B154,'Base stats'!B:B,'Base stats'!AP:AP)/1000)^(2/3)+_xlfn.XLOOKUP(B154,'Base stats'!B:B,'Base stats'!AV:AV)+_xlfn.XLOOKUP(B154,'Base stats'!B:B,'Base stats'!AX:AX))+0.5,0.5))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MAX(0.01,MROUND(IF(CB154="True",0.196*(AO154*100*1000)^0.889,IF(_xlfn.XLOOKUP(_xlfn.XLOOKUP(B154,'Base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stats'!AE:AE)</f>
        <v>Leather_Light</v>
      </c>
      <c r="BB154" s="23" t="str">
        <f>_xlfn.XLOOKUP(_xlfn.XLOOKUP(B154,'Base stats'!B:B,'Base stats'!E:E),Groups!A:A,Groups!AL:AL)</f>
        <v>QuadrupedAnimalWithPawsAndTail</v>
      </c>
      <c r="BC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D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E154" s="2">
        <f>IF(J154&gt;0.3,"No",_xlfn.XLOOKUP(_xlfn.XLOOKUP(Animals!B154,'Base stats'!B:B,'Base stats'!E:E),Groups!A:A,Groups!AP:AP))</f>
        <v>1</v>
      </c>
      <c r="BF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+ 24*(1-IF(BE154="No",0,BE154)) + 16/3, 12),"No")</f>
        <v>12</v>
      </c>
      <c r="BG154" s="2">
        <f>IF(AND(_xlfn.XLOOKUP(_xlfn.XLOOKUP(B154,'Base stats'!B:B,'Base stats'!E:E),Groups!A:A,Groups!AQ:AQ)=1,AO154&lt;=0.35),8,12)</f>
        <v>12</v>
      </c>
      <c r="BH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I154" s="2" t="str">
        <f>IF(AND(_xlfn.XLOOKUP(_xlfn.XLOOKUP(B154,'Base stats'!B:B,'Base stats'!E:E),Groups!A:A,Groups!AS:AS)=1,OR('Base stats'!Y154="Carnivore",'Base stats'!Y154="Omnivore")),"true","false")</f>
        <v>true</v>
      </c>
      <c r="BJ154" s="2">
        <f>IF(BI154="true",MROUND(IF(AND(AO154&gt;0.5,OR(_xlfn.XLOOKUP(_xlfn.XLOOKUP(B154,'Base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K154" s="2">
        <f t="shared" si="17"/>
        <v>1</v>
      </c>
      <c r="BL154" s="25" t="str">
        <f>IF(_xlfn.XLOOKUP(B154,'Base stats'!B:B,'Base stats'!AK:AK)="Standard","No",MROUND((_xlfn.XLOOKUP(B154,'Base stats'!B:B,'Base stats'!AK:AK)/3.6)/I154,0.1))</f>
        <v>No</v>
      </c>
      <c r="BM154" s="25" t="str">
        <f t="shared" si="18"/>
        <v>false</v>
      </c>
      <c r="BN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O154" s="25" t="str" cm="1">
        <f t="array" ref="BO154">IF(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 = "",
  "No",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
)</f>
        <v>Comfort</v>
      </c>
      <c r="BP154" s="25" t="str">
        <f>IF(
   AND(
      'Base stats'!AK154="Standard",_xlfn.XLOOKUP(_xlfn.XLOOKUP(B154,'Base stats'!B:B,'Base stats'!E:E),Groups!A:A,Groups!AU:AU)=0,
      OR(
      BN154="True"
      )
   ),
   10,
   IF(
       OR(BL154&lt;&gt;"No",_xlfn.XLOOKUP(_xlfn.XLOOKUP(B154,'Base stats'!B:B,'Base stats'!E:E),Groups!A:A,Groups!AU:AU)=1),
      1,
      "No"
   )
)</f>
        <v>No</v>
      </c>
      <c r="BQ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stats'!AS:AS) * 1.8) * 2) * 2.5 + 10 + I154 * 2,5)+IF(_xlfn.XLOOKUP(B154,'Base stats'!B:B,'Base stats'!AH:AH)=1,50,0)</f>
        <v>45</v>
      </c>
      <c r="BR154" s="8">
        <f t="shared" si="19"/>
        <v>0.25</v>
      </c>
      <c r="BS154" s="8" t="str">
        <f>_xlfn.XLOOKUP(B154,'Base stats'!B:B,'Base stats'!AD:AD)</f>
        <v>No</v>
      </c>
      <c r="BT154" s="2" t="str">
        <f>IF(AND(J154&lt;=0.95,OR(_xlfn.XLOOKUP(B154,'Base stats'!B:B,'Base stats'!AH:AH)=1,_xlfn.XLOOKUP(B154,'Base stats'!B:B,'Base stats'!Y:Y)="Carnivore",_xlfn.XLOOKUP(B154,'Base stats'!B:B,'Base stats'!Y:Y)="Omnivore",BD154&gt;0.1)),"true","false")</f>
        <v>true</v>
      </c>
      <c r="BU154" s="2" t="str">
        <f>IF(_xlfn.XLOOKUP(B154,'Base stats'!B:B,'Base stats'!AF:AF)=1,"true","false")</f>
        <v>false</v>
      </c>
      <c r="BV154" s="25" t="str">
        <f>IF(E154="BaseInsect","AnimalInsect",
IF(J154&gt;0.95,"AnimalExotic",
_xlfn.TEXTJOIN(", ",TRUE,
IF(OR(_xlfn.XLOOKUP(B154,'Base stats'!B:B,'Base stats'!AJ:AJ)=1,AND(_xlfn.XLOOKUP(B154,'Base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stats'!AH:AH)=1,AND(BH154&lt;&gt;"None",BQ154&gt;=60),ISNUMBER(SEARCH("Attack target",BO154))),"AnimalFighter","")
)))</f>
        <v>AnimalCommon, AnimalPet</v>
      </c>
      <c r="BW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),_xlfn.XLOOKUP(B154,B:B,BW:BW))</f>
        <v/>
      </c>
      <c r="BX154" s="25" t="str">
        <f>IF(_xlfn.XLOOKUP(B154,'Base stats'!B:B,'Base stats'!AG:AG)=1,"true","false")</f>
        <v>false</v>
      </c>
      <c r="BY154" s="25">
        <f>IF(_xlfn.XLOOKUP(B154,'Base stats'!B:B,'Base stats'!N:N)=1,"No",MAX(0.01,MIN(MROUND(IF(OR(_xlfn.XLOOKUP(B154,'Base stats'!B:B,'Base stats'!AJ:AJ)=1,AND(BI154="True",CB154="False")),POWER(10,3.47*LOG10(_xlfn.XLOOKUP(B154,'Base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stats'!AH:AH)=1),0.5,1)/100,0.025),1)))</f>
        <v>0.1</v>
      </c>
      <c r="BZ154" s="25" t="str">
        <f>IF(P154="Standard","No",MAX(0.01,IF(_xlfn.XLOOKUP(B154,'Base stats'!B:B,'Base stats'!N:N)=0,MROUND(BY154*P154,0.05),MIN(1,MAX(0.025,MROUND(IF(OR(CB154="true",AND(BI154="false",BN154="false")),POWER(10,4.15*LOG10(_xlfn.XLOOKUP(B154,'Base stats'!B:B,'Base stats'!C:C)*1000)^-0.73),POWER(10,3.47*LOG10(_xlfn.XLOOKUP(B154,'Base stats'!B:B,'Base stats'!C:C)*1000)^-0.96))*IF(_xlfn.XLOOKUP(B154,'Base stats'!B:B,'Base stats'!AH:AH)=1,0.5,1)/100,0.025))))))</f>
        <v>No</v>
      </c>
      <c r="CA154" s="25" t="str">
        <f>IF(_xlfn.XLOOKUP(_xlfn.XLOOKUP(B154,'Base stats'!B:B,'Base stats'!E:E),Groups!A:A,Groups!AJ:AJ)="Mammal","True","False")</f>
        <v>True</v>
      </c>
      <c r="CB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C154" s="25" t="str">
        <f t="shared" si="20"/>
        <v>False</v>
      </c>
      <c r="CD154" s="25" t="str">
        <f>IF(_xlfn.XLOOKUP(_xlfn.XLOOKUP(B154,'Base stats'!B:B,'Base stats'!E:E),Groups!A:A,Groups!AX:AX),"True","False")</f>
        <v>False</v>
      </c>
      <c r="CE154" s="25" t="str">
        <f>IF(_xlfn.XLOOKUP(_xlfn.XLOOKUP(B154,'Base stats'!B:B,'Base stats'!E:E),Groups!A:A,Groups!AY:AY),"True","False")</f>
        <v>False</v>
      </c>
      <c r="CF154" s="25" t="str">
        <f>IF(_xlfn.XLOOKUP(_xlfn.XLOOKUP(B154,'Base stats'!B:B,'Base stats'!E:E),Groups!A:A,Groups!AW:AW),"True","False")</f>
        <v>False</v>
      </c>
      <c r="CG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H154" s="25" t="str">
        <f>IF(_xlfn.XLOOKUP(_xlfn.XLOOKUP(B154,'Base stats'!B:B,'Base stats'!E:E),Groups!A:A,Groups!BB:BB),"True","False")</f>
        <v>True</v>
      </c>
      <c r="CI154" s="25" t="str">
        <f>IF(_xlfn.XLOOKUP(_xlfn.XLOOKUP(B154,'Base stats'!B:B,'Base stats'!E:E),Groups!A:A,Groups!BA:BA),"True","False")</f>
        <v>False</v>
      </c>
    </row>
    <row r="155" spans="1:87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stats'!AI:AI)=0,BH155="None",_xlfn.XLOOKUP(_xlfn.XLOOKUP(B155,'Base stats'!B:B,'Base stats'!E:E),Groups!A:A,Groups!B:B)=0), (18 + BQ155 * 2.7) * 0.5,
    IF(AND(_xlfn.XLOOKUP(B155,'Base stats'!B:B,'Base stats'!AI:AI)=0,OR(AO155&lt;0.55,AND(BH155="Intermediate",_xlfn.XLOOKUP(_xlfn.XLOOKUP(B155,'Base stats'!B:B,'Base stats'!E:E),Groups!A:A,Groups!B:B)&lt;2))), (18 + BQ155 * 2.7),
      IF(OR(BH155="Advanced",_xlfn.XLOOKUP(B155,'Base stats'!B:B,'Base stats'!AI:AI)=1,_xlfn.XLOOKUP(_xlfn.XLOOKUP(B155,'Base stats'!B:B,'Base stats'!E:E),Groups!A:A,Groups!B:B)=2), (18 + BQ155 * 2.7) + 250, (18 + BQ155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IF(_xlfn.XLOOKUP(B155,'Base stats'!B:B,'Base stats'!AI:AI)=1,0.99,MIN(MROUND((1-0.6282*EXP(-0.459*AO155))*_xlfn.XLOOKUP(_xlfn.XLOOKUP(B155,'Base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W155)),ISNUMBER(SEARCH("IceSheet",BW155))),-50,IF(OR(ISNUMBER(SEARCH("GlacialPlain",BW155)),ISNUMBER(SEARCH("Tundra",BW155))),-40,IF(OR(ISNUMBER(SEARCH("Alpine",BW155)),ISNUMBER(SEARCH("BorealForest",BW155)),ISNUMBER(SEARCH("ColdBog",BW155))),-30,IF(OR(ISNUMBER(SEARCH("TemperateForest",BW155)),ISNUMBER(SEARCH("TemperateSwamp",BW155))),-20,IF(_xlfn.XLOOKUP(_xlfn.XLOOKUP(B155,'Base stats'!B:B,'Base stats'!E:E),Groups!A:A,Groups!F:F)=1,-15,IF(OR(ISNUMBER(SEARCH("Desert",BW155)),ISNUMBER(SEARCH("ExtremeDesert",BW155))),-10,IF(OR(ISNUMBER(SEARCH("Grasslands",BW155)),ISNUMBER(SEARCH("TropicalRainforest",BW155)),ISNUMBER(SEARCH("TropicalSwamp",BW155))),10,0)))))))-IF(CB155="False",MIN(IFERROR(MAX(MROUND(LOG10(_xlfn.XLOOKUP(B155,'Base stats'!B:B,'Base stats'!C:C)^(2/3))*10,5),5),5),30))-_xlfn.XLOOKUP(B155,'Base stats'!B:B,'Base stats'!P:P)+IF(CB155="True",5,0)</f>
        <v>-30</v>
      </c>
      <c r="M155" s="2">
        <f>IF(OR(_xlfn.XLOOKUP(_xlfn.XLOOKUP(B155,'Base stats'!B:B,'Base stats'!E:E),Groups!A:A,Groups!G:G)=2,ISNUMBER(SEARCH("Desert",BW155)),ISNUMBER(SEARCH("ExtremeDesert",BW155)),ISNUMBER(SEARCH("LavaField",BW155))),50,IF(ISNUMBER(SEARCH("Grasslands",BW155)),45,IF(OR(_xlfn.XLOOKUP(_xlfn.XLOOKUP(B155,'Base stats'!B:B,'Base stats'!E:E),Groups!A:A,Groups!G:G)=1,ISNUMBER(SEARCH("TropicalRainforest",BW155)),ISNUMBER(SEARCH("TropicalSwamp",BW155))),40,IF(OR(ISNUMBER(SEARCH("TemperateForest",BW155)),ISNUMBER(SEARCH("TemperateSwamp",BW155))),35,IF(OR(ISNUMBER(SEARCH("Alpine",BW155)),ISNUMBER(SEARCH("BorealForest",BW155)),ISNUMBER(SEARCH("ColdBog",BW155))),30,IF(ISNUMBER(OR(ISNUMBER(SEARCH("GlacialPlain",BW155)),SEARCH("Tundra",BW155))),25,IF(OR(ISNUMBER(SEARCH("SeaIce",BW155)),ISNUMBER(SEARCH("IceSheet",BW155)),ISNUMBER(SEARCH("TropicalSwamp",BW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stats'!AO:AO))*(AO155^0.5)+(_xlfn.XLOOKUP(B155,'Base stats'!B:B,'Base stats'!AO:AO)/1000)^(2/3)+_xlfn.XLOOKUP(B155,'Base stats'!B:B,'Base stats'!AX:AX)/2)+0.5,0.5)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stats'!AP:AP))*(AO155^0.5)+(_xlfn.XLOOKUP(B155,'Base stats'!B:B,'Base stats'!AP:AP)/1000)^(2/3)+_xlfn.XLOOKUP(B155,'Base stats'!B:B,'Base stats'!AX:AX))+_xlfn.XLOOKUP(B155,'Base stats'!B:B,'Base stats'!AV:AV)+0.5,0.5))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stats'!AR:AR))*(AO155^0.5)+(_xlfn.XLOOKUP(B155,'Base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stats'!AQ:AQ)="No","No",MROUND((LOG10(_xlfn.XLOOKUP(B155,'Base stats'!B:B,'Base stats'!AQ:AQ))*(AO155^0.75)+(_xlfn.XLOOKUP(B155,'Base stats'!B:B,'Base stats'!AQ:AQ)/1000)^(2/3)+_xlfn.XLOOKUP(B155,'Base stats'!B:B,'Base stats'!AU:AU)+_xlfn.XLOOKUP(B155,'Base stats'!B:B,'Base stats'!AX:AX))+0.5,0.5))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stats'!AP:AP))*(AO155^0.75)+(_xlfn.XLOOKUP(B155,'Base stats'!B:B,'Base stats'!AP:AP)/1000)^(2/3)+_xlfn.XLOOKUP(B155,'Base stats'!B:B,'Base stats'!AV:AV)+_xlfn.XLOOKUP(B155,'Base stats'!B:B,'Base stats'!AX:AX))+0.5,0.5))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MAX(0.01,MROUND(IF(CB155="True",0.196*(AO155*100*1000)^0.889,IF(_xlfn.XLOOKUP(_xlfn.XLOOKUP(B155,'Base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stats'!AE:AE)</f>
        <v>Leather_Light</v>
      </c>
      <c r="BB155" s="23" t="str">
        <f>_xlfn.XLOOKUP(_xlfn.XLOOKUP(B155,'Base stats'!B:B,'Base stats'!E:E),Groups!A:A,Groups!AL:AL)</f>
        <v>QuadrupedAnimalWithPawsAndTail</v>
      </c>
      <c r="BC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D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E155" s="2">
        <f>IF(J155&gt;0.3,"No",_xlfn.XLOOKUP(_xlfn.XLOOKUP(Animals!B155,'Base stats'!B:B,'Base stats'!E:E),Groups!A:A,Groups!AP:AP))</f>
        <v>1</v>
      </c>
      <c r="BF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+ 24*(1-IF(BE155="No",0,BE155)) + 16/3, 12),"No")</f>
        <v>12</v>
      </c>
      <c r="BG155" s="2">
        <f>IF(AND(_xlfn.XLOOKUP(_xlfn.XLOOKUP(B155,'Base stats'!B:B,'Base stats'!E:E),Groups!A:A,Groups!AQ:AQ)=1,AO155&lt;=0.35),8,12)</f>
        <v>12</v>
      </c>
      <c r="BH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I155" s="2" t="str">
        <f>IF(AND(_xlfn.XLOOKUP(_xlfn.XLOOKUP(B155,'Base stats'!B:B,'Base stats'!E:E),Groups!A:A,Groups!AS:AS)=1,OR('Base stats'!Y155="Carnivore",'Base stats'!Y155="Omnivore")),"true","false")</f>
        <v>true</v>
      </c>
      <c r="BJ155" s="2">
        <f>IF(BI155="true",MROUND(IF(AND(AO155&gt;0.5,OR(_xlfn.XLOOKUP(_xlfn.XLOOKUP(B155,'Base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K155" s="2">
        <f t="shared" si="17"/>
        <v>1</v>
      </c>
      <c r="BL155" s="25" t="str">
        <f>IF(_xlfn.XLOOKUP(B155,'Base stats'!B:B,'Base stats'!AK:AK)="Standard","No",MROUND((_xlfn.XLOOKUP(B155,'Base stats'!B:B,'Base stats'!AK:AK)/3.6)/I155,0.1))</f>
        <v>No</v>
      </c>
      <c r="BM155" s="25" t="str">
        <f t="shared" si="18"/>
        <v>false</v>
      </c>
      <c r="BN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O155" s="25" t="str" cm="1">
        <f t="array" ref="BO155">IF(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 = "",
  "No",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
)</f>
        <v>Comfort</v>
      </c>
      <c r="BP155" s="25" t="str">
        <f>IF(
   AND(
      'Base stats'!AK155="Standard",_xlfn.XLOOKUP(_xlfn.XLOOKUP(B155,'Base stats'!B:B,'Base stats'!E:E),Groups!A:A,Groups!AU:AU)=0,
      OR(
      BN155="True"
      )
   ),
   10,
   IF(
       OR(BL155&lt;&gt;"No",_xlfn.XLOOKUP(_xlfn.XLOOKUP(B155,'Base stats'!B:B,'Base stats'!E:E),Groups!A:A,Groups!AU:AU)=1),
      1,
      "No"
   )
)</f>
        <v>No</v>
      </c>
      <c r="BQ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stats'!AS:AS) * 1.8) * 2) * 2.5 + 10 + I155 * 2,5)+IF(_xlfn.XLOOKUP(B155,'Base stats'!B:B,'Base stats'!AH:AH)=1,50,0)</f>
        <v>50</v>
      </c>
      <c r="BR155" s="8">
        <f t="shared" si="19"/>
        <v>0.30000000000000004</v>
      </c>
      <c r="BS155" s="8" t="str">
        <f>_xlfn.XLOOKUP(B155,'Base stats'!B:B,'Base stats'!AD:AD)</f>
        <v>No</v>
      </c>
      <c r="BT155" s="2" t="str">
        <f>IF(AND(J155&lt;=0.95,OR(_xlfn.XLOOKUP(B155,'Base stats'!B:B,'Base stats'!AH:AH)=1,_xlfn.XLOOKUP(B155,'Base stats'!B:B,'Base stats'!Y:Y)="Carnivore",_xlfn.XLOOKUP(B155,'Base stats'!B:B,'Base stats'!Y:Y)="Omnivore",BD155&gt;0.1)),"true","false")</f>
        <v>true</v>
      </c>
      <c r="BU155" s="2" t="str">
        <f>IF(_xlfn.XLOOKUP(B155,'Base stats'!B:B,'Base stats'!AF:AF)=1,"true","false")</f>
        <v>false</v>
      </c>
      <c r="BV155" s="25" t="str">
        <f>IF(E155="BaseInsect","AnimalInsect",
IF(J155&gt;0.95,"AnimalExotic",
_xlfn.TEXTJOIN(", ",TRUE,
IF(OR(_xlfn.XLOOKUP(B155,'Base stats'!B:B,'Base stats'!AJ:AJ)=1,AND(_xlfn.XLOOKUP(B155,'Base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stats'!AH:AH)=1,AND(BH155&lt;&gt;"None",BQ155&gt;=60),ISNUMBER(SEARCH("Attack target",BO155))),"AnimalFighter","")
)))</f>
        <v>AnimalCommon, AnimalPet</v>
      </c>
      <c r="BW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),_xlfn.XLOOKUP(B155,B:B,BW:BW))</f>
        <v/>
      </c>
      <c r="BX155" s="25" t="str">
        <f>IF(_xlfn.XLOOKUP(B155,'Base stats'!B:B,'Base stats'!AG:AG)=1,"true","false")</f>
        <v>false</v>
      </c>
      <c r="BY155" s="25">
        <f>IF(_xlfn.XLOOKUP(B155,'Base stats'!B:B,'Base stats'!N:N)=1,"No",MAX(0.01,MIN(MROUND(IF(OR(_xlfn.XLOOKUP(B155,'Base stats'!B:B,'Base stats'!AJ:AJ)=1,AND(BI155="True",CB155="False")),POWER(10,3.47*LOG10(_xlfn.XLOOKUP(B155,'Base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stats'!AH:AH)=1),0.5,1)/100,0.025),1)))</f>
        <v>0.1</v>
      </c>
      <c r="BZ155" s="25" t="str">
        <f>IF(P155="Standard","No",MAX(0.01,IF(_xlfn.XLOOKUP(B155,'Base stats'!B:B,'Base stats'!N:N)=0,MROUND(BY155*P155,0.05),MIN(1,MAX(0.025,MROUND(IF(OR(CB155="true",AND(BI155="false",BN155="false")),POWER(10,4.15*LOG10(_xlfn.XLOOKUP(B155,'Base stats'!B:B,'Base stats'!C:C)*1000)^-0.73),POWER(10,3.47*LOG10(_xlfn.XLOOKUP(B155,'Base stats'!B:B,'Base stats'!C:C)*1000)^-0.96))*IF(_xlfn.XLOOKUP(B155,'Base stats'!B:B,'Base stats'!AH:AH)=1,0.5,1)/100,0.025))))))</f>
        <v>No</v>
      </c>
      <c r="CA155" s="25" t="str">
        <f>IF(_xlfn.XLOOKUP(_xlfn.XLOOKUP(B155,'Base stats'!B:B,'Base stats'!E:E),Groups!A:A,Groups!AJ:AJ)="Mammal","True","False")</f>
        <v>True</v>
      </c>
      <c r="CB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C155" s="25" t="str">
        <f t="shared" si="20"/>
        <v>False</v>
      </c>
      <c r="CD155" s="25" t="str">
        <f>IF(_xlfn.XLOOKUP(_xlfn.XLOOKUP(B155,'Base stats'!B:B,'Base stats'!E:E),Groups!A:A,Groups!AX:AX),"True","False")</f>
        <v>False</v>
      </c>
      <c r="CE155" s="25" t="str">
        <f>IF(_xlfn.XLOOKUP(_xlfn.XLOOKUP(B155,'Base stats'!B:B,'Base stats'!E:E),Groups!A:A,Groups!AY:AY),"True","False")</f>
        <v>False</v>
      </c>
      <c r="CF155" s="25" t="str">
        <f>IF(_xlfn.XLOOKUP(_xlfn.XLOOKUP(B155,'Base stats'!B:B,'Base stats'!E:E),Groups!A:A,Groups!AW:AW),"True","False")</f>
        <v>False</v>
      </c>
      <c r="CG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H155" s="25" t="str">
        <f>IF(_xlfn.XLOOKUP(_xlfn.XLOOKUP(B155,'Base stats'!B:B,'Base stats'!E:E),Groups!A:A,Groups!BB:BB),"True","False")</f>
        <v>True</v>
      </c>
      <c r="CI155" s="25" t="str">
        <f>IF(_xlfn.XLOOKUP(_xlfn.XLOOKUP(B155,'Base stats'!B:B,'Base stats'!E:E),Groups!A:A,Groups!BA:BA),"True","False")</f>
        <v>False</v>
      </c>
    </row>
    <row r="156" spans="1:87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stats'!AI:AI)=0,BH156="None",_xlfn.XLOOKUP(_xlfn.XLOOKUP(B156,'Base stats'!B:B,'Base stats'!E:E),Groups!A:A,Groups!B:B)=0), (18 + BQ156 * 2.7) * 0.5,
    IF(AND(_xlfn.XLOOKUP(B156,'Base stats'!B:B,'Base stats'!AI:AI)=0,OR(AO156&lt;0.55,AND(BH156="Intermediate",_xlfn.XLOOKUP(_xlfn.XLOOKUP(B156,'Base stats'!B:B,'Base stats'!E:E),Groups!A:A,Groups!B:B)&lt;2))), (18 + BQ156 * 2.7),
      IF(OR(BH156="Advanced",_xlfn.XLOOKUP(B156,'Base stats'!B:B,'Base stats'!AI:AI)=1,_xlfn.XLOOKUP(_xlfn.XLOOKUP(B156,'Base stats'!B:B,'Base stats'!E:E),Groups!A:A,Groups!B:B)=2), (18 + BQ156 * 2.7) + 250, (18 + BQ156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IF(_xlfn.XLOOKUP(B156,'Base stats'!B:B,'Base stats'!AI:AI)=1,0.99,MIN(MROUND((1-0.6282*EXP(-0.459*AO156))*_xlfn.XLOOKUP(_xlfn.XLOOKUP(B156,'Base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W156)),ISNUMBER(SEARCH("IceSheet",BW156))),-50,IF(OR(ISNUMBER(SEARCH("GlacialPlain",BW156)),ISNUMBER(SEARCH("Tundra",BW156))),-40,IF(OR(ISNUMBER(SEARCH("Alpine",BW156)),ISNUMBER(SEARCH("BorealForest",BW156)),ISNUMBER(SEARCH("ColdBog",BW156))),-30,IF(OR(ISNUMBER(SEARCH("TemperateForest",BW156)),ISNUMBER(SEARCH("TemperateSwamp",BW156))),-20,IF(_xlfn.XLOOKUP(_xlfn.XLOOKUP(B156,'Base stats'!B:B,'Base stats'!E:E),Groups!A:A,Groups!F:F)=1,-15,IF(OR(ISNUMBER(SEARCH("Desert",BW156)),ISNUMBER(SEARCH("ExtremeDesert",BW156))),-10,IF(OR(ISNUMBER(SEARCH("Grasslands",BW156)),ISNUMBER(SEARCH("TropicalRainforest",BW156)),ISNUMBER(SEARCH("TropicalSwamp",BW156))),10,0)))))))-IF(CB156="False",MIN(IFERROR(MAX(MROUND(LOG10(_xlfn.XLOOKUP(B156,'Base stats'!B:B,'Base stats'!C:C)^(2/3))*10,5),5),5),30))-_xlfn.XLOOKUP(B156,'Base stats'!B:B,'Base stats'!P:P)+IF(CB156="True",5,0)</f>
        <v>-20</v>
      </c>
      <c r="M156" s="2">
        <f>IF(OR(_xlfn.XLOOKUP(_xlfn.XLOOKUP(B156,'Base stats'!B:B,'Base stats'!E:E),Groups!A:A,Groups!G:G)=2,ISNUMBER(SEARCH("Desert",BW156)),ISNUMBER(SEARCH("ExtremeDesert",BW156)),ISNUMBER(SEARCH("LavaField",BW156))),50,IF(ISNUMBER(SEARCH("Grasslands",BW156)),45,IF(OR(_xlfn.XLOOKUP(_xlfn.XLOOKUP(B156,'Base stats'!B:B,'Base stats'!E:E),Groups!A:A,Groups!G:G)=1,ISNUMBER(SEARCH("TropicalRainforest",BW156)),ISNUMBER(SEARCH("TropicalSwamp",BW156))),40,IF(OR(ISNUMBER(SEARCH("TemperateForest",BW156)),ISNUMBER(SEARCH("TemperateSwamp",BW156))),35,IF(OR(ISNUMBER(SEARCH("Alpine",BW156)),ISNUMBER(SEARCH("BorealForest",BW156)),ISNUMBER(SEARCH("ColdBog",BW156))),30,IF(ISNUMBER(OR(ISNUMBER(SEARCH("GlacialPlain",BW156)),SEARCH("Tundra",BW156))),25,IF(OR(ISNUMBER(SEARCH("SeaIce",BW156)),ISNUMBER(SEARCH("IceSheet",BW156)),ISNUMBER(SEARCH("TropicalSwamp",BW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stats'!AO:AO))*(AO156^0.5)+(_xlfn.XLOOKUP(B156,'Base stats'!B:B,'Base stats'!AO:AO)/1000)^(2/3)+_xlfn.XLOOKUP(B156,'Base stats'!B:B,'Base stats'!AX:AX)/2)+0.5,0.5)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stats'!AP:AP))*(AO156^0.5)+(_xlfn.XLOOKUP(B156,'Base stats'!B:B,'Base stats'!AP:AP)/1000)^(2/3)+_xlfn.XLOOKUP(B156,'Base stats'!B:B,'Base stats'!AX:AX))+_xlfn.XLOOKUP(B156,'Base stats'!B:B,'Base stats'!AV:AV)+0.5,0.5))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stats'!AR:AR))*(AO156^0.5)+(_xlfn.XLOOKUP(B156,'Base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stats'!AQ:AQ)="No","No",MROUND((LOG10(_xlfn.XLOOKUP(B156,'Base stats'!B:B,'Base stats'!AQ:AQ))*(AO156^0.75)+(_xlfn.XLOOKUP(B156,'Base stats'!B:B,'Base stats'!AQ:AQ)/1000)^(2/3)+_xlfn.XLOOKUP(B156,'Base stats'!B:B,'Base stats'!AU:AU)+_xlfn.XLOOKUP(B156,'Base stats'!B:B,'Base stats'!AX:AX))+0.5,0.5))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stats'!AP:AP))*(AO156^0.75)+(_xlfn.XLOOKUP(B156,'Base stats'!B:B,'Base stats'!AP:AP)/1000)^(2/3)+_xlfn.XLOOKUP(B156,'Base stats'!B:B,'Base stats'!AV:AV)+_xlfn.XLOOKUP(B156,'Base stats'!B:B,'Base stats'!AX:AX))+0.5,0.5))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MAX(0.01,MROUND(IF(CB156="True",0.196*(AO156*100*1000)^0.889,IF(_xlfn.XLOOKUP(_xlfn.XLOOKUP(B156,'Base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stats'!AE:AE)</f>
        <v>Leather_Light</v>
      </c>
      <c r="BB156" s="23" t="str">
        <f>_xlfn.XLOOKUP(_xlfn.XLOOKUP(B156,'Base stats'!B:B,'Base stats'!E:E),Groups!A:A,Groups!AL:AL)</f>
        <v>QuadrupedAnimalWithPawsAndTail</v>
      </c>
      <c r="BC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D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E156" s="2">
        <f>IF(J156&gt;0.3,"No",_xlfn.XLOOKUP(_xlfn.XLOOKUP(Animals!B156,'Base stats'!B:B,'Base stats'!E:E),Groups!A:A,Groups!AP:AP))</f>
        <v>1</v>
      </c>
      <c r="BF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+ 24*(1-IF(BE156="No",0,BE156)) + 16/3, 12),"No")</f>
        <v>12</v>
      </c>
      <c r="BG156" s="2">
        <f>IF(AND(_xlfn.XLOOKUP(_xlfn.XLOOKUP(B156,'Base stats'!B:B,'Base stats'!E:E),Groups!A:A,Groups!AQ:AQ)=1,AO156&lt;=0.35),8,12)</f>
        <v>12</v>
      </c>
      <c r="BH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I156" s="2" t="str">
        <f>IF(AND(_xlfn.XLOOKUP(_xlfn.XLOOKUP(B156,'Base stats'!B:B,'Base stats'!E:E),Groups!A:A,Groups!AS:AS)=1,OR('Base stats'!Y156="Carnivore",'Base stats'!Y156="Omnivore")),"true","false")</f>
        <v>true</v>
      </c>
      <c r="BJ156" s="2">
        <f>IF(BI156="true",MROUND(IF(AND(AO156&gt;0.5,OR(_xlfn.XLOOKUP(_xlfn.XLOOKUP(B156,'Base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K156" s="2">
        <f t="shared" si="17"/>
        <v>1</v>
      </c>
      <c r="BL156" s="25" t="str">
        <f>IF(_xlfn.XLOOKUP(B156,'Base stats'!B:B,'Base stats'!AK:AK)="Standard","No",MROUND((_xlfn.XLOOKUP(B156,'Base stats'!B:B,'Base stats'!AK:AK)/3.6)/I156,0.1))</f>
        <v>No</v>
      </c>
      <c r="BM156" s="25" t="str">
        <f t="shared" si="18"/>
        <v>false</v>
      </c>
      <c r="BN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O156" s="25" t="str" cm="1">
        <f t="array" ref="BO156">IF(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 = "",
  "No",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
)</f>
        <v>Comfort</v>
      </c>
      <c r="BP156" s="25" t="str">
        <f>IF(
   AND(
      'Base stats'!AK156="Standard",_xlfn.XLOOKUP(_xlfn.XLOOKUP(B156,'Base stats'!B:B,'Base stats'!E:E),Groups!A:A,Groups!AU:AU)=0,
      OR(
      BN156="True"
      )
   ),
   10,
   IF(
       OR(BL156&lt;&gt;"No",_xlfn.XLOOKUP(_xlfn.XLOOKUP(B156,'Base stats'!B:B,'Base stats'!E:E),Groups!A:A,Groups!AU:AU)=1),
      1,
      "No"
   )
)</f>
        <v>No</v>
      </c>
      <c r="BQ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stats'!AS:AS) * 1.8) * 2) * 2.5 + 10 + I156 * 2,5)+IF(_xlfn.XLOOKUP(B156,'Base stats'!B:B,'Base stats'!AH:AH)=1,50,0)</f>
        <v>45</v>
      </c>
      <c r="BR156" s="8">
        <f t="shared" si="19"/>
        <v>0.25</v>
      </c>
      <c r="BS156" s="8" t="str">
        <f>_xlfn.XLOOKUP(B156,'Base stats'!B:B,'Base stats'!AD:AD)</f>
        <v>No</v>
      </c>
      <c r="BT156" s="2" t="str">
        <f>IF(AND(J156&lt;=0.95,OR(_xlfn.XLOOKUP(B156,'Base stats'!B:B,'Base stats'!AH:AH)=1,_xlfn.XLOOKUP(B156,'Base stats'!B:B,'Base stats'!Y:Y)="Carnivore",_xlfn.XLOOKUP(B156,'Base stats'!B:B,'Base stats'!Y:Y)="Omnivore",BD156&gt;0.1)),"true","false")</f>
        <v>true</v>
      </c>
      <c r="BU156" s="2" t="str">
        <f>IF(_xlfn.XLOOKUP(B156,'Base stats'!B:B,'Base stats'!AF:AF)=1,"true","false")</f>
        <v>false</v>
      </c>
      <c r="BV156" s="25" t="str">
        <f>IF(E156="BaseInsect","AnimalInsect",
IF(J156&gt;0.95,"AnimalExotic",
_xlfn.TEXTJOIN(", ",TRUE,
IF(OR(_xlfn.XLOOKUP(B156,'Base stats'!B:B,'Base stats'!AJ:AJ)=1,AND(_xlfn.XLOOKUP(B156,'Base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stats'!AH:AH)=1,AND(BH156&lt;&gt;"None",BQ156&gt;=60),ISNUMBER(SEARCH("Attack target",BO156))),"AnimalFighter","")
)))</f>
        <v>AnimalCommon, AnimalPet</v>
      </c>
      <c r="BW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),_xlfn.XLOOKUP(B156,B:B,BW:BW))</f>
        <v/>
      </c>
      <c r="BX156" s="25" t="str">
        <f>IF(_xlfn.XLOOKUP(B156,'Base stats'!B:B,'Base stats'!AG:AG)=1,"true","false")</f>
        <v>false</v>
      </c>
      <c r="BY156" s="25">
        <f>IF(_xlfn.XLOOKUP(B156,'Base stats'!B:B,'Base stats'!N:N)=1,"No",MAX(0.01,MIN(MROUND(IF(OR(_xlfn.XLOOKUP(B156,'Base stats'!B:B,'Base stats'!AJ:AJ)=1,AND(BI156="True",CB156="False")),POWER(10,3.47*LOG10(_xlfn.XLOOKUP(B156,'Base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stats'!AH:AH)=1),0.5,1)/100,0.025),1)))</f>
        <v>0.1</v>
      </c>
      <c r="BZ156" s="25" t="str">
        <f>IF(P156="Standard","No",MAX(0.01,IF(_xlfn.XLOOKUP(B156,'Base stats'!B:B,'Base stats'!N:N)=0,MROUND(BY156*P156,0.05),MIN(1,MAX(0.025,MROUND(IF(OR(CB156="true",AND(BI156="false",BN156="false")),POWER(10,4.15*LOG10(_xlfn.XLOOKUP(B156,'Base stats'!B:B,'Base stats'!C:C)*1000)^-0.73),POWER(10,3.47*LOG10(_xlfn.XLOOKUP(B156,'Base stats'!B:B,'Base stats'!C:C)*1000)^-0.96))*IF(_xlfn.XLOOKUP(B156,'Base stats'!B:B,'Base stats'!AH:AH)=1,0.5,1)/100,0.025))))))</f>
        <v>No</v>
      </c>
      <c r="CA156" s="25" t="str">
        <f>IF(_xlfn.XLOOKUP(_xlfn.XLOOKUP(B156,'Base stats'!B:B,'Base stats'!E:E),Groups!A:A,Groups!AJ:AJ)="Mammal","True","False")</f>
        <v>True</v>
      </c>
      <c r="CB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C156" s="25" t="str">
        <f t="shared" si="20"/>
        <v>False</v>
      </c>
      <c r="CD156" s="25" t="str">
        <f>IF(_xlfn.XLOOKUP(_xlfn.XLOOKUP(B156,'Base stats'!B:B,'Base stats'!E:E),Groups!A:A,Groups!AX:AX),"True","False")</f>
        <v>False</v>
      </c>
      <c r="CE156" s="25" t="str">
        <f>IF(_xlfn.XLOOKUP(_xlfn.XLOOKUP(B156,'Base stats'!B:B,'Base stats'!E:E),Groups!A:A,Groups!AY:AY),"True","False")</f>
        <v>False</v>
      </c>
      <c r="CF156" s="25" t="str">
        <f>IF(_xlfn.XLOOKUP(_xlfn.XLOOKUP(B156,'Base stats'!B:B,'Base stats'!E:E),Groups!A:A,Groups!AW:AW),"True","False")</f>
        <v>False</v>
      </c>
      <c r="CG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H156" s="25" t="str">
        <f>IF(_xlfn.XLOOKUP(_xlfn.XLOOKUP(B156,'Base stats'!B:B,'Base stats'!E:E),Groups!A:A,Groups!BB:BB),"True","False")</f>
        <v>True</v>
      </c>
      <c r="CI156" s="25" t="str">
        <f>IF(_xlfn.XLOOKUP(_xlfn.XLOOKUP(B156,'Base stats'!B:B,'Base stats'!E:E),Groups!A:A,Groups!BA:BA),"True","False")</f>
        <v>False</v>
      </c>
    </row>
    <row r="157" spans="1:87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stats'!AI:AI)=0,BH157="None",_xlfn.XLOOKUP(_xlfn.XLOOKUP(B157,'Base stats'!B:B,'Base stats'!E:E),Groups!A:A,Groups!B:B)=0), (18 + BQ157 * 2.7) * 0.5,
    IF(AND(_xlfn.XLOOKUP(B157,'Base stats'!B:B,'Base stats'!AI:AI)=0,OR(AO157&lt;0.55,AND(BH157="Intermediate",_xlfn.XLOOKUP(_xlfn.XLOOKUP(B157,'Base stats'!B:B,'Base stats'!E:E),Groups!A:A,Groups!B:B)&lt;2))), (18 + BQ157 * 2.7),
      IF(OR(BH157="Advanced",_xlfn.XLOOKUP(B157,'Base stats'!B:B,'Base stats'!AI:AI)=1,_xlfn.XLOOKUP(_xlfn.XLOOKUP(B157,'Base stats'!B:B,'Base stats'!E:E),Groups!A:A,Groups!B:B)=2), (18 + BQ157 * 2.7) + 250, (18 + BQ157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IF(_xlfn.XLOOKUP(B157,'Base stats'!B:B,'Base stats'!AI:AI)=1,0.99,MIN(MROUND((1-0.6282*EXP(-0.459*AO157))*_xlfn.XLOOKUP(_xlfn.XLOOKUP(B157,'Base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W157)),ISNUMBER(SEARCH("IceSheet",BW157))),-50,IF(OR(ISNUMBER(SEARCH("GlacialPlain",BW157)),ISNUMBER(SEARCH("Tundra",BW157))),-40,IF(OR(ISNUMBER(SEARCH("Alpine",BW157)),ISNUMBER(SEARCH("BorealForest",BW157)),ISNUMBER(SEARCH("ColdBog",BW157))),-30,IF(OR(ISNUMBER(SEARCH("TemperateForest",BW157)),ISNUMBER(SEARCH("TemperateSwamp",BW157))),-20,IF(_xlfn.XLOOKUP(_xlfn.XLOOKUP(B157,'Base stats'!B:B,'Base stats'!E:E),Groups!A:A,Groups!F:F)=1,-15,IF(OR(ISNUMBER(SEARCH("Desert",BW157)),ISNUMBER(SEARCH("ExtremeDesert",BW157))),-10,IF(OR(ISNUMBER(SEARCH("Grasslands",BW157)),ISNUMBER(SEARCH("TropicalRainforest",BW157)),ISNUMBER(SEARCH("TropicalSwamp",BW157))),10,0)))))))-IF(CB157="False",MIN(IFERROR(MAX(MROUND(LOG10(_xlfn.XLOOKUP(B157,'Base stats'!B:B,'Base stats'!C:C)^(2/3))*10,5),5),5),30))-_xlfn.XLOOKUP(B157,'Base stats'!B:B,'Base stats'!P:P)+IF(CB157="True",5,0)</f>
        <v>-20</v>
      </c>
      <c r="M157" s="2">
        <f>IF(OR(_xlfn.XLOOKUP(_xlfn.XLOOKUP(B157,'Base stats'!B:B,'Base stats'!E:E),Groups!A:A,Groups!G:G)=2,ISNUMBER(SEARCH("Desert",BW157)),ISNUMBER(SEARCH("ExtremeDesert",BW157)),ISNUMBER(SEARCH("LavaField",BW157))),50,IF(ISNUMBER(SEARCH("Grasslands",BW157)),45,IF(OR(_xlfn.XLOOKUP(_xlfn.XLOOKUP(B157,'Base stats'!B:B,'Base stats'!E:E),Groups!A:A,Groups!G:G)=1,ISNUMBER(SEARCH("TropicalRainforest",BW157)),ISNUMBER(SEARCH("TropicalSwamp",BW157))),40,IF(OR(ISNUMBER(SEARCH("TemperateForest",BW157)),ISNUMBER(SEARCH("TemperateSwamp",BW157))),35,IF(OR(ISNUMBER(SEARCH("Alpine",BW157)),ISNUMBER(SEARCH("BorealForest",BW157)),ISNUMBER(SEARCH("ColdBog",BW157))),30,IF(ISNUMBER(OR(ISNUMBER(SEARCH("GlacialPlain",BW157)),SEARCH("Tundra",BW157))),25,IF(OR(ISNUMBER(SEARCH("SeaIce",BW157)),ISNUMBER(SEARCH("IceSheet",BW157)),ISNUMBER(SEARCH("TropicalSwamp",BW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stats'!AO:AO))*(AO157^0.5)+(_xlfn.XLOOKUP(B157,'Base stats'!B:B,'Base stats'!AO:AO)/1000)^(2/3)+_xlfn.XLOOKUP(B157,'Base stats'!B:B,'Base stats'!AX:AX)/2)+0.5,0.5)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stats'!AP:AP))*(AO157^0.5)+(_xlfn.XLOOKUP(B157,'Base stats'!B:B,'Base stats'!AP:AP)/1000)^(2/3)+_xlfn.XLOOKUP(B157,'Base stats'!B:B,'Base stats'!AX:AX))+_xlfn.XLOOKUP(B157,'Base stats'!B:B,'Base stats'!AV:AV)+0.5,0.5))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stats'!AR:AR))*(AO157^0.5)+(_xlfn.XLOOKUP(B157,'Base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stats'!AQ:AQ)="No","No",MROUND((LOG10(_xlfn.XLOOKUP(B157,'Base stats'!B:B,'Base stats'!AQ:AQ))*(AO157^0.75)+(_xlfn.XLOOKUP(B157,'Base stats'!B:B,'Base stats'!AQ:AQ)/1000)^(2/3)+_xlfn.XLOOKUP(B157,'Base stats'!B:B,'Base stats'!AU:AU)+_xlfn.XLOOKUP(B157,'Base stats'!B:B,'Base stats'!AX:AX))+0.5,0.5))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stats'!AP:AP))*(AO157^0.75)+(_xlfn.XLOOKUP(B157,'Base stats'!B:B,'Base stats'!AP:AP)/1000)^(2/3)+_xlfn.XLOOKUP(B157,'Base stats'!B:B,'Base stats'!AV:AV)+_xlfn.XLOOKUP(B157,'Base stats'!B:B,'Base stats'!AX:AX))+0.5,0.5))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MAX(0.01,MROUND(IF(CB157="True",0.196*(AO157*100*1000)^0.889,IF(_xlfn.XLOOKUP(_xlfn.XLOOKUP(B157,'Base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stats'!AE:AE)</f>
        <v>Leather_Light</v>
      </c>
      <c r="BB157" s="23" t="str">
        <f>_xlfn.XLOOKUP(_xlfn.XLOOKUP(B157,'Base stats'!B:B,'Base stats'!E:E),Groups!A:A,Groups!AL:AL)</f>
        <v>QuadrupedAnimalWithPawsAndTail</v>
      </c>
      <c r="BC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D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E157" s="2">
        <f>IF(J157&gt;0.3,"No",_xlfn.XLOOKUP(_xlfn.XLOOKUP(Animals!B157,'Base stats'!B:B,'Base stats'!E:E),Groups!A:A,Groups!AP:AP))</f>
        <v>1</v>
      </c>
      <c r="BF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+ 24*(1-IF(BE157="No",0,BE157)) + 16/3, 12),"No")</f>
        <v>12</v>
      </c>
      <c r="BG157" s="2">
        <f>IF(AND(_xlfn.XLOOKUP(_xlfn.XLOOKUP(B157,'Base stats'!B:B,'Base stats'!E:E),Groups!A:A,Groups!AQ:AQ)=1,AO157&lt;=0.35),8,12)</f>
        <v>12</v>
      </c>
      <c r="BH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I157" s="2" t="str">
        <f>IF(AND(_xlfn.XLOOKUP(_xlfn.XLOOKUP(B157,'Base stats'!B:B,'Base stats'!E:E),Groups!A:A,Groups!AS:AS)=1,OR('Base stats'!Y157="Carnivore",'Base stats'!Y157="Omnivore")),"true","false")</f>
        <v>true</v>
      </c>
      <c r="BJ157" s="2">
        <f>IF(BI157="true",MROUND(IF(AND(AO157&gt;0.5,OR(_xlfn.XLOOKUP(_xlfn.XLOOKUP(B157,'Base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K157" s="2">
        <f t="shared" si="17"/>
        <v>1</v>
      </c>
      <c r="BL157" s="25" t="str">
        <f>IF(_xlfn.XLOOKUP(B157,'Base stats'!B:B,'Base stats'!AK:AK)="Standard","No",MROUND((_xlfn.XLOOKUP(B157,'Base stats'!B:B,'Base stats'!AK:AK)/3.6)/I157,0.1))</f>
        <v>No</v>
      </c>
      <c r="BM157" s="25" t="str">
        <f t="shared" si="18"/>
        <v>false</v>
      </c>
      <c r="BN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O157" s="25" t="str" cm="1">
        <f t="array" ref="BO157">IF(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 = "",
  "No",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
)</f>
        <v>Comfort</v>
      </c>
      <c r="BP157" s="25" t="str">
        <f>IF(
   AND(
      'Base stats'!AK157="Standard",_xlfn.XLOOKUP(_xlfn.XLOOKUP(B157,'Base stats'!B:B,'Base stats'!E:E),Groups!A:A,Groups!AU:AU)=0,
      OR(
      BN157="True"
      )
   ),
   10,
   IF(
       OR(BL157&lt;&gt;"No",_xlfn.XLOOKUP(_xlfn.XLOOKUP(B157,'Base stats'!B:B,'Base stats'!E:E),Groups!A:A,Groups!AU:AU)=1),
      1,
      "No"
   )
)</f>
        <v>No</v>
      </c>
      <c r="BQ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stats'!AS:AS) * 1.8) * 2) * 2.5 + 10 + I157 * 2,5)+IF(_xlfn.XLOOKUP(B157,'Base stats'!B:B,'Base stats'!AH:AH)=1,50,0)</f>
        <v>45</v>
      </c>
      <c r="BR157" s="8">
        <f t="shared" si="19"/>
        <v>0.30000000000000004</v>
      </c>
      <c r="BS157" s="8" t="str">
        <f>_xlfn.XLOOKUP(B157,'Base stats'!B:B,'Base stats'!AD:AD)</f>
        <v>No</v>
      </c>
      <c r="BT157" s="2" t="str">
        <f>IF(AND(J157&lt;=0.95,OR(_xlfn.XLOOKUP(B157,'Base stats'!B:B,'Base stats'!AH:AH)=1,_xlfn.XLOOKUP(B157,'Base stats'!B:B,'Base stats'!Y:Y)="Carnivore",_xlfn.XLOOKUP(B157,'Base stats'!B:B,'Base stats'!Y:Y)="Omnivore",BD157&gt;0.1)),"true","false")</f>
        <v>true</v>
      </c>
      <c r="BU157" s="2" t="str">
        <f>IF(_xlfn.XLOOKUP(B157,'Base stats'!B:B,'Base stats'!AF:AF)=1,"true","false")</f>
        <v>false</v>
      </c>
      <c r="BV157" s="25" t="str">
        <f>IF(E157="BaseInsect","AnimalInsect",
IF(J157&gt;0.95,"AnimalExotic",
_xlfn.TEXTJOIN(", ",TRUE,
IF(OR(_xlfn.XLOOKUP(B157,'Base stats'!B:B,'Base stats'!AJ:AJ)=1,AND(_xlfn.XLOOKUP(B157,'Base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stats'!AH:AH)=1,AND(BH157&lt;&gt;"None",BQ157&gt;=60),ISNUMBER(SEARCH("Attack target",BO157))),"AnimalFighter","")
)))</f>
        <v>AnimalCommon, AnimalPet</v>
      </c>
      <c r="BW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),_xlfn.XLOOKUP(B157,B:B,BW:BW))</f>
        <v/>
      </c>
      <c r="BX157" s="25" t="str">
        <f>IF(_xlfn.XLOOKUP(B157,'Base stats'!B:B,'Base stats'!AG:AG)=1,"true","false")</f>
        <v>false</v>
      </c>
      <c r="BY157" s="25">
        <f>IF(_xlfn.XLOOKUP(B157,'Base stats'!B:B,'Base stats'!N:N)=1,"No",MAX(0.01,MIN(MROUND(IF(OR(_xlfn.XLOOKUP(B157,'Base stats'!B:B,'Base stats'!AJ:AJ)=1,AND(BI157="True",CB157="False")),POWER(10,3.47*LOG10(_xlfn.XLOOKUP(B157,'Base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stats'!AH:AH)=1),0.5,1)/100,0.025),1)))</f>
        <v>0.1</v>
      </c>
      <c r="BZ157" s="25" t="str">
        <f>IF(P157="Standard","No",MAX(0.01,IF(_xlfn.XLOOKUP(B157,'Base stats'!B:B,'Base stats'!N:N)=0,MROUND(BY157*P157,0.05),MIN(1,MAX(0.025,MROUND(IF(OR(CB157="true",AND(BI157="false",BN157="false")),POWER(10,4.15*LOG10(_xlfn.XLOOKUP(B157,'Base stats'!B:B,'Base stats'!C:C)*1000)^-0.73),POWER(10,3.47*LOG10(_xlfn.XLOOKUP(B157,'Base stats'!B:B,'Base stats'!C:C)*1000)^-0.96))*IF(_xlfn.XLOOKUP(B157,'Base stats'!B:B,'Base stats'!AH:AH)=1,0.5,1)/100,0.025))))))</f>
        <v>No</v>
      </c>
      <c r="CA157" s="25" t="str">
        <f>IF(_xlfn.XLOOKUP(_xlfn.XLOOKUP(B157,'Base stats'!B:B,'Base stats'!E:E),Groups!A:A,Groups!AJ:AJ)="Mammal","True","False")</f>
        <v>True</v>
      </c>
      <c r="CB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C157" s="25" t="str">
        <f t="shared" si="20"/>
        <v>False</v>
      </c>
      <c r="CD157" s="25" t="str">
        <f>IF(_xlfn.XLOOKUP(_xlfn.XLOOKUP(B157,'Base stats'!B:B,'Base stats'!E:E),Groups!A:A,Groups!AX:AX),"True","False")</f>
        <v>False</v>
      </c>
      <c r="CE157" s="25" t="str">
        <f>IF(_xlfn.XLOOKUP(_xlfn.XLOOKUP(B157,'Base stats'!B:B,'Base stats'!E:E),Groups!A:A,Groups!AY:AY),"True","False")</f>
        <v>False</v>
      </c>
      <c r="CF157" s="25" t="str">
        <f>IF(_xlfn.XLOOKUP(_xlfn.XLOOKUP(B157,'Base stats'!B:B,'Base stats'!E:E),Groups!A:A,Groups!AW:AW),"True","False")</f>
        <v>False</v>
      </c>
      <c r="CG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H157" s="25" t="str">
        <f>IF(_xlfn.XLOOKUP(_xlfn.XLOOKUP(B157,'Base stats'!B:B,'Base stats'!E:E),Groups!A:A,Groups!BB:BB),"True","False")</f>
        <v>True</v>
      </c>
      <c r="CI157" s="25" t="str">
        <f>IF(_xlfn.XLOOKUP(_xlfn.XLOOKUP(B157,'Base stats'!B:B,'Base stats'!E:E),Groups!A:A,Groups!BA:BA),"True","False")</f>
        <v>False</v>
      </c>
    </row>
    <row r="158" spans="1:87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stats'!AI:AI)=0,BH158="None",_xlfn.XLOOKUP(_xlfn.XLOOKUP(B158,'Base stats'!B:B,'Base stats'!E:E),Groups!A:A,Groups!B:B)=0), (18 + BQ158 * 2.7) * 0.5,
    IF(AND(_xlfn.XLOOKUP(B158,'Base stats'!B:B,'Base stats'!AI:AI)=0,OR(AO158&lt;0.55,AND(BH158="Intermediate",_xlfn.XLOOKUP(_xlfn.XLOOKUP(B158,'Base stats'!B:B,'Base stats'!E:E),Groups!A:A,Groups!B:B)&lt;2))), (18 + BQ158 * 2.7),
      IF(OR(BH158="Advanced",_xlfn.XLOOKUP(B158,'Base stats'!B:B,'Base stats'!AI:AI)=1,_xlfn.XLOOKUP(_xlfn.XLOOKUP(B158,'Base stats'!B:B,'Base stats'!E:E),Groups!A:A,Groups!B:B)=2), (18 + BQ158 * 2.7) + 250, (18 + BQ158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IF(_xlfn.XLOOKUP(B158,'Base stats'!B:B,'Base stats'!AI:AI)=1,0.99,MIN(MROUND((1-0.6282*EXP(-0.459*AO158))*_xlfn.XLOOKUP(_xlfn.XLOOKUP(B158,'Base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W158)),ISNUMBER(SEARCH("IceSheet",BW158))),-50,IF(OR(ISNUMBER(SEARCH("GlacialPlain",BW158)),ISNUMBER(SEARCH("Tundra",BW158))),-40,IF(OR(ISNUMBER(SEARCH("Alpine",BW158)),ISNUMBER(SEARCH("BorealForest",BW158)),ISNUMBER(SEARCH("ColdBog",BW158))),-30,IF(OR(ISNUMBER(SEARCH("TemperateForest",BW158)),ISNUMBER(SEARCH("TemperateSwamp",BW158))),-20,IF(_xlfn.XLOOKUP(_xlfn.XLOOKUP(B158,'Base stats'!B:B,'Base stats'!E:E),Groups!A:A,Groups!F:F)=1,-15,IF(OR(ISNUMBER(SEARCH("Desert",BW158)),ISNUMBER(SEARCH("ExtremeDesert",BW158))),-10,IF(OR(ISNUMBER(SEARCH("Grasslands",BW158)),ISNUMBER(SEARCH("TropicalRainforest",BW158)),ISNUMBER(SEARCH("TropicalSwamp",BW158))),10,0)))))))-IF(CB158="False",MIN(IFERROR(MAX(MROUND(LOG10(_xlfn.XLOOKUP(B158,'Base stats'!B:B,'Base stats'!C:C)^(2/3))*10,5),5),5),30))-_xlfn.XLOOKUP(B158,'Base stats'!B:B,'Base stats'!P:P)+IF(CB158="True",5,0)</f>
        <v>-20</v>
      </c>
      <c r="M158" s="2">
        <f>IF(OR(_xlfn.XLOOKUP(_xlfn.XLOOKUP(B158,'Base stats'!B:B,'Base stats'!E:E),Groups!A:A,Groups!G:G)=2,ISNUMBER(SEARCH("Desert",BW158)),ISNUMBER(SEARCH("ExtremeDesert",BW158)),ISNUMBER(SEARCH("LavaField",BW158))),50,IF(ISNUMBER(SEARCH("Grasslands",BW158)),45,IF(OR(_xlfn.XLOOKUP(_xlfn.XLOOKUP(B158,'Base stats'!B:B,'Base stats'!E:E),Groups!A:A,Groups!G:G)=1,ISNUMBER(SEARCH("TropicalRainforest",BW158)),ISNUMBER(SEARCH("TropicalSwamp",BW158))),40,IF(OR(ISNUMBER(SEARCH("TemperateForest",BW158)),ISNUMBER(SEARCH("TemperateSwamp",BW158))),35,IF(OR(ISNUMBER(SEARCH("Alpine",BW158)),ISNUMBER(SEARCH("BorealForest",BW158)),ISNUMBER(SEARCH("ColdBog",BW158))),30,IF(ISNUMBER(OR(ISNUMBER(SEARCH("GlacialPlain",BW158)),SEARCH("Tundra",BW158))),25,IF(OR(ISNUMBER(SEARCH("SeaIce",BW158)),ISNUMBER(SEARCH("IceSheet",BW158)),ISNUMBER(SEARCH("TropicalSwamp",BW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stats'!AO:AO))*(AO158^0.5)+(_xlfn.XLOOKUP(B158,'Base stats'!B:B,'Base stats'!AO:AO)/1000)^(2/3)+_xlfn.XLOOKUP(B158,'Base stats'!B:B,'Base stats'!AX:AX)/2)+0.5,0.5)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stats'!AP:AP))*(AO158^0.5)+(_xlfn.XLOOKUP(B158,'Base stats'!B:B,'Base stats'!AP:AP)/1000)^(2/3)+_xlfn.XLOOKUP(B158,'Base stats'!B:B,'Base stats'!AX:AX))+_xlfn.XLOOKUP(B158,'Base stats'!B:B,'Base stats'!AV:AV)+0.5,0.5))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stats'!AR:AR))*(AO158^0.5)+(_xlfn.XLOOKUP(B158,'Base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stats'!AQ:AQ)="No","No",MROUND((LOG10(_xlfn.XLOOKUP(B158,'Base stats'!B:B,'Base stats'!AQ:AQ))*(AO158^0.75)+(_xlfn.XLOOKUP(B158,'Base stats'!B:B,'Base stats'!AQ:AQ)/1000)^(2/3)+_xlfn.XLOOKUP(B158,'Base stats'!B:B,'Base stats'!AU:AU)+_xlfn.XLOOKUP(B158,'Base stats'!B:B,'Base stats'!AX:AX))+0.5,0.5))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stats'!AP:AP))*(AO158^0.75)+(_xlfn.XLOOKUP(B158,'Base stats'!B:B,'Base stats'!AP:AP)/1000)^(2/3)+_xlfn.XLOOKUP(B158,'Base stats'!B:B,'Base stats'!AV:AV)+_xlfn.XLOOKUP(B158,'Base stats'!B:B,'Base stats'!AX:AX))+0.5,0.5))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MAX(0.01,MROUND(IF(CB158="True",0.196*(AO158*100*1000)^0.889,IF(_xlfn.XLOOKUP(_xlfn.XLOOKUP(B158,'Base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stats'!AE:AE)</f>
        <v>Leather_Light</v>
      </c>
      <c r="BB158" s="23" t="str">
        <f>_xlfn.XLOOKUP(_xlfn.XLOOKUP(B158,'Base stats'!B:B,'Base stats'!E:E),Groups!A:A,Groups!AL:AL)</f>
        <v>QuadrupedAnimalWithPawsAndTail</v>
      </c>
      <c r="BC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D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E158" s="2">
        <f>IF(J158&gt;0.3,"No",_xlfn.XLOOKUP(_xlfn.XLOOKUP(Animals!B158,'Base stats'!B:B,'Base stats'!E:E),Groups!A:A,Groups!AP:AP))</f>
        <v>1</v>
      </c>
      <c r="BF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+ 24*(1-IF(BE158="No",0,BE158)) + 16/3, 12),"No")</f>
        <v>12</v>
      </c>
      <c r="BG158" s="2">
        <f>IF(AND(_xlfn.XLOOKUP(_xlfn.XLOOKUP(B158,'Base stats'!B:B,'Base stats'!E:E),Groups!A:A,Groups!AQ:AQ)=1,AO158&lt;=0.35),8,12)</f>
        <v>12</v>
      </c>
      <c r="BH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I158" s="2" t="str">
        <f>IF(AND(_xlfn.XLOOKUP(_xlfn.XLOOKUP(B158,'Base stats'!B:B,'Base stats'!E:E),Groups!A:A,Groups!AS:AS)=1,OR('Base stats'!Y158="Carnivore",'Base stats'!Y158="Omnivore")),"true","false")</f>
        <v>true</v>
      </c>
      <c r="BJ158" s="2">
        <f>IF(BI158="true",MROUND(IF(AND(AO158&gt;0.5,OR(_xlfn.XLOOKUP(_xlfn.XLOOKUP(B158,'Base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K158" s="2">
        <f t="shared" si="17"/>
        <v>1</v>
      </c>
      <c r="BL158" s="25" t="str">
        <f>IF(_xlfn.XLOOKUP(B158,'Base stats'!B:B,'Base stats'!AK:AK)="Standard","No",MROUND((_xlfn.XLOOKUP(B158,'Base stats'!B:B,'Base stats'!AK:AK)/3.6)/I158,0.1))</f>
        <v>No</v>
      </c>
      <c r="BM158" s="25" t="str">
        <f t="shared" si="18"/>
        <v>false</v>
      </c>
      <c r="BN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O158" s="25" t="str" cm="1">
        <f t="array" ref="BO158">IF(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 = "",
  "No",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
)</f>
        <v>Comfort</v>
      </c>
      <c r="BP158" s="25" t="str">
        <f>IF(
   AND(
      'Base stats'!AK158="Standard",_xlfn.XLOOKUP(_xlfn.XLOOKUP(B158,'Base stats'!B:B,'Base stats'!E:E),Groups!A:A,Groups!AU:AU)=0,
      OR(
      BN158="True"
      )
   ),
   10,
   IF(
       OR(BL158&lt;&gt;"No",_xlfn.XLOOKUP(_xlfn.XLOOKUP(B158,'Base stats'!B:B,'Base stats'!E:E),Groups!A:A,Groups!AU:AU)=1),
      1,
      "No"
   )
)</f>
        <v>No</v>
      </c>
      <c r="BQ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stats'!AS:AS) * 1.8) * 2) * 2.5 + 10 + I158 * 2,5)+IF(_xlfn.XLOOKUP(B158,'Base stats'!B:B,'Base stats'!AH:AH)=1,50,0)</f>
        <v>45</v>
      </c>
      <c r="BR158" s="8">
        <f t="shared" si="19"/>
        <v>0.30000000000000004</v>
      </c>
      <c r="BS158" s="8" t="str">
        <f>_xlfn.XLOOKUP(B158,'Base stats'!B:B,'Base stats'!AD:AD)</f>
        <v>No</v>
      </c>
      <c r="BT158" s="2" t="str">
        <f>IF(AND(J158&lt;=0.95,OR(_xlfn.XLOOKUP(B158,'Base stats'!B:B,'Base stats'!AH:AH)=1,_xlfn.XLOOKUP(B158,'Base stats'!B:B,'Base stats'!Y:Y)="Carnivore",_xlfn.XLOOKUP(B158,'Base stats'!B:B,'Base stats'!Y:Y)="Omnivore",BD158&gt;0.1)),"true","false")</f>
        <v>true</v>
      </c>
      <c r="BU158" s="2" t="str">
        <f>IF(_xlfn.XLOOKUP(B158,'Base stats'!B:B,'Base stats'!AF:AF)=1,"true","false")</f>
        <v>false</v>
      </c>
      <c r="BV158" s="25" t="str">
        <f>IF(E158="BaseInsect","AnimalInsect",
IF(J158&gt;0.95,"AnimalExotic",
_xlfn.TEXTJOIN(", ",TRUE,
IF(OR(_xlfn.XLOOKUP(B158,'Base stats'!B:B,'Base stats'!AJ:AJ)=1,AND(_xlfn.XLOOKUP(B158,'Base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stats'!AH:AH)=1,AND(BH158&lt;&gt;"None",BQ158&gt;=60),ISNUMBER(SEARCH("Attack target",BO158))),"AnimalFighter","")
)))</f>
        <v>AnimalCommon, AnimalPet</v>
      </c>
      <c r="BW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),_xlfn.XLOOKUP(B158,B:B,BW:BW))</f>
        <v/>
      </c>
      <c r="BX158" s="25" t="str">
        <f>IF(_xlfn.XLOOKUP(B158,'Base stats'!B:B,'Base stats'!AG:AG)=1,"true","false")</f>
        <v>false</v>
      </c>
      <c r="BY158" s="25">
        <f>IF(_xlfn.XLOOKUP(B158,'Base stats'!B:B,'Base stats'!N:N)=1,"No",MAX(0.01,MIN(MROUND(IF(OR(_xlfn.XLOOKUP(B158,'Base stats'!B:B,'Base stats'!AJ:AJ)=1,AND(BI158="True",CB158="False")),POWER(10,3.47*LOG10(_xlfn.XLOOKUP(B158,'Base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stats'!AH:AH)=1),0.5,1)/100,0.025),1)))</f>
        <v>0.1</v>
      </c>
      <c r="BZ158" s="25" t="str">
        <f>IF(P158="Standard","No",MAX(0.01,IF(_xlfn.XLOOKUP(B158,'Base stats'!B:B,'Base stats'!N:N)=0,MROUND(BY158*P158,0.05),MIN(1,MAX(0.025,MROUND(IF(OR(CB158="true",AND(BI158="false",BN158="false")),POWER(10,4.15*LOG10(_xlfn.XLOOKUP(B158,'Base stats'!B:B,'Base stats'!C:C)*1000)^-0.73),POWER(10,3.47*LOG10(_xlfn.XLOOKUP(B158,'Base stats'!B:B,'Base stats'!C:C)*1000)^-0.96))*IF(_xlfn.XLOOKUP(B158,'Base stats'!B:B,'Base stats'!AH:AH)=1,0.5,1)/100,0.025))))))</f>
        <v>No</v>
      </c>
      <c r="CA158" s="25" t="str">
        <f>IF(_xlfn.XLOOKUP(_xlfn.XLOOKUP(B158,'Base stats'!B:B,'Base stats'!E:E),Groups!A:A,Groups!AJ:AJ)="Mammal","True","False")</f>
        <v>True</v>
      </c>
      <c r="CB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C158" s="25" t="str">
        <f t="shared" si="20"/>
        <v>False</v>
      </c>
      <c r="CD158" s="25" t="str">
        <f>IF(_xlfn.XLOOKUP(_xlfn.XLOOKUP(B158,'Base stats'!B:B,'Base stats'!E:E),Groups!A:A,Groups!AX:AX),"True","False")</f>
        <v>False</v>
      </c>
      <c r="CE158" s="25" t="str">
        <f>IF(_xlfn.XLOOKUP(_xlfn.XLOOKUP(B158,'Base stats'!B:B,'Base stats'!E:E),Groups!A:A,Groups!AY:AY),"True","False")</f>
        <v>False</v>
      </c>
      <c r="CF158" s="25" t="str">
        <f>IF(_xlfn.XLOOKUP(_xlfn.XLOOKUP(B158,'Base stats'!B:B,'Base stats'!E:E),Groups!A:A,Groups!AW:AW),"True","False")</f>
        <v>False</v>
      </c>
      <c r="CG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H158" s="25" t="str">
        <f>IF(_xlfn.XLOOKUP(_xlfn.XLOOKUP(B158,'Base stats'!B:B,'Base stats'!E:E),Groups!A:A,Groups!BB:BB),"True","False")</f>
        <v>True</v>
      </c>
      <c r="CI158" s="25" t="str">
        <f>IF(_xlfn.XLOOKUP(_xlfn.XLOOKUP(B158,'Base stats'!B:B,'Base stats'!E:E),Groups!A:A,Groups!BA:BA),"True","False")</f>
        <v>False</v>
      </c>
    </row>
    <row r="159" spans="1:87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stats'!AI:AI)=0,BH159="None",_xlfn.XLOOKUP(_xlfn.XLOOKUP(B159,'Base stats'!B:B,'Base stats'!E:E),Groups!A:A,Groups!B:B)=0), (18 + BQ159 * 2.7) * 0.5,
    IF(AND(_xlfn.XLOOKUP(B159,'Base stats'!B:B,'Base stats'!AI:AI)=0,OR(AO159&lt;0.55,AND(BH159="Intermediate",_xlfn.XLOOKUP(_xlfn.XLOOKUP(B159,'Base stats'!B:B,'Base stats'!E:E),Groups!A:A,Groups!B:B)&lt;2))), (18 + BQ159 * 2.7),
      IF(OR(BH159="Advanced",_xlfn.XLOOKUP(B159,'Base stats'!B:B,'Base stats'!AI:AI)=1,_xlfn.XLOOKUP(_xlfn.XLOOKUP(B159,'Base stats'!B:B,'Base stats'!E:E),Groups!A:A,Groups!B:B)=2), (18 + BQ159 * 2.7) + 250, (18 + BQ159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IF(_xlfn.XLOOKUP(B159,'Base stats'!B:B,'Base stats'!AI:AI)=1,0.99,MIN(MROUND((1-0.6282*EXP(-0.459*AO159))*_xlfn.XLOOKUP(_xlfn.XLOOKUP(B159,'Base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W159)),ISNUMBER(SEARCH("IceSheet",BW159))),-50,IF(OR(ISNUMBER(SEARCH("GlacialPlain",BW159)),ISNUMBER(SEARCH("Tundra",BW159))),-40,IF(OR(ISNUMBER(SEARCH("Alpine",BW159)),ISNUMBER(SEARCH("BorealForest",BW159)),ISNUMBER(SEARCH("ColdBog",BW159))),-30,IF(OR(ISNUMBER(SEARCH("TemperateForest",BW159)),ISNUMBER(SEARCH("TemperateSwamp",BW159))),-20,IF(_xlfn.XLOOKUP(_xlfn.XLOOKUP(B159,'Base stats'!B:B,'Base stats'!E:E),Groups!A:A,Groups!F:F)=1,-15,IF(OR(ISNUMBER(SEARCH("Desert",BW159)),ISNUMBER(SEARCH("ExtremeDesert",BW159))),-10,IF(OR(ISNUMBER(SEARCH("Grasslands",BW159)),ISNUMBER(SEARCH("TropicalRainforest",BW159)),ISNUMBER(SEARCH("TropicalSwamp",BW159))),10,0)))))))-IF(CB159="False",MIN(IFERROR(MAX(MROUND(LOG10(_xlfn.XLOOKUP(B159,'Base stats'!B:B,'Base stats'!C:C)^(2/3))*10,5),5),5),30))-_xlfn.XLOOKUP(B159,'Base stats'!B:B,'Base stats'!P:P)+IF(CB159="True",5,0)</f>
        <v>0</v>
      </c>
      <c r="M159" s="2">
        <f>IF(OR(_xlfn.XLOOKUP(_xlfn.XLOOKUP(B159,'Base stats'!B:B,'Base stats'!E:E),Groups!A:A,Groups!G:G)=2,ISNUMBER(SEARCH("Desert",BW159)),ISNUMBER(SEARCH("ExtremeDesert",BW159)),ISNUMBER(SEARCH("LavaField",BW159))),50,IF(ISNUMBER(SEARCH("Grasslands",BW159)),45,IF(OR(_xlfn.XLOOKUP(_xlfn.XLOOKUP(B159,'Base stats'!B:B,'Base stats'!E:E),Groups!A:A,Groups!G:G)=1,ISNUMBER(SEARCH("TropicalRainforest",BW159)),ISNUMBER(SEARCH("TropicalSwamp",BW159))),40,IF(OR(ISNUMBER(SEARCH("TemperateForest",BW159)),ISNUMBER(SEARCH("TemperateSwamp",BW159))),35,IF(OR(ISNUMBER(SEARCH("Alpine",BW159)),ISNUMBER(SEARCH("BorealForest",BW159)),ISNUMBER(SEARCH("ColdBog",BW159))),30,IF(ISNUMBER(OR(ISNUMBER(SEARCH("GlacialPlain",BW159)),SEARCH("Tundra",BW159))),25,IF(OR(ISNUMBER(SEARCH("SeaIce",BW159)),ISNUMBER(SEARCH("IceSheet",BW159)),ISNUMBER(SEARCH("TropicalSwamp",BW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stats'!AO:AO))*(AO159^0.5)+(_xlfn.XLOOKUP(B159,'Base stats'!B:B,'Base stats'!AO:AO)/1000)^(2/3)+_xlfn.XLOOKUP(B159,'Base stats'!B:B,'Base stats'!AX:AX)/2)+0.5,0.5)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stats'!AP:AP))*(AO159^0.5)+(_xlfn.XLOOKUP(B159,'Base stats'!B:B,'Base stats'!AP:AP)/1000)^(2/3)+_xlfn.XLOOKUP(B159,'Base stats'!B:B,'Base stats'!AX:AX))+_xlfn.XLOOKUP(B159,'Base stats'!B:B,'Base stats'!AV:AV)+0.5,0.5))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stats'!AR:AR))*(AO159^0.5)+(_xlfn.XLOOKUP(B159,'Base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stats'!AQ:AQ)="No","No",MROUND((LOG10(_xlfn.XLOOKUP(B159,'Base stats'!B:B,'Base stats'!AQ:AQ))*(AO159^0.75)+(_xlfn.XLOOKUP(B159,'Base stats'!B:B,'Base stats'!AQ:AQ)/1000)^(2/3)+_xlfn.XLOOKUP(B159,'Base stats'!B:B,'Base stats'!AU:AU)+_xlfn.XLOOKUP(B159,'Base stats'!B:B,'Base stats'!AX:AX))+0.5,0.5))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stats'!AP:AP))*(AO159^0.75)+(_xlfn.XLOOKUP(B159,'Base stats'!B:B,'Base stats'!AP:AP)/1000)^(2/3)+_xlfn.XLOOKUP(B159,'Base stats'!B:B,'Base stats'!AV:AV)+_xlfn.XLOOKUP(B159,'Base stats'!B:B,'Base stats'!AX:AX))+0.5,0.5))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MAX(0.01,MROUND(IF(CB159="True",0.196*(AO159*100*1000)^0.889,IF(_xlfn.XLOOKUP(_xlfn.XLOOKUP(B159,'Base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stats'!AE:AE)</f>
        <v>Leather_Light</v>
      </c>
      <c r="BB159" s="23" t="str">
        <f>_xlfn.XLOOKUP(_xlfn.XLOOKUP(B159,'Base stats'!B:B,'Base stats'!E:E),Groups!A:A,Groups!AL:AL)</f>
        <v>QuadrupedAnimalWithPawsAndTail</v>
      </c>
      <c r="BC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D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E159" s="2">
        <f>IF(J159&gt;0.3,"No",_xlfn.XLOOKUP(_xlfn.XLOOKUP(Animals!B159,'Base stats'!B:B,'Base stats'!E:E),Groups!A:A,Groups!AP:AP))</f>
        <v>1</v>
      </c>
      <c r="BF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+ 24*(1-IF(BE159="No",0,BE159)) + 16/3, 12),"No")</f>
        <v>12</v>
      </c>
      <c r="BG159" s="2">
        <f>IF(AND(_xlfn.XLOOKUP(_xlfn.XLOOKUP(B159,'Base stats'!B:B,'Base stats'!E:E),Groups!A:A,Groups!AQ:AQ)=1,AO159&lt;=0.35),8,12)</f>
        <v>12</v>
      </c>
      <c r="BH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I159" s="2" t="str">
        <f>IF(AND(_xlfn.XLOOKUP(_xlfn.XLOOKUP(B159,'Base stats'!B:B,'Base stats'!E:E),Groups!A:A,Groups!AS:AS)=1,OR('Base stats'!Y159="Carnivore",'Base stats'!Y159="Omnivore")),"true","false")</f>
        <v>true</v>
      </c>
      <c r="BJ159" s="2">
        <f>IF(BI159="true",MROUND(IF(AND(AO159&gt;0.5,OR(_xlfn.XLOOKUP(_xlfn.XLOOKUP(B159,'Base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K159" s="2">
        <f t="shared" si="17"/>
        <v>1</v>
      </c>
      <c r="BL159" s="25" t="str">
        <f>IF(_xlfn.XLOOKUP(B159,'Base stats'!B:B,'Base stats'!AK:AK)="Standard","No",MROUND((_xlfn.XLOOKUP(B159,'Base stats'!B:B,'Base stats'!AK:AK)/3.6)/I159,0.1))</f>
        <v>No</v>
      </c>
      <c r="BM159" s="25" t="str">
        <f t="shared" si="18"/>
        <v>false</v>
      </c>
      <c r="BN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O159" s="25" t="str" cm="1">
        <f t="array" ref="BO159">IF(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 = "",
  "No",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
)</f>
        <v>Comfort</v>
      </c>
      <c r="BP159" s="25" t="str">
        <f>IF(
   AND(
      'Base stats'!AK159="Standard",_xlfn.XLOOKUP(_xlfn.XLOOKUP(B159,'Base stats'!B:B,'Base stats'!E:E),Groups!A:A,Groups!AU:AU)=0,
      OR(
      BN159="True"
      )
   ),
   10,
   IF(
       OR(BL159&lt;&gt;"No",_xlfn.XLOOKUP(_xlfn.XLOOKUP(B159,'Base stats'!B:B,'Base stats'!E:E),Groups!A:A,Groups!AU:AU)=1),
      1,
      "No"
   )
)</f>
        <v>No</v>
      </c>
      <c r="BQ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stats'!AS:AS) * 1.8) * 2) * 2.5 + 10 + I159 * 2,5)+IF(_xlfn.XLOOKUP(B159,'Base stats'!B:B,'Base stats'!AH:AH)=1,50,0)</f>
        <v>50</v>
      </c>
      <c r="BR159" s="8">
        <f t="shared" si="19"/>
        <v>0.30000000000000004</v>
      </c>
      <c r="BS159" s="8" t="str">
        <f>_xlfn.XLOOKUP(B159,'Base stats'!B:B,'Base stats'!AD:AD)</f>
        <v>No</v>
      </c>
      <c r="BT159" s="2" t="str">
        <f>IF(AND(J159&lt;=0.95,OR(_xlfn.XLOOKUP(B159,'Base stats'!B:B,'Base stats'!AH:AH)=1,_xlfn.XLOOKUP(B159,'Base stats'!B:B,'Base stats'!Y:Y)="Carnivore",_xlfn.XLOOKUP(B159,'Base stats'!B:B,'Base stats'!Y:Y)="Omnivore",BD159&gt;0.1)),"true","false")</f>
        <v>true</v>
      </c>
      <c r="BU159" s="2" t="str">
        <f>IF(_xlfn.XLOOKUP(B159,'Base stats'!B:B,'Base stats'!AF:AF)=1,"true","false")</f>
        <v>false</v>
      </c>
      <c r="BV159" s="25" t="str">
        <f>IF(E159="BaseInsect","AnimalInsect",
IF(J159&gt;0.95,"AnimalExotic",
_xlfn.TEXTJOIN(", ",TRUE,
IF(OR(_xlfn.XLOOKUP(B159,'Base stats'!B:B,'Base stats'!AJ:AJ)=1,AND(_xlfn.XLOOKUP(B159,'Base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stats'!AH:AH)=1,AND(BH159&lt;&gt;"None",BQ159&gt;=60),ISNUMBER(SEARCH("Attack target",BO159))),"AnimalFighter","")
)))</f>
        <v>AnimalCommon, AnimalPet</v>
      </c>
      <c r="BW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),_xlfn.XLOOKUP(B159,B:B,BW:BW))</f>
        <v/>
      </c>
      <c r="BX159" s="25" t="str">
        <f>IF(_xlfn.XLOOKUP(B159,'Base stats'!B:B,'Base stats'!AG:AG)=1,"true","false")</f>
        <v>false</v>
      </c>
      <c r="BY159" s="25">
        <f>IF(_xlfn.XLOOKUP(B159,'Base stats'!B:B,'Base stats'!N:N)=1,"No",MAX(0.01,MIN(MROUND(IF(OR(_xlfn.XLOOKUP(B159,'Base stats'!B:B,'Base stats'!AJ:AJ)=1,AND(BI159="True",CB159="False")),POWER(10,3.47*LOG10(_xlfn.XLOOKUP(B159,'Base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stats'!AH:AH)=1),0.5,1)/100,0.025),1)))</f>
        <v>0.1</v>
      </c>
      <c r="BZ159" s="25" t="str">
        <f>IF(P159="Standard","No",MAX(0.01,IF(_xlfn.XLOOKUP(B159,'Base stats'!B:B,'Base stats'!N:N)=0,MROUND(BY159*P159,0.05),MIN(1,MAX(0.025,MROUND(IF(OR(CB159="true",AND(BI159="false",BN159="false")),POWER(10,4.15*LOG10(_xlfn.XLOOKUP(B159,'Base stats'!B:B,'Base stats'!C:C)*1000)^-0.73),POWER(10,3.47*LOG10(_xlfn.XLOOKUP(B159,'Base stats'!B:B,'Base stats'!C:C)*1000)^-0.96))*IF(_xlfn.XLOOKUP(B159,'Base stats'!B:B,'Base stats'!AH:AH)=1,0.5,1)/100,0.025))))))</f>
        <v>No</v>
      </c>
      <c r="CA159" s="25" t="str">
        <f>IF(_xlfn.XLOOKUP(_xlfn.XLOOKUP(B159,'Base stats'!B:B,'Base stats'!E:E),Groups!A:A,Groups!AJ:AJ)="Mammal","True","False")</f>
        <v>True</v>
      </c>
      <c r="CB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C159" s="25" t="str">
        <f t="shared" si="20"/>
        <v>False</v>
      </c>
      <c r="CD159" s="25" t="str">
        <f>IF(_xlfn.XLOOKUP(_xlfn.XLOOKUP(B159,'Base stats'!B:B,'Base stats'!E:E),Groups!A:A,Groups!AX:AX),"True","False")</f>
        <v>False</v>
      </c>
      <c r="CE159" s="25" t="str">
        <f>IF(_xlfn.XLOOKUP(_xlfn.XLOOKUP(B159,'Base stats'!B:B,'Base stats'!E:E),Groups!A:A,Groups!AY:AY),"True","False")</f>
        <v>False</v>
      </c>
      <c r="CF159" s="25" t="str">
        <f>IF(_xlfn.XLOOKUP(_xlfn.XLOOKUP(B159,'Base stats'!B:B,'Base stats'!E:E),Groups!A:A,Groups!AW:AW),"True","False")</f>
        <v>False</v>
      </c>
      <c r="CG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H159" s="25" t="str">
        <f>IF(_xlfn.XLOOKUP(_xlfn.XLOOKUP(B159,'Base stats'!B:B,'Base stats'!E:E),Groups!A:A,Groups!BB:BB),"True","False")</f>
        <v>True</v>
      </c>
      <c r="CI159" s="25" t="str">
        <f>IF(_xlfn.XLOOKUP(_xlfn.XLOOKUP(B159,'Base stats'!B:B,'Base stats'!E:E),Groups!A:A,Groups!BA:BA),"True","False")</f>
        <v>False</v>
      </c>
    </row>
    <row r="160" spans="1:87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stats'!AI:AI)=0,BH160="None",_xlfn.XLOOKUP(_xlfn.XLOOKUP(B160,'Base stats'!B:B,'Base stats'!E:E),Groups!A:A,Groups!B:B)=0), (18 + BQ160 * 2.7) * 0.5,
    IF(AND(_xlfn.XLOOKUP(B160,'Base stats'!B:B,'Base stats'!AI:AI)=0,OR(AO160&lt;0.55,AND(BH160="Intermediate",_xlfn.XLOOKUP(_xlfn.XLOOKUP(B160,'Base stats'!B:B,'Base stats'!E:E),Groups!A:A,Groups!B:B)&lt;2))), (18 + BQ160 * 2.7),
      IF(OR(BH160="Advanced",_xlfn.XLOOKUP(B160,'Base stats'!B:B,'Base stats'!AI:AI)=1,_xlfn.XLOOKUP(_xlfn.XLOOKUP(B160,'Base stats'!B:B,'Base stats'!E:E),Groups!A:A,Groups!B:B)=2), (18 + BQ160 * 2.7) + 250, (18 + BQ160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IF(_xlfn.XLOOKUP(B160,'Base stats'!B:B,'Base stats'!AI:AI)=1,0.99,MIN(MROUND((1-0.6282*EXP(-0.459*AO160))*_xlfn.XLOOKUP(_xlfn.XLOOKUP(B160,'Base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W160)),ISNUMBER(SEARCH("IceSheet",BW160))),-50,IF(OR(ISNUMBER(SEARCH("GlacialPlain",BW160)),ISNUMBER(SEARCH("Tundra",BW160))),-40,IF(OR(ISNUMBER(SEARCH("Alpine",BW160)),ISNUMBER(SEARCH("BorealForest",BW160)),ISNUMBER(SEARCH("ColdBog",BW160))),-30,IF(OR(ISNUMBER(SEARCH("TemperateForest",BW160)),ISNUMBER(SEARCH("TemperateSwamp",BW160))),-20,IF(_xlfn.XLOOKUP(_xlfn.XLOOKUP(B160,'Base stats'!B:B,'Base stats'!E:E),Groups!A:A,Groups!F:F)=1,-15,IF(OR(ISNUMBER(SEARCH("Desert",BW160)),ISNUMBER(SEARCH("ExtremeDesert",BW160))),-10,IF(OR(ISNUMBER(SEARCH("Grasslands",BW160)),ISNUMBER(SEARCH("TropicalRainforest",BW160)),ISNUMBER(SEARCH("TropicalSwamp",BW160))),10,0)))))))-IF(CB160="False",MIN(IFERROR(MAX(MROUND(LOG10(_xlfn.XLOOKUP(B160,'Base stats'!B:B,'Base stats'!C:C)^(2/3))*10,5),5),5),30))-_xlfn.XLOOKUP(B160,'Base stats'!B:B,'Base stats'!P:P)+IF(CB160="True",5,0)</f>
        <v>-25</v>
      </c>
      <c r="M160" s="2">
        <f>IF(OR(_xlfn.XLOOKUP(_xlfn.XLOOKUP(B160,'Base stats'!B:B,'Base stats'!E:E),Groups!A:A,Groups!G:G)=2,ISNUMBER(SEARCH("Desert",BW160)),ISNUMBER(SEARCH("ExtremeDesert",BW160)),ISNUMBER(SEARCH("LavaField",BW160))),50,IF(ISNUMBER(SEARCH("Grasslands",BW160)),45,IF(OR(_xlfn.XLOOKUP(_xlfn.XLOOKUP(B160,'Base stats'!B:B,'Base stats'!E:E),Groups!A:A,Groups!G:G)=1,ISNUMBER(SEARCH("TropicalRainforest",BW160)),ISNUMBER(SEARCH("TropicalSwamp",BW160))),40,IF(OR(ISNUMBER(SEARCH("TemperateForest",BW160)),ISNUMBER(SEARCH("TemperateSwamp",BW160))),35,IF(OR(ISNUMBER(SEARCH("Alpine",BW160)),ISNUMBER(SEARCH("BorealForest",BW160)),ISNUMBER(SEARCH("ColdBog",BW160))),30,IF(ISNUMBER(OR(ISNUMBER(SEARCH("GlacialPlain",BW160)),SEARCH("Tundra",BW160))),25,IF(OR(ISNUMBER(SEARCH("SeaIce",BW160)),ISNUMBER(SEARCH("IceSheet",BW160)),ISNUMBER(SEARCH("TropicalSwamp",BW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stats'!AO:AO))*(AO160^0.5)+(_xlfn.XLOOKUP(B160,'Base stats'!B:B,'Base stats'!AO:AO)/1000)^(2/3)+_xlfn.XLOOKUP(B160,'Base stats'!B:B,'Base stats'!AX:AX)/2)+0.5,0.5)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stats'!AP:AP))*(AO160^0.5)+(_xlfn.XLOOKUP(B160,'Base stats'!B:B,'Base stats'!AP:AP)/1000)^(2/3)+_xlfn.XLOOKUP(B160,'Base stats'!B:B,'Base stats'!AX:AX))+_xlfn.XLOOKUP(B160,'Base stats'!B:B,'Base stats'!AV:AV)+0.5,0.5))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stats'!AR:AR))*(AO160^0.5)+(_xlfn.XLOOKUP(B160,'Base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stats'!AQ:AQ)="No","No",MROUND((LOG10(_xlfn.XLOOKUP(B160,'Base stats'!B:B,'Base stats'!AQ:AQ))*(AO160^0.75)+(_xlfn.XLOOKUP(B160,'Base stats'!B:B,'Base stats'!AQ:AQ)/1000)^(2/3)+_xlfn.XLOOKUP(B160,'Base stats'!B:B,'Base stats'!AU:AU)+_xlfn.XLOOKUP(B160,'Base stats'!B:B,'Base stats'!AX:AX))+0.5,0.5))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stats'!AP:AP))*(AO160^0.75)+(_xlfn.XLOOKUP(B160,'Base stats'!B:B,'Base stats'!AP:AP)/1000)^(2/3)+_xlfn.XLOOKUP(B160,'Base stats'!B:B,'Base stats'!AV:AV)+_xlfn.XLOOKUP(B160,'Base stats'!B:B,'Base stats'!AX:AX))+0.5,0.5))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MAX(0.01,MROUND(IF(CB160="True",0.196*(AO160*100*1000)^0.889,IF(_xlfn.XLOOKUP(_xlfn.XLOOKUP(B160,'Base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stats'!AE:AE)</f>
        <v>Leather_Kalisk</v>
      </c>
      <c r="BB160" s="23" t="str">
        <f>_xlfn.XLOOKUP(_xlfn.XLOOKUP(B160,'Base stats'!B:B,'Base stats'!E:E),Groups!A:A,Groups!AL:AL)</f>
        <v>QuadrupedAnimalWithPawsAndTail</v>
      </c>
      <c r="BC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D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E160" s="2" t="str">
        <f>IF(J160&gt;0.3,"No",_xlfn.XLOOKUP(_xlfn.XLOOKUP(Animals!B160,'Base stats'!B:B,'Base stats'!E:E),Groups!A:A,Groups!AP:AP))</f>
        <v>No</v>
      </c>
      <c r="BF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+ 24*(1-IF(BE160="No",0,BE160)) + 16/3, 12),"No")</f>
        <v>No</v>
      </c>
      <c r="BG160" s="2">
        <f>IF(AND(_xlfn.XLOOKUP(_xlfn.XLOOKUP(B160,'Base stats'!B:B,'Base stats'!E:E),Groups!A:A,Groups!AQ:AQ)=1,AO160&lt;=0.35),8,12)</f>
        <v>12</v>
      </c>
      <c r="BH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I160" s="2" t="str">
        <f>IF(AND(_xlfn.XLOOKUP(_xlfn.XLOOKUP(B160,'Base stats'!B:B,'Base stats'!E:E),Groups!A:A,Groups!AS:AS)=1,OR('Base stats'!Y160="Carnivore",'Base stats'!Y160="Omnivore")),"true","false")</f>
        <v>true</v>
      </c>
      <c r="BJ160" s="2">
        <f>IF(BI160="true",MROUND(IF(AND(AO160&gt;0.5,OR(_xlfn.XLOOKUP(_xlfn.XLOOKUP(B160,'Base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K160" s="2">
        <f t="shared" si="17"/>
        <v>1</v>
      </c>
      <c r="BL160" s="25" t="str">
        <f>IF(_xlfn.XLOOKUP(B160,'Base stats'!B:B,'Base stats'!AK:AK)="Standard","No",MROUND((_xlfn.XLOOKUP(B160,'Base stats'!B:B,'Base stats'!AK:AK)/3.6)/I160,0.1))</f>
        <v>No</v>
      </c>
      <c r="BM160" s="25" t="str">
        <f t="shared" si="18"/>
        <v>false</v>
      </c>
      <c r="BN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O160" s="25" t="str" cm="1">
        <f t="array" ref="BO160">IF(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 = "",
  "No",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
)</f>
        <v>AttackTarget</v>
      </c>
      <c r="BP160" s="25" t="str">
        <f>IF(
   AND(
      'Base stats'!AK160="Standard",_xlfn.XLOOKUP(_xlfn.XLOOKUP(B160,'Base stats'!B:B,'Base stats'!E:E),Groups!A:A,Groups!AU:AU)=0,
      OR(
      BN160="True"
      )
   ),
   10,
   IF(
       OR(BL160&lt;&gt;"No",_xlfn.XLOOKUP(_xlfn.XLOOKUP(B160,'Base stats'!B:B,'Base stats'!E:E),Groups!A:A,Groups!AU:AU)=1),
      1,
      "No"
   )
)</f>
        <v>No</v>
      </c>
      <c r="BQ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stats'!AS:AS) * 1.8) * 2) * 2.5 + 10 + I160 * 2,5)+IF(_xlfn.XLOOKUP(B160,'Base stats'!B:B,'Base stats'!AH:AH)=1,50,0)</f>
        <v>1680</v>
      </c>
      <c r="BR160" s="8">
        <f t="shared" si="19"/>
        <v>4.05</v>
      </c>
      <c r="BS160" s="8" t="str">
        <f>_xlfn.XLOOKUP(B160,'Base stats'!B:B,'Base stats'!AD:AD)</f>
        <v>No</v>
      </c>
      <c r="BT160" s="2" t="str">
        <f>IF(AND(J160&lt;=0.95,OR(_xlfn.XLOOKUP(B160,'Base stats'!B:B,'Base stats'!AH:AH)=1,_xlfn.XLOOKUP(B160,'Base stats'!B:B,'Base stats'!Y:Y)="Carnivore",_xlfn.XLOOKUP(B160,'Base stats'!B:B,'Base stats'!Y:Y)="Omnivore",BD160&gt;0.1)),"true","false")</f>
        <v>false</v>
      </c>
      <c r="BU160" s="2" t="str">
        <f>IF(_xlfn.XLOOKUP(B160,'Base stats'!B:B,'Base stats'!AF:AF)=1,"true","false")</f>
        <v>false</v>
      </c>
      <c r="BV160" s="25" t="str">
        <f>IF(E160="BaseInsect","AnimalInsect",
IF(J160&gt;0.95,"AnimalExotic",
_xlfn.TEXTJOIN(", ",TRUE,
IF(OR(_xlfn.XLOOKUP(B160,'Base stats'!B:B,'Base stats'!AJ:AJ)=1,AND(_xlfn.XLOOKUP(B160,'Base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stats'!AH:AH)=1,AND(BH160&lt;&gt;"None",BQ160&gt;=60),ISNUMBER(SEARCH("Attack target",BO160))),"AnimalFighter","")
)))</f>
        <v>AnimalExotic</v>
      </c>
      <c r="BW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),_xlfn.XLOOKUP(B160,B:B,BW:BW))</f>
        <v/>
      </c>
      <c r="BX160" s="25" t="str">
        <f>IF(_xlfn.XLOOKUP(B160,'Base stats'!B:B,'Base stats'!AG:AG)=1,"true","false")</f>
        <v>false</v>
      </c>
      <c r="BY160" s="25">
        <f>IF(_xlfn.XLOOKUP(B160,'Base stats'!B:B,'Base stats'!N:N)=1,"No",MAX(0.01,MIN(MROUND(IF(OR(_xlfn.XLOOKUP(B160,'Base stats'!B:B,'Base stats'!AJ:AJ)=1,AND(BI160="True",CB160="False")),POWER(10,3.47*LOG10(_xlfn.XLOOKUP(B160,'Base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stats'!AH:AH)=1),0.5,1)/100,0.025),1)))</f>
        <v>2.5000000000000001E-2</v>
      </c>
      <c r="BZ160" s="25">
        <f>IF(P160="Standard","No",MAX(0.01,IF(_xlfn.XLOOKUP(B160,'Base stats'!B:B,'Base stats'!N:N)=0,MROUND(BY160*P160,0.05),MIN(1,MAX(0.025,MROUND(IF(OR(CB160="true",AND(BI160="false",BN160="false")),POWER(10,4.15*LOG10(_xlfn.XLOOKUP(B160,'Base stats'!B:B,'Base stats'!C:C)*1000)^-0.73),POWER(10,3.47*LOG10(_xlfn.XLOOKUP(B160,'Base stats'!B:B,'Base stats'!C:C)*1000)^-0.96))*IF(_xlfn.XLOOKUP(B160,'Base stats'!B:B,'Base stats'!AH:AH)=1,0.5,1)/100,0.025))))))</f>
        <v>0.05</v>
      </c>
      <c r="CA160" s="25" t="str">
        <f>IF(_xlfn.XLOOKUP(_xlfn.XLOOKUP(B160,'Base stats'!B:B,'Base stats'!E:E),Groups!A:A,Groups!AJ:AJ)="Mammal","True","False")</f>
        <v>False</v>
      </c>
      <c r="CB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C160" s="25" t="str">
        <f t="shared" si="20"/>
        <v>True</v>
      </c>
      <c r="CD160" s="25" t="str">
        <f>IF(_xlfn.XLOOKUP(_xlfn.XLOOKUP(B160,'Base stats'!B:B,'Base stats'!E:E),Groups!A:A,Groups!AX:AX),"True","False")</f>
        <v>True</v>
      </c>
      <c r="CE160" s="25" t="str">
        <f>IF(_xlfn.XLOOKUP(_xlfn.XLOOKUP(B160,'Base stats'!B:B,'Base stats'!E:E),Groups!A:A,Groups!AY:AY),"True","False")</f>
        <v>True</v>
      </c>
      <c r="CF160" s="25" t="str">
        <f>IF(_xlfn.XLOOKUP(_xlfn.XLOOKUP(B160,'Base stats'!B:B,'Base stats'!E:E),Groups!A:A,Groups!AW:AW),"True","False")</f>
        <v>True</v>
      </c>
      <c r="CG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H160" s="25" t="str">
        <f>IF(_xlfn.XLOOKUP(_xlfn.XLOOKUP(B160,'Base stats'!B:B,'Base stats'!E:E),Groups!A:A,Groups!BB:BB),"True","False")</f>
        <v>True</v>
      </c>
      <c r="CI160" s="25" t="str">
        <f>IF(_xlfn.XLOOKUP(_xlfn.XLOOKUP(B160,'Base stats'!B:B,'Base stats'!E:E),Groups!A:A,Groups!BA:BA),"True","False")</f>
        <v>False</v>
      </c>
    </row>
    <row r="161" spans="1:87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stats'!AI:AI)=0,BH161="None",_xlfn.XLOOKUP(_xlfn.XLOOKUP(B161,'Base stats'!B:B,'Base stats'!E:E),Groups!A:A,Groups!B:B)=0), (18 + BQ161 * 2.7) * 0.5,
    IF(AND(_xlfn.XLOOKUP(B161,'Base stats'!B:B,'Base stats'!AI:AI)=0,OR(AO161&lt;0.55,AND(BH161="Intermediate",_xlfn.XLOOKUP(_xlfn.XLOOKUP(B161,'Base stats'!B:B,'Base stats'!E:E),Groups!A:A,Groups!B:B)&lt;2))), (18 + BQ161 * 2.7),
      IF(OR(BH161="Advanced",_xlfn.XLOOKUP(B161,'Base stats'!B:B,'Base stats'!AI:AI)=1,_xlfn.XLOOKUP(_xlfn.XLOOKUP(B161,'Base stats'!B:B,'Base stats'!E:E),Groups!A:A,Groups!B:B)=2), (18 + BQ161 * 2.7) + 250, (18 + BQ161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IF(_xlfn.XLOOKUP(B161,'Base stats'!B:B,'Base stats'!AI:AI)=1,0.99,MIN(MROUND((1-0.6282*EXP(-0.459*AO161))*_xlfn.XLOOKUP(_xlfn.XLOOKUP(B161,'Base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W161)),ISNUMBER(SEARCH("IceSheet",BW161))),-50,IF(OR(ISNUMBER(SEARCH("GlacialPlain",BW161)),ISNUMBER(SEARCH("Tundra",BW161))),-40,IF(OR(ISNUMBER(SEARCH("Alpine",BW161)),ISNUMBER(SEARCH("BorealForest",BW161)),ISNUMBER(SEARCH("ColdBog",BW161))),-30,IF(OR(ISNUMBER(SEARCH("TemperateForest",BW161)),ISNUMBER(SEARCH("TemperateSwamp",BW161))),-20,IF(_xlfn.XLOOKUP(_xlfn.XLOOKUP(B161,'Base stats'!B:B,'Base stats'!E:E),Groups!A:A,Groups!F:F)=1,-15,IF(OR(ISNUMBER(SEARCH("Desert",BW161)),ISNUMBER(SEARCH("ExtremeDesert",BW161))),-10,IF(OR(ISNUMBER(SEARCH("Grasslands",BW161)),ISNUMBER(SEARCH("TropicalRainforest",BW161)),ISNUMBER(SEARCH("TropicalSwamp",BW161))),10,0)))))))-IF(CB161="False",MIN(IFERROR(MAX(MROUND(LOG10(_xlfn.XLOOKUP(B161,'Base stats'!B:B,'Base stats'!C:C)^(2/3))*10,5),5),5),30))-_xlfn.XLOOKUP(B161,'Base stats'!B:B,'Base stats'!P:P)+IF(CB161="True",5,0)</f>
        <v>-30</v>
      </c>
      <c r="M161" s="2">
        <f>IF(OR(_xlfn.XLOOKUP(_xlfn.XLOOKUP(B161,'Base stats'!B:B,'Base stats'!E:E),Groups!A:A,Groups!G:G)=2,ISNUMBER(SEARCH("Desert",BW161)),ISNUMBER(SEARCH("ExtremeDesert",BW161)),ISNUMBER(SEARCH("LavaField",BW161))),50,IF(ISNUMBER(SEARCH("Grasslands",BW161)),45,IF(OR(_xlfn.XLOOKUP(_xlfn.XLOOKUP(B161,'Base stats'!B:B,'Base stats'!E:E),Groups!A:A,Groups!G:G)=1,ISNUMBER(SEARCH("TropicalRainforest",BW161)),ISNUMBER(SEARCH("TropicalSwamp",BW161))),40,IF(OR(ISNUMBER(SEARCH("TemperateForest",BW161)),ISNUMBER(SEARCH("TemperateSwamp",BW161))),35,IF(OR(ISNUMBER(SEARCH("Alpine",BW161)),ISNUMBER(SEARCH("BorealForest",BW161)),ISNUMBER(SEARCH("ColdBog",BW161))),30,IF(ISNUMBER(OR(ISNUMBER(SEARCH("GlacialPlain",BW161)),SEARCH("Tundra",BW161))),25,IF(OR(ISNUMBER(SEARCH("SeaIce",BW161)),ISNUMBER(SEARCH("IceSheet",BW161)),ISNUMBER(SEARCH("TropicalSwamp",BW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stats'!AO:AO))*(AO161^0.5)+(_xlfn.XLOOKUP(B161,'Base stats'!B:B,'Base stats'!AO:AO)/1000)^(2/3)+_xlfn.XLOOKUP(B161,'Base stats'!B:B,'Base stats'!AX:AX)/2)+0.5,0.5)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stats'!AP:AP))*(AO161^0.5)+(_xlfn.XLOOKUP(B161,'Base stats'!B:B,'Base stats'!AP:AP)/1000)^(2/3)+_xlfn.XLOOKUP(B161,'Base stats'!B:B,'Base stats'!AX:AX))+_xlfn.XLOOKUP(B161,'Base stats'!B:B,'Base stats'!AV:AV)+0.5,0.5))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stats'!AR:AR))*(AO161^0.5)+(_xlfn.XLOOKUP(B161,'Base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stats'!AQ:AQ)="No","No",MROUND((LOG10(_xlfn.XLOOKUP(B161,'Base stats'!B:B,'Base stats'!AQ:AQ))*(AO161^0.75)+(_xlfn.XLOOKUP(B161,'Base stats'!B:B,'Base stats'!AQ:AQ)/1000)^(2/3)+_xlfn.XLOOKUP(B161,'Base stats'!B:B,'Base stats'!AU:AU)+_xlfn.XLOOKUP(B161,'Base stats'!B:B,'Base stats'!AX:AX))+0.5,0.5))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stats'!AP:AP))*(AO161^0.75)+(_xlfn.XLOOKUP(B161,'Base stats'!B:B,'Base stats'!AP:AP)/1000)^(2/3)+_xlfn.XLOOKUP(B161,'Base stats'!B:B,'Base stats'!AV:AV)+_xlfn.XLOOKUP(B161,'Base stats'!B:B,'Base stats'!AX:AX))+0.5,0.5))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MAX(0.01,MROUND(IF(CB161="True",0.196*(AO161*100*1000)^0.889,IF(_xlfn.XLOOKUP(_xlfn.XLOOKUP(B161,'Base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stats'!AE:AE)</f>
        <v>Leather_Panthera</v>
      </c>
      <c r="BB161" s="23" t="str">
        <f>_xlfn.XLOOKUP(_xlfn.XLOOKUP(B161,'Base stats'!B:B,'Base stats'!E:E),Groups!A:A,Groups!AL:AL)</f>
        <v>QuadrupedAnimalWithPawsAndTail</v>
      </c>
      <c r="BC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D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E161" s="2" t="str">
        <f>IF(J161&gt;0.3,"No",_xlfn.XLOOKUP(_xlfn.XLOOKUP(Animals!B161,'Base stats'!B:B,'Base stats'!E:E),Groups!A:A,Groups!AP:AP))</f>
        <v>No</v>
      </c>
      <c r="BF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+ 24*(1-IF(BE161="No",0,BE161)) + 16/3, 12),"No")</f>
        <v>96</v>
      </c>
      <c r="BG161" s="2">
        <f>IF(AND(_xlfn.XLOOKUP(_xlfn.XLOOKUP(B161,'Base stats'!B:B,'Base stats'!E:E),Groups!A:A,Groups!AQ:AQ)=1,AO161&lt;=0.35),8,12)</f>
        <v>12</v>
      </c>
      <c r="BH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I161" s="2" t="str">
        <f>IF(AND(_xlfn.XLOOKUP(_xlfn.XLOOKUP(B161,'Base stats'!B:B,'Base stats'!E:E),Groups!A:A,Groups!AS:AS)=1,OR('Base stats'!Y161="Carnivore",'Base stats'!Y161="Omnivore")),"true","false")</f>
        <v>true</v>
      </c>
      <c r="BJ161" s="2">
        <f>IF(BI161="true",MROUND(IF(AND(AO161&gt;0.5,OR(_xlfn.XLOOKUP(_xlfn.XLOOKUP(B161,'Base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K161" s="2">
        <f t="shared" si="17"/>
        <v>1</v>
      </c>
      <c r="BL161" s="25" t="str">
        <f>IF(_xlfn.XLOOKUP(B161,'Base stats'!B:B,'Base stats'!AK:AK)="Standard","No",MROUND((_xlfn.XLOOKUP(B161,'Base stats'!B:B,'Base stats'!AK:AK)/3.6)/I161,0.1))</f>
        <v>No</v>
      </c>
      <c r="BM161" s="25" t="str">
        <f t="shared" si="18"/>
        <v>false</v>
      </c>
      <c r="BN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O161" s="25" t="str" cm="1">
        <f t="array" ref="BO161">IF(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 = "",
  "No",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
)</f>
        <v>AttackTarget</v>
      </c>
      <c r="BP161" s="25" t="str">
        <f>IF(
   AND(
      'Base stats'!AK161="Standard",_xlfn.XLOOKUP(_xlfn.XLOOKUP(B161,'Base stats'!B:B,'Base stats'!E:E),Groups!A:A,Groups!AU:AU)=0,
      OR(
      BN161="True"
      )
   ),
   10,
   IF(
       OR(BL161&lt;&gt;"No",_xlfn.XLOOKUP(_xlfn.XLOOKUP(B161,'Base stats'!B:B,'Base stats'!E:E),Groups!A:A,Groups!AU:AU)=1),
      1,
      "No"
   )
)</f>
        <v>No</v>
      </c>
      <c r="BQ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stats'!AS:AS) * 1.8) * 2) * 2.5 + 10 + I161 * 2,5)+IF(_xlfn.XLOOKUP(B161,'Base stats'!B:B,'Base stats'!AH:AH)=1,50,0)</f>
        <v>320</v>
      </c>
      <c r="BR161" s="8">
        <f t="shared" si="19"/>
        <v>1.35</v>
      </c>
      <c r="BS161" s="8" t="str">
        <f>_xlfn.XLOOKUP(B161,'Base stats'!B:B,'Base stats'!AD:AD)</f>
        <v>No</v>
      </c>
      <c r="BT161" s="2" t="str">
        <f>IF(AND(J161&lt;=0.95,OR(_xlfn.XLOOKUP(B161,'Base stats'!B:B,'Base stats'!AH:AH)=1,_xlfn.XLOOKUP(B161,'Base stats'!B:B,'Base stats'!Y:Y)="Carnivore",_xlfn.XLOOKUP(B161,'Base stats'!B:B,'Base stats'!Y:Y)="Omnivore",BD161&gt;0.1)),"true","false")</f>
        <v>true</v>
      </c>
      <c r="BU161" s="2" t="str">
        <f>IF(_xlfn.XLOOKUP(B161,'Base stats'!B:B,'Base stats'!AF:AF)=1,"true","false")</f>
        <v>false</v>
      </c>
      <c r="BV161" s="25" t="str">
        <f>IF(E161="BaseInsect","AnimalInsect",
IF(J161&gt;0.95,"AnimalExotic",
_xlfn.TEXTJOIN(", ",TRUE,
IF(OR(_xlfn.XLOOKUP(B161,'Base stats'!B:B,'Base stats'!AJ:AJ)=1,AND(_xlfn.XLOOKUP(B161,'Base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stats'!AH:AH)=1,AND(BH161&lt;&gt;"None",BQ161&gt;=60),ISNUMBER(SEARCH("Attack target",BO161))),"AnimalFighter","")
)))</f>
        <v>AnimalUncommon, AnimalFighter</v>
      </c>
      <c r="BW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),_xlfn.XLOOKUP(B161,B:B,BW:BW))</f>
        <v/>
      </c>
      <c r="BX161" s="25" t="str">
        <f>IF(_xlfn.XLOOKUP(B161,'Base stats'!B:B,'Base stats'!AG:AG)=1,"true","false")</f>
        <v>false</v>
      </c>
      <c r="BY161" s="25">
        <f>IF(_xlfn.XLOOKUP(B161,'Base stats'!B:B,'Base stats'!N:N)=1,"No",MAX(0.01,MIN(MROUND(IF(OR(_xlfn.XLOOKUP(B161,'Base stats'!B:B,'Base stats'!AJ:AJ)=1,AND(BI161="True",CB161="False")),POWER(10,3.47*LOG10(_xlfn.XLOOKUP(B161,'Base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stats'!AH:AH)=1),0.5,1)/100,0.025),1)))</f>
        <v>2.5000000000000001E-2</v>
      </c>
      <c r="BZ161" s="25" t="str">
        <f>IF(P161="Standard","No",MAX(0.01,IF(_xlfn.XLOOKUP(B161,'Base stats'!B:B,'Base stats'!N:N)=0,MROUND(BY161*P161,0.05),MIN(1,MAX(0.025,MROUND(IF(OR(CB161="true",AND(BI161="false",BN161="false")),POWER(10,4.15*LOG10(_xlfn.XLOOKUP(B161,'Base stats'!B:B,'Base stats'!C:C)*1000)^-0.73),POWER(10,3.47*LOG10(_xlfn.XLOOKUP(B161,'Base stats'!B:B,'Base stats'!C:C)*1000)^-0.96))*IF(_xlfn.XLOOKUP(B161,'Base stats'!B:B,'Base stats'!AH:AH)=1,0.5,1)/100,0.025))))))</f>
        <v>No</v>
      </c>
      <c r="CA161" s="25" t="str">
        <f>IF(_xlfn.XLOOKUP(_xlfn.XLOOKUP(B161,'Base stats'!B:B,'Base stats'!E:E),Groups!A:A,Groups!AJ:AJ)="Mammal","True","False")</f>
        <v>True</v>
      </c>
      <c r="CB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C161" s="25" t="str">
        <f t="shared" si="20"/>
        <v>False</v>
      </c>
      <c r="CD161" s="25" t="str">
        <f>IF(_xlfn.XLOOKUP(_xlfn.XLOOKUP(B161,'Base stats'!B:B,'Base stats'!E:E),Groups!A:A,Groups!AX:AX),"True","False")</f>
        <v>False</v>
      </c>
      <c r="CE161" s="25" t="str">
        <f>IF(_xlfn.XLOOKUP(_xlfn.XLOOKUP(B161,'Base stats'!B:B,'Base stats'!E:E),Groups!A:A,Groups!AY:AY),"True","False")</f>
        <v>False</v>
      </c>
      <c r="CF161" s="25" t="str">
        <f>IF(_xlfn.XLOOKUP(_xlfn.XLOOKUP(B161,'Base stats'!B:B,'Base stats'!E:E),Groups!A:A,Groups!AW:AW),"True","False")</f>
        <v>False</v>
      </c>
      <c r="CG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H161" s="25" t="str">
        <f>IF(_xlfn.XLOOKUP(_xlfn.XLOOKUP(B161,'Base stats'!B:B,'Base stats'!E:E),Groups!A:A,Groups!BB:BB),"True","False")</f>
        <v>True</v>
      </c>
      <c r="CI161" s="25" t="str">
        <f>IF(_xlfn.XLOOKUP(_xlfn.XLOOKUP(B161,'Base stats'!B:B,'Base stats'!E:E),Groups!A:A,Groups!BA:BA),"True","False")</f>
        <v>False</v>
      </c>
    </row>
    <row r="162" spans="1:87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stats'!AI:AI)=0,BH162="None",_xlfn.XLOOKUP(_xlfn.XLOOKUP(B162,'Base stats'!B:B,'Base stats'!E:E),Groups!A:A,Groups!B:B)=0), (18 + BQ162 * 2.7) * 0.5,
    IF(AND(_xlfn.XLOOKUP(B162,'Base stats'!B:B,'Base stats'!AI:AI)=0,OR(AO162&lt;0.55,AND(BH162="Intermediate",_xlfn.XLOOKUP(_xlfn.XLOOKUP(B162,'Base stats'!B:B,'Base stats'!E:E),Groups!A:A,Groups!B:B)&lt;2))), (18 + BQ162 * 2.7),
      IF(OR(BH162="Advanced",_xlfn.XLOOKUP(B162,'Base stats'!B:B,'Base stats'!AI:AI)=1,_xlfn.XLOOKUP(_xlfn.XLOOKUP(B162,'Base stats'!B:B,'Base stats'!E:E),Groups!A:A,Groups!B:B)=2), (18 + BQ162 * 2.7) + 250, (18 + BQ162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IF(_xlfn.XLOOKUP(B162,'Base stats'!B:B,'Base stats'!AI:AI)=1,0.99,MIN(MROUND((1-0.6282*EXP(-0.459*AO162))*_xlfn.XLOOKUP(_xlfn.XLOOKUP(B162,'Base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W162)),ISNUMBER(SEARCH("IceSheet",BW162))),-50,IF(OR(ISNUMBER(SEARCH("GlacialPlain",BW162)),ISNUMBER(SEARCH("Tundra",BW162))),-40,IF(OR(ISNUMBER(SEARCH("Alpine",BW162)),ISNUMBER(SEARCH("BorealForest",BW162)),ISNUMBER(SEARCH("ColdBog",BW162))),-30,IF(OR(ISNUMBER(SEARCH("TemperateForest",BW162)),ISNUMBER(SEARCH("TemperateSwamp",BW162))),-20,IF(_xlfn.XLOOKUP(_xlfn.XLOOKUP(B162,'Base stats'!B:B,'Base stats'!E:E),Groups!A:A,Groups!F:F)=1,-15,IF(OR(ISNUMBER(SEARCH("Desert",BW162)),ISNUMBER(SEARCH("ExtremeDesert",BW162))),-10,IF(OR(ISNUMBER(SEARCH("Grasslands",BW162)),ISNUMBER(SEARCH("TropicalRainforest",BW162)),ISNUMBER(SEARCH("TropicalSwamp",BW162))),10,0)))))))-IF(CB162="False",MIN(IFERROR(MAX(MROUND(LOG10(_xlfn.XLOOKUP(B162,'Base stats'!B:B,'Base stats'!C:C)^(2/3))*10,5),5),5),30))-_xlfn.XLOOKUP(B162,'Base stats'!B:B,'Base stats'!P:P)+IF(CB162="True",5,0)</f>
        <v>-25</v>
      </c>
      <c r="M162" s="2">
        <f>IF(OR(_xlfn.XLOOKUP(_xlfn.XLOOKUP(B162,'Base stats'!B:B,'Base stats'!E:E),Groups!A:A,Groups!G:G)=2,ISNUMBER(SEARCH("Desert",BW162)),ISNUMBER(SEARCH("ExtremeDesert",BW162)),ISNUMBER(SEARCH("LavaField",BW162))),50,IF(ISNUMBER(SEARCH("Grasslands",BW162)),45,IF(OR(_xlfn.XLOOKUP(_xlfn.XLOOKUP(B162,'Base stats'!B:B,'Base stats'!E:E),Groups!A:A,Groups!G:G)=1,ISNUMBER(SEARCH("TropicalRainforest",BW162)),ISNUMBER(SEARCH("TropicalSwamp",BW162))),40,IF(OR(ISNUMBER(SEARCH("TemperateForest",BW162)),ISNUMBER(SEARCH("TemperateSwamp",BW162))),35,IF(OR(ISNUMBER(SEARCH("Alpine",BW162)),ISNUMBER(SEARCH("BorealForest",BW162)),ISNUMBER(SEARCH("ColdBog",BW162))),30,IF(ISNUMBER(OR(ISNUMBER(SEARCH("GlacialPlain",BW162)),SEARCH("Tundra",BW162))),25,IF(OR(ISNUMBER(SEARCH("SeaIce",BW162)),ISNUMBER(SEARCH("IceSheet",BW162)),ISNUMBER(SEARCH("TropicalSwamp",BW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stats'!AO:AO))*(AO162^0.5)+(_xlfn.XLOOKUP(B162,'Base stats'!B:B,'Base stats'!AO:AO)/1000)^(2/3)+_xlfn.XLOOKUP(B162,'Base stats'!B:B,'Base stats'!AX:AX)/2)+0.5,0.5)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stats'!AP:AP))*(AO162^0.5)+(_xlfn.XLOOKUP(B162,'Base stats'!B:B,'Base stats'!AP:AP)/1000)^(2/3)+_xlfn.XLOOKUP(B162,'Base stats'!B:B,'Base stats'!AX:AX))+_xlfn.XLOOKUP(B162,'Base stats'!B:B,'Base stats'!AV:AV)+0.5,0.5))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stats'!AR:AR))*(AO162^0.5)+(_xlfn.XLOOKUP(B162,'Base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stats'!AQ:AQ)="No","No",MROUND((LOG10(_xlfn.XLOOKUP(B162,'Base stats'!B:B,'Base stats'!AQ:AQ))*(AO162^0.75)+(_xlfn.XLOOKUP(B162,'Base stats'!B:B,'Base stats'!AQ:AQ)/1000)^(2/3)+_xlfn.XLOOKUP(B162,'Base stats'!B:B,'Base stats'!AU:AU)+_xlfn.XLOOKUP(B162,'Base stats'!B:B,'Base stats'!AX:AX))+0.5,0.5))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stats'!AP:AP))*(AO162^0.75)+(_xlfn.XLOOKUP(B162,'Base stats'!B:B,'Base stats'!AP:AP)/1000)^(2/3)+_xlfn.XLOOKUP(B162,'Base stats'!B:B,'Base stats'!AV:AV)+_xlfn.XLOOKUP(B162,'Base stats'!B:B,'Base stats'!AX:AX))+0.5,0.5))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MAX(0.01,MROUND(IF(CB162="True",0.196*(AO162*100*1000)^0.889,IF(_xlfn.XLOOKUP(_xlfn.XLOOKUP(B162,'Base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stats'!AE:AE)</f>
        <v>No</v>
      </c>
      <c r="BB162" s="23" t="str">
        <f>_xlfn.XLOOKUP(_xlfn.XLOOKUP(B162,'Base stats'!B:B,'Base stats'!E:E),Groups!A:A,Groups!AL:AL)</f>
        <v>Bird</v>
      </c>
      <c r="BC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D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E162" s="2" t="str">
        <f>IF(J162&gt;0.3,"No",_xlfn.XLOOKUP(_xlfn.XLOOKUP(Animals!B162,'Base stats'!B:B,'Base stats'!E:E),Groups!A:A,Groups!AP:AP))</f>
        <v>No</v>
      </c>
      <c r="BF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+ 24*(1-IF(BE162="No",0,BE162)) + 16/3, 12),"No")</f>
        <v>No</v>
      </c>
      <c r="BG162" s="2">
        <f>IF(AND(_xlfn.XLOOKUP(_xlfn.XLOOKUP(B162,'Base stats'!B:B,'Base stats'!E:E),Groups!A:A,Groups!AQ:AQ)=1,AO162&lt;=0.35),8,12)</f>
        <v>8</v>
      </c>
      <c r="BH162" s="2" t="str">
        <f>IF(_xlfn.XLOOKUP(_xlfn.XLOOKUP(B162,'Base stats'!B:B,'Base stats'!E:E),Groups!A:A,Groups!D:D)=0,_xlfn.XLOOKUP(_xlfn.XLOOKUP(B162,'Base stats'!B:B,'Base stats'!E:E),Groups!A:A,Groups!AR:AR),"None")</f>
        <v>None</v>
      </c>
      <c r="BI162" s="2" t="str">
        <f>IF(AND(_xlfn.XLOOKUP(_xlfn.XLOOKUP(B162,'Base stats'!B:B,'Base stats'!E:E),Groups!A:A,Groups!AS:AS)=1,OR('Base stats'!Y162="Carnivore",'Base stats'!Y162="Omnivore")),"true","false")</f>
        <v>false</v>
      </c>
      <c r="BJ162" s="2" t="str">
        <f>IF(BI162="true",MROUND(IF(AND(AO162&gt;0.5,OR(_xlfn.XLOOKUP(_xlfn.XLOOKUP(B162,'Base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K162" s="2">
        <f t="shared" si="17"/>
        <v>0</v>
      </c>
      <c r="BL162" s="25" t="str">
        <f>IF(_xlfn.XLOOKUP(B162,'Base stats'!B:B,'Base stats'!AK:AK)="Standard","No",MROUND((_xlfn.XLOOKUP(B162,'Base stats'!B:B,'Base stats'!AK:AK)/3.6)/I162,0.1))</f>
        <v>No</v>
      </c>
      <c r="BM162" s="25" t="str">
        <f t="shared" si="18"/>
        <v>false</v>
      </c>
      <c r="BN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O162" s="25" t="str" cm="1">
        <f t="array" ref="BO162">IF(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 = "",
  "No",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
)</f>
        <v>No</v>
      </c>
      <c r="BP162" s="25" t="str">
        <f>IF(
   AND(
      'Base stats'!AK162="Standard",_xlfn.XLOOKUP(_xlfn.XLOOKUP(B162,'Base stats'!B:B,'Base stats'!E:E),Groups!A:A,Groups!AU:AU)=0,
      OR(
      BN162="True"
      )
   ),
   10,
   IF(
       OR(BL162&lt;&gt;"No",_xlfn.XLOOKUP(_xlfn.XLOOKUP(B162,'Base stats'!B:B,'Base stats'!E:E),Groups!A:A,Groups!AU:AU)=1),
      1,
      "No"
   )
)</f>
        <v>No</v>
      </c>
      <c r="BQ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stats'!AS:AS) * 1.8) * 2) * 2.5 + 10 + I162 * 2,5)+IF(_xlfn.XLOOKUP(B162,'Base stats'!B:B,'Base stats'!AH:AH)=1,50,0)</f>
        <v>25</v>
      </c>
      <c r="BR162" s="8">
        <f t="shared" si="19"/>
        <v>0.25</v>
      </c>
      <c r="BS162" s="8" t="str">
        <f>_xlfn.XLOOKUP(B162,'Base stats'!B:B,'Base stats'!AD:AD)</f>
        <v>3~8</v>
      </c>
      <c r="BT162" s="2" t="str">
        <f>IF(AND(J162&lt;=0.95,OR(_xlfn.XLOOKUP(B162,'Base stats'!B:B,'Base stats'!AH:AH)=1,_xlfn.XLOOKUP(B162,'Base stats'!B:B,'Base stats'!Y:Y)="Carnivore",_xlfn.XLOOKUP(B162,'Base stats'!B:B,'Base stats'!Y:Y)="Omnivore",BD162&gt;0.1)),"true","false")</f>
        <v>false</v>
      </c>
      <c r="BU162" s="2" t="str">
        <f>IF(_xlfn.XLOOKUP(B162,'Base stats'!B:B,'Base stats'!AF:AF)=1,"true","false")</f>
        <v>false</v>
      </c>
      <c r="BV162" s="25" t="str">
        <f>IF(E162="BaseInsect","AnimalInsect",
IF(J162&gt;0.95,"AnimalExotic",
_xlfn.TEXTJOIN(", ",TRUE,
IF(OR(_xlfn.XLOOKUP(B162,'Base stats'!B:B,'Base stats'!AJ:AJ)=1,AND(_xlfn.XLOOKUP(B162,'Base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stats'!AH:AH)=1,AND(BH162&lt;&gt;"None",BQ162&gt;=60),ISNUMBER(SEARCH("Attack target",BO162))),"AnimalFighter","")
)))</f>
        <v>AnimalUncommon</v>
      </c>
      <c r="BW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),_xlfn.XLOOKUP(B162,B:B,BW:BW))</f>
        <v>TemperateForest TemperateSwamp</v>
      </c>
      <c r="BX162" s="25" t="str">
        <f>IF(_xlfn.XLOOKUP(B162,'Base stats'!B:B,'Base stats'!AG:AG)=1,"true","false")</f>
        <v>false</v>
      </c>
      <c r="BY162" s="25">
        <f>IF(_xlfn.XLOOKUP(B162,'Base stats'!B:B,'Base stats'!N:N)=1,"No",MAX(0.01,MIN(MROUND(IF(OR(_xlfn.XLOOKUP(B162,'Base stats'!B:B,'Base stats'!AJ:AJ)=1,AND(BI162="True",CB162="False")),POWER(10,3.47*LOG10(_xlfn.XLOOKUP(B162,'Base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stats'!AH:AH)=1),0.5,1)/100,0.025),1)))</f>
        <v>7.5000000000000011E-2</v>
      </c>
      <c r="BZ162" s="25" t="str">
        <f>IF(P162="Standard","No",MAX(0.01,IF(_xlfn.XLOOKUP(B162,'Base stats'!B:B,'Base stats'!N:N)=0,MROUND(BY162*P162,0.05),MIN(1,MAX(0.025,MROUND(IF(OR(CB162="true",AND(BI162="false",BN162="false")),POWER(10,4.15*LOG10(_xlfn.XLOOKUP(B162,'Base stats'!B:B,'Base stats'!C:C)*1000)^-0.73),POWER(10,3.47*LOG10(_xlfn.XLOOKUP(B162,'Base stats'!B:B,'Base stats'!C:C)*1000)^-0.96))*IF(_xlfn.XLOOKUP(B162,'Base stats'!B:B,'Base stats'!AH:AH)=1,0.5,1)/100,0.025))))))</f>
        <v>No</v>
      </c>
      <c r="CA162" s="25" t="str">
        <f>IF(_xlfn.XLOOKUP(_xlfn.XLOOKUP(B162,'Base stats'!B:B,'Base stats'!E:E),Groups!A:A,Groups!AJ:AJ)="Mammal","True","False")</f>
        <v>False</v>
      </c>
      <c r="CB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C162" s="25" t="str">
        <f t="shared" si="20"/>
        <v>False</v>
      </c>
      <c r="CD162" s="25" t="str">
        <f>IF(_xlfn.XLOOKUP(_xlfn.XLOOKUP(B162,'Base stats'!B:B,'Base stats'!E:E),Groups!A:A,Groups!AX:AX),"True","False")</f>
        <v>False</v>
      </c>
      <c r="CE162" s="25" t="str">
        <f>IF(_xlfn.XLOOKUP(_xlfn.XLOOKUP(B162,'Base stats'!B:B,'Base stats'!E:E),Groups!A:A,Groups!AY:AY),"True","False")</f>
        <v>False</v>
      </c>
      <c r="CF162" s="25" t="str">
        <f>IF(_xlfn.XLOOKUP(_xlfn.XLOOKUP(B162,'Base stats'!B:B,'Base stats'!E:E),Groups!A:A,Groups!AW:AW),"True","False")</f>
        <v>False</v>
      </c>
      <c r="CG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H162" s="25" t="str">
        <f>IF(_xlfn.XLOOKUP(_xlfn.XLOOKUP(B162,'Base stats'!B:B,'Base stats'!E:E),Groups!A:A,Groups!BB:BB),"True","False")</f>
        <v>True</v>
      </c>
      <c r="CI162" s="25" t="str">
        <f>IF(_xlfn.XLOOKUP(_xlfn.XLOOKUP(B162,'Base stats'!B:B,'Base stats'!E:E),Groups!A:A,Groups!BA:BA),"True","False")</f>
        <v>False</v>
      </c>
    </row>
    <row r="163" spans="1:87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stats'!AI:AI)=0,BH163="None",_xlfn.XLOOKUP(_xlfn.XLOOKUP(B163,'Base stats'!B:B,'Base stats'!E:E),Groups!A:A,Groups!B:B)=0), (18 + BQ163 * 2.7) * 0.5,
    IF(AND(_xlfn.XLOOKUP(B163,'Base stats'!B:B,'Base stats'!AI:AI)=0,OR(AO163&lt;0.55,AND(BH163="Intermediate",_xlfn.XLOOKUP(_xlfn.XLOOKUP(B163,'Base stats'!B:B,'Base stats'!E:E),Groups!A:A,Groups!B:B)&lt;2))), (18 + BQ163 * 2.7),
      IF(OR(BH163="Advanced",_xlfn.XLOOKUP(B163,'Base stats'!B:B,'Base stats'!AI:AI)=1,_xlfn.XLOOKUP(_xlfn.XLOOKUP(B163,'Base stats'!B:B,'Base stats'!E:E),Groups!A:A,Groups!B:B)=2), (18 + BQ163 * 2.7) + 250, (18 + BQ163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IF(_xlfn.XLOOKUP(B163,'Base stats'!B:B,'Base stats'!AI:AI)=1,0.99,MIN(MROUND((1-0.6282*EXP(-0.459*AO163))*_xlfn.XLOOKUP(_xlfn.XLOOKUP(B163,'Base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W163)),ISNUMBER(SEARCH("IceSheet",BW163))),-50,IF(OR(ISNUMBER(SEARCH("GlacialPlain",BW163)),ISNUMBER(SEARCH("Tundra",BW163))),-40,IF(OR(ISNUMBER(SEARCH("Alpine",BW163)),ISNUMBER(SEARCH("BorealForest",BW163)),ISNUMBER(SEARCH("ColdBog",BW163))),-30,IF(OR(ISNUMBER(SEARCH("TemperateForest",BW163)),ISNUMBER(SEARCH("TemperateSwamp",BW163))),-20,IF(_xlfn.XLOOKUP(_xlfn.XLOOKUP(B163,'Base stats'!B:B,'Base stats'!E:E),Groups!A:A,Groups!F:F)=1,-15,IF(OR(ISNUMBER(SEARCH("Desert",BW163)),ISNUMBER(SEARCH("ExtremeDesert",BW163))),-10,IF(OR(ISNUMBER(SEARCH("Grasslands",BW163)),ISNUMBER(SEARCH("TropicalRainforest",BW163)),ISNUMBER(SEARCH("TropicalSwamp",BW163))),10,0)))))))-IF(CB163="False",MIN(IFERROR(MAX(MROUND(LOG10(_xlfn.XLOOKUP(B163,'Base stats'!B:B,'Base stats'!C:C)^(2/3))*10,5),5),5),30))-_xlfn.XLOOKUP(B163,'Base stats'!B:B,'Base stats'!P:P)+IF(CB163="True",5,0)</f>
        <v>0</v>
      </c>
      <c r="M163" s="2">
        <f>IF(OR(_xlfn.XLOOKUP(_xlfn.XLOOKUP(B163,'Base stats'!B:B,'Base stats'!E:E),Groups!A:A,Groups!G:G)=2,ISNUMBER(SEARCH("Desert",BW163)),ISNUMBER(SEARCH("ExtremeDesert",BW163)),ISNUMBER(SEARCH("LavaField",BW163))),50,IF(ISNUMBER(SEARCH("Grasslands",BW163)),45,IF(OR(_xlfn.XLOOKUP(_xlfn.XLOOKUP(B163,'Base stats'!B:B,'Base stats'!E:E),Groups!A:A,Groups!G:G)=1,ISNUMBER(SEARCH("TropicalRainforest",BW163)),ISNUMBER(SEARCH("TropicalSwamp",BW163))),40,IF(OR(ISNUMBER(SEARCH("TemperateForest",BW163)),ISNUMBER(SEARCH("TemperateSwamp",BW163))),35,IF(OR(ISNUMBER(SEARCH("Alpine",BW163)),ISNUMBER(SEARCH("BorealForest",BW163)),ISNUMBER(SEARCH("ColdBog",BW163))),30,IF(ISNUMBER(OR(ISNUMBER(SEARCH("GlacialPlain",BW163)),SEARCH("Tundra",BW163))),25,IF(OR(ISNUMBER(SEARCH("SeaIce",BW163)),ISNUMBER(SEARCH("IceSheet",BW163)),ISNUMBER(SEARCH("TropicalSwamp",BW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stats'!AO:AO))*(AO163^0.5)+(_xlfn.XLOOKUP(B163,'Base stats'!B:B,'Base stats'!AO:AO)/1000)^(2/3)+_xlfn.XLOOKUP(B163,'Base stats'!B:B,'Base stats'!AX:AX)/2)+0.5,0.5)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stats'!AP:AP))*(AO163^0.5)+(_xlfn.XLOOKUP(B163,'Base stats'!B:B,'Base stats'!AP:AP)/1000)^(2/3)+_xlfn.XLOOKUP(B163,'Base stats'!B:B,'Base stats'!AX:AX))+_xlfn.XLOOKUP(B163,'Base stats'!B:B,'Base stats'!AV:AV)+0.5,0.5))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stats'!AR:AR))*(AO163^0.5)+(_xlfn.XLOOKUP(B163,'Base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stats'!AQ:AQ)="No","No",MROUND((LOG10(_xlfn.XLOOKUP(B163,'Base stats'!B:B,'Base stats'!AQ:AQ))*(AO163^0.75)+(_xlfn.XLOOKUP(B163,'Base stats'!B:B,'Base stats'!AQ:AQ)/1000)^(2/3)+_xlfn.XLOOKUP(B163,'Base stats'!B:B,'Base stats'!AU:AU)+_xlfn.XLOOKUP(B163,'Base stats'!B:B,'Base stats'!AX:AX))+0.5,0.5))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stats'!AP:AP))*(AO163^0.75)+(_xlfn.XLOOKUP(B163,'Base stats'!B:B,'Base stats'!AP:AP)/1000)^(2/3)+_xlfn.XLOOKUP(B163,'Base stats'!B:B,'Base stats'!AV:AV)+_xlfn.XLOOKUP(B163,'Base stats'!B:B,'Base stats'!AX:AX))+0.5,0.5))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IF(BI163="false","No",MROUND(AO163*5+15*1,5))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MAX(0.01,MROUND(IF(CB163="True",0.196*(AO163*100*1000)^0.889,IF(_xlfn.XLOOKUP(_xlfn.XLOOKUP(B163,'Base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IF(BS163="No","false","true")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stats'!AE:AE)</f>
        <v>Leather_Light</v>
      </c>
      <c r="BB163" s="23" t="str">
        <f>_xlfn.XLOOKUP(_xlfn.XLOOKUP(B163,'Base stats'!B:B,'Base stats'!E:E),Groups!A:A,Groups!AL:AL)</f>
        <v>Ape</v>
      </c>
      <c r="BC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D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E163" s="2" t="str">
        <f>IF(J163&gt;0.3,"No",_xlfn.XLOOKUP(_xlfn.XLOOKUP(Animals!B163,'Base stats'!B:B,'Base stats'!E:E),Groups!A:A,Groups!AP:AP))</f>
        <v>No</v>
      </c>
      <c r="BF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+ 24*(1-IF(BE163="No",0,BE163)) + 16/3, 12),"No")</f>
        <v>No</v>
      </c>
      <c r="BG163" s="2">
        <f>IF(AND(_xlfn.XLOOKUP(_xlfn.XLOOKUP(B163,'Base stats'!B:B,'Base stats'!E:E),Groups!A:A,Groups!AQ:AQ)=1,AO163&lt;=0.35),8,12)</f>
        <v>12</v>
      </c>
      <c r="BH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I163" s="2" t="str">
        <f>IF(AND(_xlfn.XLOOKUP(_xlfn.XLOOKUP(B163,'Base stats'!B:B,'Base stats'!E:E),Groups!A:A,Groups!AS:AS)=1,OR('Base stats'!Y163="Carnivore",'Base stats'!Y163="Omnivore")),"true","false")</f>
        <v>false</v>
      </c>
      <c r="BJ163" s="2" t="str">
        <f>IF(BI163="true",MROUND(IF(AND(AO163&gt;0.5,OR(_xlfn.XLOOKUP(_xlfn.XLOOKUP(B163,'Base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K163" s="2">
        <f t="shared" ref="BK163:BK166" si="23">IF(BH163&lt;&gt;"None",1,0)</f>
        <v>1</v>
      </c>
      <c r="BL163" s="25" t="str">
        <f>IF(_xlfn.XLOOKUP(B163,'Base stats'!B:B,'Base stats'!AK:AK)="Standard","No",MROUND((_xlfn.XLOOKUP(B163,'Base stats'!B:B,'Base stats'!AK:AK)/3.6)/I163,0.1))</f>
        <v>No</v>
      </c>
      <c r="BM163" s="25" t="str">
        <f t="shared" ref="BM163:BM166" si="24">IF(OR(BL163&lt;&gt;"No",BP163=1),"true","false")</f>
        <v>false</v>
      </c>
      <c r="BN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O163" s="25" t="str" cm="1">
        <f t="array" ref="BO163">IF(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 = "",
  "No",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
)</f>
        <v>No</v>
      </c>
      <c r="BP163" s="25" t="str">
        <f>IF(
   AND(
      'Base stats'!AK163="Standard",_xlfn.XLOOKUP(_xlfn.XLOOKUP(B163,'Base stats'!B:B,'Base stats'!E:E),Groups!A:A,Groups!AU:AU)=0,
      OR(
      BN163="True"
      )
   ),
   10,
   IF(
       OR(BL163&lt;&gt;"No",_xlfn.XLOOKUP(_xlfn.XLOOKUP(B163,'Base stats'!B:B,'Base stats'!E:E),Groups!A:A,Groups!AU:AU)=1),
      1,
      "No"
   )
)</f>
        <v>No</v>
      </c>
      <c r="BQ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stats'!AS:AS) * 1.8) * 2) * 2.5 + 10 + I163 * 2,5)+IF(_xlfn.XLOOKUP(B163,'Base stats'!B:B,'Base stats'!AH:AH)=1,50,0)</f>
        <v>85</v>
      </c>
      <c r="BR163" s="8">
        <f t="shared" ref="BR163:BR166" si="25">MROUND(AO163 * 0.2 + AQ163 * 0.8,0.05)</f>
        <v>0.65</v>
      </c>
      <c r="BS163" s="8" t="str">
        <f>_xlfn.XLOOKUP(B163,'Base stats'!B:B,'Base stats'!AD:AD)</f>
        <v>No</v>
      </c>
      <c r="BT163" s="2" t="str">
        <f>IF(AND(J163&lt;=0.95,OR(_xlfn.XLOOKUP(B163,'Base stats'!B:B,'Base stats'!AH:AH)=1,_xlfn.XLOOKUP(B163,'Base stats'!B:B,'Base stats'!Y:Y)="Carnivore",_xlfn.XLOOKUP(B163,'Base stats'!B:B,'Base stats'!Y:Y)="Omnivore",BD163&gt;0.1)),"true","false")</f>
        <v>false</v>
      </c>
      <c r="BU163" s="2" t="str">
        <f>IF(_xlfn.XLOOKUP(B163,'Base stats'!B:B,'Base stats'!AF:AF)=1,"true","false")</f>
        <v>false</v>
      </c>
      <c r="BV163" s="25" t="str">
        <f>IF(E163="BaseInsect","AnimalInsect",
IF(J163&gt;0.95,"AnimalExotic",
_xlfn.TEXTJOIN(", ",TRUE,
IF(OR(_xlfn.XLOOKUP(B163,'Base stats'!B:B,'Base stats'!AJ:AJ)=1,AND(_xlfn.XLOOKUP(B163,'Base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stats'!AH:AH)=1,AND(BH163&lt;&gt;"None",BQ163&gt;=60),ISNUMBER(SEARCH("Attack target",BO163))),"AnimalFighter","")
)))</f>
        <v>AnimalUncommon, AnimalFighter</v>
      </c>
      <c r="BW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),_xlfn.XLOOKUP(B163,B:B,BW:BW))</f>
        <v>TropicalRainforest TropicalSwamp Glowforest</v>
      </c>
      <c r="BX163" s="25" t="str">
        <f>IF(_xlfn.XLOOKUP(B163,'Base stats'!B:B,'Base stats'!AG:AG)=1,"true","false")</f>
        <v>false</v>
      </c>
      <c r="BY163" s="25">
        <f>IF(_xlfn.XLOOKUP(B163,'Base stats'!B:B,'Base stats'!N:N)=1,"No",MAX(0.01,MIN(MROUND(IF(OR(_xlfn.XLOOKUP(B163,'Base stats'!B:B,'Base stats'!AJ:AJ)=1,AND(BI163="True",CB163="False")),POWER(10,3.47*LOG10(_xlfn.XLOOKUP(B163,'Base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stats'!AH:AH)=1),0.5,1)/100,0.025),1)))</f>
        <v>2.5000000000000001E-2</v>
      </c>
      <c r="BZ163" s="25" t="str">
        <f>IF(P163="Standard","No",MAX(0.01,IF(_xlfn.XLOOKUP(B163,'Base stats'!B:B,'Base stats'!N:N)=0,MROUND(BY163*P163,0.05),MIN(1,MAX(0.025,MROUND(IF(OR(CB163="true",AND(BI163="false",BN163="false")),POWER(10,4.15*LOG10(_xlfn.XLOOKUP(B163,'Base stats'!B:B,'Base stats'!C:C)*1000)^-0.73),POWER(10,3.47*LOG10(_xlfn.XLOOKUP(B163,'Base stats'!B:B,'Base stats'!C:C)*1000)^-0.96))*IF(_xlfn.XLOOKUP(B163,'Base stats'!B:B,'Base stats'!AH:AH)=1,0.5,1)/100,0.025))))))</f>
        <v>No</v>
      </c>
      <c r="CA163" s="25" t="str">
        <f>IF(_xlfn.XLOOKUP(_xlfn.XLOOKUP(B163,'Base stats'!B:B,'Base stats'!E:E),Groups!A:A,Groups!AJ:AJ)="Mammal","True","False")</f>
        <v>True</v>
      </c>
      <c r="CB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C163" s="25" t="str">
        <f t="shared" ref="CC163:CC166" si="26">IF(J163&gt;0.95,"True","False")</f>
        <v>False</v>
      </c>
      <c r="CD163" s="25" t="str">
        <f>IF(_xlfn.XLOOKUP(_xlfn.XLOOKUP(B163,'Base stats'!B:B,'Base stats'!E:E),Groups!A:A,Groups!AX:AX),"True","False")</f>
        <v>False</v>
      </c>
      <c r="CE163" s="25" t="str">
        <f>IF(_xlfn.XLOOKUP(_xlfn.XLOOKUP(B163,'Base stats'!B:B,'Base stats'!E:E),Groups!A:A,Groups!AY:AY),"True","False")</f>
        <v>False</v>
      </c>
      <c r="CF163" s="25" t="str">
        <f>IF(_xlfn.XLOOKUP(_xlfn.XLOOKUP(B163,'Base stats'!B:B,'Base stats'!E:E),Groups!A:A,Groups!AW:AW),"True","False")</f>
        <v>False</v>
      </c>
      <c r="CG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H163" s="25" t="str">
        <f>IF(_xlfn.XLOOKUP(_xlfn.XLOOKUP(B163,'Base stats'!B:B,'Base stats'!E:E),Groups!A:A,Groups!BB:BB),"True","False")</f>
        <v>True</v>
      </c>
      <c r="CI163" s="25" t="str">
        <f>IF(_xlfn.XLOOKUP(_xlfn.XLOOKUP(B163,'Base stats'!B:B,'Base stats'!E:E),Groups!A:A,Groups!BA:BA),"True","False")</f>
        <v>False</v>
      </c>
    </row>
    <row r="164" spans="1:87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stats'!AI:AI)=0,BH164="None",_xlfn.XLOOKUP(_xlfn.XLOOKUP(B164,'Base stats'!B:B,'Base stats'!E:E),Groups!A:A,Groups!B:B)=0), (18 + BQ164 * 2.7) * 0.5,
    IF(AND(_xlfn.XLOOKUP(B164,'Base stats'!B:B,'Base stats'!AI:AI)=0,OR(AO164&lt;0.55,AND(BH164="Intermediate",_xlfn.XLOOKUP(_xlfn.XLOOKUP(B164,'Base stats'!B:B,'Base stats'!E:E),Groups!A:A,Groups!B:B)&lt;2))), (18 + BQ164 * 2.7),
      IF(OR(BH164="Advanced",_xlfn.XLOOKUP(B164,'Base stats'!B:B,'Base stats'!AI:AI)=1,_xlfn.XLOOKUP(_xlfn.XLOOKUP(B164,'Base stats'!B:B,'Base stats'!E:E),Groups!A:A,Groups!B:B)=2), (18 + BQ164 * 2.7) + 250, (18 + BQ164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IF(_xlfn.XLOOKUP(B164,'Base stats'!B:B,'Base stats'!AI:AI)=1,0.99,MIN(MROUND((1-0.6282*EXP(-0.459*AO164))*_xlfn.XLOOKUP(_xlfn.XLOOKUP(B164,'Base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W164)),ISNUMBER(SEARCH("IceSheet",BW164))),-50,IF(OR(ISNUMBER(SEARCH("GlacialPlain",BW164)),ISNUMBER(SEARCH("Tundra",BW164))),-40,IF(OR(ISNUMBER(SEARCH("Alpine",BW164)),ISNUMBER(SEARCH("BorealForest",BW164)),ISNUMBER(SEARCH("ColdBog",BW164))),-30,IF(OR(ISNUMBER(SEARCH("TemperateForest",BW164)),ISNUMBER(SEARCH("TemperateSwamp",BW164))),-20,IF(_xlfn.XLOOKUP(_xlfn.XLOOKUP(B164,'Base stats'!B:B,'Base stats'!E:E),Groups!A:A,Groups!F:F)=1,-15,IF(OR(ISNUMBER(SEARCH("Desert",BW164)),ISNUMBER(SEARCH("ExtremeDesert",BW164))),-10,IF(OR(ISNUMBER(SEARCH("Grasslands",BW164)),ISNUMBER(SEARCH("TropicalRainforest",BW164)),ISNUMBER(SEARCH("TropicalSwamp",BW164))),10,0)))))))-IF(CB164="False",MIN(IFERROR(MAX(MROUND(LOG10(_xlfn.XLOOKUP(B164,'Base stats'!B:B,'Base stats'!C:C)^(2/3))*10,5),5),5),30))-_xlfn.XLOOKUP(B164,'Base stats'!B:B,'Base stats'!P:P)+IF(CB164="True",5,0)</f>
        <v>-5</v>
      </c>
      <c r="M164" s="2">
        <f>IF(OR(_xlfn.XLOOKUP(_xlfn.XLOOKUP(B164,'Base stats'!B:B,'Base stats'!E:E),Groups!A:A,Groups!G:G)=2,ISNUMBER(SEARCH("Desert",BW164)),ISNUMBER(SEARCH("ExtremeDesert",BW164)),ISNUMBER(SEARCH("LavaField",BW164))),50,IF(ISNUMBER(SEARCH("Grasslands",BW164)),45,IF(OR(_xlfn.XLOOKUP(_xlfn.XLOOKUP(B164,'Base stats'!B:B,'Base stats'!E:E),Groups!A:A,Groups!G:G)=1,ISNUMBER(SEARCH("TropicalRainforest",BW164)),ISNUMBER(SEARCH("TropicalSwamp",BW164))),40,IF(OR(ISNUMBER(SEARCH("TemperateForest",BW164)),ISNUMBER(SEARCH("TemperateSwamp",BW164))),35,IF(OR(ISNUMBER(SEARCH("Alpine",BW164)),ISNUMBER(SEARCH("BorealForest",BW164)),ISNUMBER(SEARCH("ColdBog",BW164))),30,IF(ISNUMBER(OR(ISNUMBER(SEARCH("GlacialPlain",BW164)),SEARCH("Tundra",BW164))),25,IF(OR(ISNUMBER(SEARCH("SeaIce",BW164)),ISNUMBER(SEARCH("IceSheet",BW164)),ISNUMBER(SEARCH("TropicalSwamp",BW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stats'!AO:AO))*(AO164^0.5)+(_xlfn.XLOOKUP(B164,'Base stats'!B:B,'Base stats'!AO:AO)/1000)^(2/3)+_xlfn.XLOOKUP(B164,'Base stats'!B:B,'Base stats'!AX:AX)/2)+0.5,0.5)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stats'!AP:AP))*(AO164^0.5)+(_xlfn.XLOOKUP(B164,'Base stats'!B:B,'Base stats'!AP:AP)/1000)^(2/3)+_xlfn.XLOOKUP(B164,'Base stats'!B:B,'Base stats'!AX:AX))+_xlfn.XLOOKUP(B164,'Base stats'!B:B,'Base stats'!AV:AV)+0.5,0.5))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stats'!AR:AR))*(AO164^0.5)+(_xlfn.XLOOKUP(B164,'Base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stats'!AQ:AQ)="No","No",MROUND((LOG10(_xlfn.XLOOKUP(B164,'Base stats'!B:B,'Base stats'!AQ:AQ))*(AO164^0.75)+(_xlfn.XLOOKUP(B164,'Base stats'!B:B,'Base stats'!AQ:AQ)/1000)^(2/3)+_xlfn.XLOOKUP(B164,'Base stats'!B:B,'Base stats'!AU:AU)+_xlfn.XLOOKUP(B164,'Base stats'!B:B,'Base stats'!AX:AX))+0.5,0.5))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stats'!AP:AP))*(AO164^0.75)+(_xlfn.XLOOKUP(B164,'Base stats'!B:B,'Base stats'!AP:AP)/1000)^(2/3)+_xlfn.XLOOKUP(B164,'Base stats'!B:B,'Base stats'!AV:AV)+_xlfn.XLOOKUP(B164,'Base stats'!B:B,'Base stats'!AX:AX))+0.5,0.5))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MAX(0.01,MROUND(IF(CB164="True",0.196*(AO164*100*1000)^0.889,IF(_xlfn.XLOOKUP(_xlfn.XLOOKUP(B164,'Base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stats'!AE:AE)</f>
        <v>Leather_Bird</v>
      </c>
      <c r="BB164" s="23" t="str">
        <f>_xlfn.XLOOKUP(_xlfn.XLOOKUP(B164,'Base stats'!B:B,'Base stats'!E:E),Groups!A:A,Groups!AL:AL)</f>
        <v>Bird</v>
      </c>
      <c r="BC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D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E164" s="2" t="str">
        <f>IF(J164&gt;0.3,"No",_xlfn.XLOOKUP(_xlfn.XLOOKUP(Animals!B164,'Base stats'!B:B,'Base stats'!E:E),Groups!A:A,Groups!AP:AP))</f>
        <v>No</v>
      </c>
      <c r="BF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+ 24*(1-IF(BE164="No",0,BE164)) + 16/3, 12),"No")</f>
        <v>No</v>
      </c>
      <c r="BG164" s="2">
        <f>IF(AND(_xlfn.XLOOKUP(_xlfn.XLOOKUP(B164,'Base stats'!B:B,'Base stats'!E:E),Groups!A:A,Groups!AQ:AQ)=1,AO164&lt;=0.35),8,12)</f>
        <v>8</v>
      </c>
      <c r="BH164" s="2" t="str">
        <f>IF(_xlfn.XLOOKUP(_xlfn.XLOOKUP(B164,'Base stats'!B:B,'Base stats'!E:E),Groups!A:A,Groups!D:D)=0,_xlfn.XLOOKUP(_xlfn.XLOOKUP(B164,'Base stats'!B:B,'Base stats'!E:E),Groups!A:A,Groups!AR:AR),"None")</f>
        <v>None</v>
      </c>
      <c r="BI164" s="2" t="str">
        <f>IF(AND(_xlfn.XLOOKUP(_xlfn.XLOOKUP(B164,'Base stats'!B:B,'Base stats'!E:E),Groups!A:A,Groups!AS:AS)=1,OR('Base stats'!Y164="Carnivore",'Base stats'!Y164="Omnivore")),"true","false")</f>
        <v>false</v>
      </c>
      <c r="BJ164" s="2" t="str">
        <f>IF(BI164="true",MROUND(IF(AND(AO164&gt;0.5,OR(_xlfn.XLOOKUP(_xlfn.XLOOKUP(B164,'Base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K164" s="2">
        <f t="shared" si="23"/>
        <v>0</v>
      </c>
      <c r="BL164" s="25" t="str">
        <f>IF(_xlfn.XLOOKUP(B164,'Base stats'!B:B,'Base stats'!AK:AK)="Standard","No",MROUND((_xlfn.XLOOKUP(B164,'Base stats'!B:B,'Base stats'!AK:AK)/3.6)/I164,0.1))</f>
        <v>No</v>
      </c>
      <c r="BM164" s="25" t="str">
        <f t="shared" si="24"/>
        <v>false</v>
      </c>
      <c r="BN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O164" s="25" t="str" cm="1">
        <f t="array" ref="BO164">IF(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 = "",
  "No",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
)</f>
        <v>No</v>
      </c>
      <c r="BP164" s="25" t="str">
        <f>IF(
   AND(
      'Base stats'!AK164="Standard",_xlfn.XLOOKUP(_xlfn.XLOOKUP(B164,'Base stats'!B:B,'Base stats'!E:E),Groups!A:A,Groups!AU:AU)=0,
      OR(
      BN164="True"
      )
   ),
   10,
   IF(
       OR(BL164&lt;&gt;"No",_xlfn.XLOOKUP(_xlfn.XLOOKUP(B164,'Base stats'!B:B,'Base stats'!E:E),Groups!A:A,Groups!AU:AU)=1),
      1,
      "No"
   )
)</f>
        <v>No</v>
      </c>
      <c r="BQ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stats'!AS:AS) * 1.8) * 2) * 2.5 + 10 + I164 * 2,5)+IF(_xlfn.XLOOKUP(B164,'Base stats'!B:B,'Base stats'!AH:AH)=1,50,0)</f>
        <v>35</v>
      </c>
      <c r="BR164" s="8">
        <f t="shared" si="25"/>
        <v>0.35000000000000003</v>
      </c>
      <c r="BS164" s="8" t="str">
        <f>_xlfn.XLOOKUP(B164,'Base stats'!B:B,'Base stats'!AD:AD)</f>
        <v>No</v>
      </c>
      <c r="BT164" s="2" t="str">
        <f>IF(AND(J164&lt;=0.95,OR(_xlfn.XLOOKUP(B164,'Base stats'!B:B,'Base stats'!AH:AH)=1,_xlfn.XLOOKUP(B164,'Base stats'!B:B,'Base stats'!Y:Y)="Carnivore",_xlfn.XLOOKUP(B164,'Base stats'!B:B,'Base stats'!Y:Y)="Omnivore",BD164&gt;0.1)),"true","false")</f>
        <v>false</v>
      </c>
      <c r="BU164" s="2" t="str">
        <f>IF(_xlfn.XLOOKUP(B164,'Base stats'!B:B,'Base stats'!AF:AF)=1,"true","false")</f>
        <v>false</v>
      </c>
      <c r="BV164" s="25" t="str">
        <f>IF(E164="BaseInsect","AnimalInsect",
IF(J164&gt;0.95,"AnimalExotic",
_xlfn.TEXTJOIN(", ",TRUE,
IF(OR(_xlfn.XLOOKUP(B164,'Base stats'!B:B,'Base stats'!AJ:AJ)=1,AND(_xlfn.XLOOKUP(B164,'Base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stats'!AH:AH)=1,AND(BH164&lt;&gt;"None",BQ164&gt;=60),ISNUMBER(SEARCH("Attack target",BO164))),"AnimalFighter","")
)))</f>
        <v>AnimalExotic</v>
      </c>
      <c r="BW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),_xlfn.XLOOKUP(B164,B:B,BW:BW))</f>
        <v/>
      </c>
      <c r="BX164" s="25" t="str">
        <f>IF(_xlfn.XLOOKUP(B164,'Base stats'!B:B,'Base stats'!AG:AG)=1,"true","false")</f>
        <v>false</v>
      </c>
      <c r="BY164" s="25">
        <f>IF(_xlfn.XLOOKUP(B164,'Base stats'!B:B,'Base stats'!N:N)=1,"No",MAX(0.01,MIN(MROUND(IF(OR(_xlfn.XLOOKUP(B164,'Base stats'!B:B,'Base stats'!AJ:AJ)=1,AND(BI164="True",CB164="False")),POWER(10,3.47*LOG10(_xlfn.XLOOKUP(B164,'Base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stats'!AH:AH)=1),0.5,1)/100,0.025),1)))</f>
        <v>0.05</v>
      </c>
      <c r="BZ164" s="25" t="str">
        <f>IF(P164="Standard","No",MAX(0.01,IF(_xlfn.XLOOKUP(B164,'Base stats'!B:B,'Base stats'!N:N)=0,MROUND(BY164*P164,0.05),MIN(1,MAX(0.025,MROUND(IF(OR(CB164="true",AND(BI164="false",BN164="false")),POWER(10,4.15*LOG10(_xlfn.XLOOKUP(B164,'Base stats'!B:B,'Base stats'!C:C)*1000)^-0.73),POWER(10,3.47*LOG10(_xlfn.XLOOKUP(B164,'Base stats'!B:B,'Base stats'!C:C)*1000)^-0.96))*IF(_xlfn.XLOOKUP(B164,'Base stats'!B:B,'Base stats'!AH:AH)=1,0.5,1)/100,0.025))))))</f>
        <v>No</v>
      </c>
      <c r="CA164" s="25" t="str">
        <f>IF(_xlfn.XLOOKUP(_xlfn.XLOOKUP(B164,'Base stats'!B:B,'Base stats'!E:E),Groups!A:A,Groups!AJ:AJ)="Mammal","True","False")</f>
        <v>False</v>
      </c>
      <c r="CB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C164" s="25" t="str">
        <f t="shared" si="26"/>
        <v>True</v>
      </c>
      <c r="CD164" s="25" t="str">
        <f>IF(_xlfn.XLOOKUP(_xlfn.XLOOKUP(B164,'Base stats'!B:B,'Base stats'!E:E),Groups!A:A,Groups!AX:AX),"True","False")</f>
        <v>False</v>
      </c>
      <c r="CE164" s="25" t="str">
        <f>IF(_xlfn.XLOOKUP(_xlfn.XLOOKUP(B164,'Base stats'!B:B,'Base stats'!E:E),Groups!A:A,Groups!AY:AY),"True","False")</f>
        <v>False</v>
      </c>
      <c r="CF164" s="25" t="str">
        <f>IF(_xlfn.XLOOKUP(_xlfn.XLOOKUP(B164,'Base stats'!B:B,'Base stats'!E:E),Groups!A:A,Groups!AW:AW),"True","False")</f>
        <v>False</v>
      </c>
      <c r="CG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H164" s="25" t="str">
        <f>IF(_xlfn.XLOOKUP(_xlfn.XLOOKUP(B164,'Base stats'!B:B,'Base stats'!E:E),Groups!A:A,Groups!BB:BB),"True","False")</f>
        <v>True</v>
      </c>
      <c r="CI164" s="25" t="str">
        <f>IF(_xlfn.XLOOKUP(_xlfn.XLOOKUP(B164,'Base stats'!B:B,'Base stats'!E:E),Groups!A:A,Groups!BA:BA),"True","False")</f>
        <v>False</v>
      </c>
    </row>
    <row r="165" spans="1:87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stats'!AI:AI)=0,BH165="None",_xlfn.XLOOKUP(_xlfn.XLOOKUP(B165,'Base stats'!B:B,'Base stats'!E:E),Groups!A:A,Groups!B:B)=0), (18 + BQ165 * 2.7) * 0.5,
    IF(AND(_xlfn.XLOOKUP(B165,'Base stats'!B:B,'Base stats'!AI:AI)=0,OR(AO165&lt;0.55,AND(BH165="Intermediate",_xlfn.XLOOKUP(_xlfn.XLOOKUP(B165,'Base stats'!B:B,'Base stats'!E:E),Groups!A:A,Groups!B:B)&lt;2))), (18 + BQ165 * 2.7),
      IF(OR(BH165="Advanced",_xlfn.XLOOKUP(B165,'Base stats'!B:B,'Base stats'!AI:AI)=1,_xlfn.XLOOKUP(_xlfn.XLOOKUP(B165,'Base stats'!B:B,'Base stats'!E:E),Groups!A:A,Groups!B:B)=2), (18 + BQ165 * 2.7) + 250, (18 + BQ165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IF(_xlfn.XLOOKUP(B165,'Base stats'!B:B,'Base stats'!AI:AI)=1,0.99,MIN(MROUND((1-0.6282*EXP(-0.459*AO165))*_xlfn.XLOOKUP(_xlfn.XLOOKUP(B165,'Base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W165)),ISNUMBER(SEARCH("IceSheet",BW165))),-50,IF(OR(ISNUMBER(SEARCH("GlacialPlain",BW165)),ISNUMBER(SEARCH("Tundra",BW165))),-40,IF(OR(ISNUMBER(SEARCH("Alpine",BW165)),ISNUMBER(SEARCH("BorealForest",BW165)),ISNUMBER(SEARCH("ColdBog",BW165))),-30,IF(OR(ISNUMBER(SEARCH("TemperateForest",BW165)),ISNUMBER(SEARCH("TemperateSwamp",BW165))),-20,IF(_xlfn.XLOOKUP(_xlfn.XLOOKUP(B165,'Base stats'!B:B,'Base stats'!E:E),Groups!A:A,Groups!F:F)=1,-15,IF(OR(ISNUMBER(SEARCH("Desert",BW165)),ISNUMBER(SEARCH("ExtremeDesert",BW165))),-10,IF(OR(ISNUMBER(SEARCH("Grasslands",BW165)),ISNUMBER(SEARCH("TropicalRainforest",BW165)),ISNUMBER(SEARCH("TropicalSwamp",BW165))),10,0)))))))-IF(CB165="False",MIN(IFERROR(MAX(MROUND(LOG10(_xlfn.XLOOKUP(B165,'Base stats'!B:B,'Base stats'!C:C)^(2/3))*10,5),5),5),30))-_xlfn.XLOOKUP(B165,'Base stats'!B:B,'Base stats'!P:P)+IF(CB165="True",5,0)</f>
        <v>-25</v>
      </c>
      <c r="M165" s="2">
        <f>IF(OR(_xlfn.XLOOKUP(_xlfn.XLOOKUP(B165,'Base stats'!B:B,'Base stats'!E:E),Groups!A:A,Groups!G:G)=2,ISNUMBER(SEARCH("Desert",BW165)),ISNUMBER(SEARCH("ExtremeDesert",BW165)),ISNUMBER(SEARCH("LavaField",BW165))),50,IF(ISNUMBER(SEARCH("Grasslands",BW165)),45,IF(OR(_xlfn.XLOOKUP(_xlfn.XLOOKUP(B165,'Base stats'!B:B,'Base stats'!E:E),Groups!A:A,Groups!G:G)=1,ISNUMBER(SEARCH("TropicalRainforest",BW165)),ISNUMBER(SEARCH("TropicalSwamp",BW165))),40,IF(OR(ISNUMBER(SEARCH("TemperateForest",BW165)),ISNUMBER(SEARCH("TemperateSwamp",BW165))),35,IF(OR(ISNUMBER(SEARCH("Alpine",BW165)),ISNUMBER(SEARCH("BorealForest",BW165)),ISNUMBER(SEARCH("ColdBog",BW165))),30,IF(ISNUMBER(OR(ISNUMBER(SEARCH("GlacialPlain",BW165)),SEARCH("Tundra",BW165))),25,IF(OR(ISNUMBER(SEARCH("SeaIce",BW165)),ISNUMBER(SEARCH("IceSheet",BW165)),ISNUMBER(SEARCH("TropicalSwamp",BW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stats'!AO:AO))*(AO165^0.5)+(_xlfn.XLOOKUP(B165,'Base stats'!B:B,'Base stats'!AO:AO)/1000)^(2/3)+_xlfn.XLOOKUP(B165,'Base stats'!B:B,'Base stats'!AX:AX)/2)+0.5,0.5)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stats'!AP:AP))*(AO165^0.5)+(_xlfn.XLOOKUP(B165,'Base stats'!B:B,'Base stats'!AP:AP)/1000)^(2/3)+_xlfn.XLOOKUP(B165,'Base stats'!B:B,'Base stats'!AX:AX))+_xlfn.XLOOKUP(B165,'Base stats'!B:B,'Base stats'!AV:AV)+0.5,0.5))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stats'!AR:AR))*(AO165^0.5)+(_xlfn.XLOOKUP(B165,'Base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stats'!AQ:AQ)="No","No",MROUND((LOG10(_xlfn.XLOOKUP(B165,'Base stats'!B:B,'Base stats'!AQ:AQ))*(AO165^0.75)+(_xlfn.XLOOKUP(B165,'Base stats'!B:B,'Base stats'!AQ:AQ)/1000)^(2/3)+_xlfn.XLOOKUP(B165,'Base stats'!B:B,'Base stats'!AU:AU)+_xlfn.XLOOKUP(B165,'Base stats'!B:B,'Base stats'!AX:AX))+0.5,0.5))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stats'!AP:AP))*(AO165^0.75)+(_xlfn.XLOOKUP(B165,'Base stats'!B:B,'Base stats'!AP:AP)/1000)^(2/3)+_xlfn.XLOOKUP(B165,'Base stats'!B:B,'Base stats'!AV:AV)+_xlfn.XLOOKUP(B165,'Base stats'!B:B,'Base stats'!AX:AX))+0.5,0.5))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MAX(0.01,MROUND(IF(CB165="True",0.196*(AO165*100*1000)^0.889,IF(_xlfn.XLOOKUP(_xlfn.XLOOKUP(B165,'Base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stats'!AE:AE)</f>
        <v>No</v>
      </c>
      <c r="BB165" s="23" t="str">
        <f>_xlfn.XLOOKUP(_xlfn.XLOOKUP(B165,'Base stats'!B:B,'Base stats'!E:E),Groups!A:A,Groups!AL:AL)</f>
        <v>Bird</v>
      </c>
      <c r="BC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D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E165" s="2" t="str">
        <f>IF(J165&gt;0.3,"No",_xlfn.XLOOKUP(_xlfn.XLOOKUP(Animals!B165,'Base stats'!B:B,'Base stats'!E:E),Groups!A:A,Groups!AP:AP))</f>
        <v>No</v>
      </c>
      <c r="BF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+ 24*(1-IF(BE165="No",0,BE165)) + 16/3, 12),"No")</f>
        <v>No</v>
      </c>
      <c r="BG165" s="2">
        <f>IF(AND(_xlfn.XLOOKUP(_xlfn.XLOOKUP(B165,'Base stats'!B:B,'Base stats'!E:E),Groups!A:A,Groups!AQ:AQ)=1,AO165&lt;=0.35),8,12)</f>
        <v>12</v>
      </c>
      <c r="BH165" s="2" t="str">
        <f>IF(_xlfn.XLOOKUP(_xlfn.XLOOKUP(B165,'Base stats'!B:B,'Base stats'!E:E),Groups!A:A,Groups!D:D)=0,_xlfn.XLOOKUP(_xlfn.XLOOKUP(B165,'Base stats'!B:B,'Base stats'!E:E),Groups!A:A,Groups!AR:AR),"None")</f>
        <v>None</v>
      </c>
      <c r="BI165" s="2" t="str">
        <f>IF(AND(_xlfn.XLOOKUP(_xlfn.XLOOKUP(B165,'Base stats'!B:B,'Base stats'!E:E),Groups!A:A,Groups!AS:AS)=1,OR('Base stats'!Y165="Carnivore",'Base stats'!Y165="Omnivore")),"true","false")</f>
        <v>false</v>
      </c>
      <c r="BJ165" s="2" t="str">
        <f>IF(BI165="true",MROUND(IF(AND(AO165&gt;0.5,OR(_xlfn.XLOOKUP(_xlfn.XLOOKUP(B165,'Base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K165" s="2">
        <f t="shared" si="23"/>
        <v>0</v>
      </c>
      <c r="BL165" s="25" t="str">
        <f>IF(_xlfn.XLOOKUP(B165,'Base stats'!B:B,'Base stats'!AK:AK)="Standard","No",MROUND((_xlfn.XLOOKUP(B165,'Base stats'!B:B,'Base stats'!AK:AK)/3.6)/I165,0.1))</f>
        <v>No</v>
      </c>
      <c r="BM165" s="25" t="str">
        <f t="shared" si="24"/>
        <v>true</v>
      </c>
      <c r="BN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O165" s="25" t="str" cm="1">
        <f t="array" ref="BO165">IF(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 = "",
  "No",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
)</f>
        <v>No</v>
      </c>
      <c r="BP165" s="25">
        <f>IF(
   AND(
      'Base stats'!AK165="Standard",_xlfn.XLOOKUP(_xlfn.XLOOKUP(B165,'Base stats'!B:B,'Base stats'!E:E),Groups!A:A,Groups!AU:AU)=0,
      OR(
      BN165="True"
      )
   ),
   10,
   IF(
       OR(BL165&lt;&gt;"No",_xlfn.XLOOKUP(_xlfn.XLOOKUP(B165,'Base stats'!B:B,'Base stats'!E:E),Groups!A:A,Groups!AU:AU)=1),
      1,
      "No"
   )
)</f>
        <v>1</v>
      </c>
      <c r="BQ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stats'!AS:AS) * 1.8) * 2) * 2.5 + 10 + I165 * 2,5)+IF(_xlfn.XLOOKUP(B165,'Base stats'!B:B,'Base stats'!AH:AH)=1,50,0)</f>
        <v>35</v>
      </c>
      <c r="BR165" s="8">
        <f t="shared" si="25"/>
        <v>0.4</v>
      </c>
      <c r="BS165" s="8" t="str">
        <f>_xlfn.XLOOKUP(B165,'Base stats'!B:B,'Base stats'!AD:AD)</f>
        <v>No</v>
      </c>
      <c r="BT165" s="2" t="str">
        <f>IF(AND(J165&lt;=0.95,OR(_xlfn.XLOOKUP(B165,'Base stats'!B:B,'Base stats'!AH:AH)=1,_xlfn.XLOOKUP(B165,'Base stats'!B:B,'Base stats'!Y:Y)="Carnivore",_xlfn.XLOOKUP(B165,'Base stats'!B:B,'Base stats'!Y:Y)="Omnivore",BD165&gt;0.1)),"true","false")</f>
        <v>true</v>
      </c>
      <c r="BU165" s="2" t="str">
        <f>IF(_xlfn.XLOOKUP(B165,'Base stats'!B:B,'Base stats'!AF:AF)=1,"true","false")</f>
        <v>false</v>
      </c>
      <c r="BV165" s="25" t="str">
        <f>IF(E165="BaseInsect","AnimalInsect",
IF(J165&gt;0.95,"AnimalExotic",
_xlfn.TEXTJOIN(", ",TRUE,
IF(OR(_xlfn.XLOOKUP(B165,'Base stats'!B:B,'Base stats'!AJ:AJ)=1,AND(_xlfn.XLOOKUP(B165,'Base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stats'!AH:AH)=1,AND(BH165&lt;&gt;"None",BQ165&gt;=60),ISNUMBER(SEARCH("Attack target",BO165))),"AnimalFighter","")
)))</f>
        <v>AnimalUncommon</v>
      </c>
      <c r="BW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),_xlfn.XLOOKUP(B165,B:B,BW:BW))</f>
        <v>TemperateForest TemperateSwamp</v>
      </c>
      <c r="BX165" s="25" t="str">
        <f>IF(_xlfn.XLOOKUP(B165,'Base stats'!B:B,'Base stats'!AG:AG)=1,"true","false")</f>
        <v>false</v>
      </c>
      <c r="BY165" s="25">
        <f>IF(_xlfn.XLOOKUP(B165,'Base stats'!B:B,'Base stats'!N:N)=1,"No",MAX(0.01,MIN(MROUND(IF(OR(_xlfn.XLOOKUP(B165,'Base stats'!B:B,'Base stats'!AJ:AJ)=1,AND(BI165="True",CB165="False")),POWER(10,3.47*LOG10(_xlfn.XLOOKUP(B165,'Base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stats'!AH:AH)=1),0.5,1)/100,0.025),1)))</f>
        <v>0.05</v>
      </c>
      <c r="BZ165" s="25" t="str">
        <f>IF(P165="Standard","No",MAX(0.01,IF(_xlfn.XLOOKUP(B165,'Base stats'!B:B,'Base stats'!N:N)=0,MROUND(BY165*P165,0.05),MIN(1,MAX(0.025,MROUND(IF(OR(CB165="true",AND(BI165="false",BN165="false")),POWER(10,4.15*LOG10(_xlfn.XLOOKUP(B165,'Base stats'!B:B,'Base stats'!C:C)*1000)^-0.73),POWER(10,3.47*LOG10(_xlfn.XLOOKUP(B165,'Base stats'!B:B,'Base stats'!C:C)*1000)^-0.96))*IF(_xlfn.XLOOKUP(B165,'Base stats'!B:B,'Base stats'!AH:AH)=1,0.5,1)/100,0.025))))))</f>
        <v>No</v>
      </c>
      <c r="CA165" s="25" t="str">
        <f>IF(_xlfn.XLOOKUP(_xlfn.XLOOKUP(B165,'Base stats'!B:B,'Base stats'!E:E),Groups!A:A,Groups!AJ:AJ)="Mammal","True","False")</f>
        <v>False</v>
      </c>
      <c r="CB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C165" s="25" t="str">
        <f t="shared" si="26"/>
        <v>False</v>
      </c>
      <c r="CD165" s="25" t="str">
        <f>IF(_xlfn.XLOOKUP(_xlfn.XLOOKUP(B165,'Base stats'!B:B,'Base stats'!E:E),Groups!A:A,Groups!AX:AX),"True","False")</f>
        <v>False</v>
      </c>
      <c r="CE165" s="25" t="str">
        <f>IF(_xlfn.XLOOKUP(_xlfn.XLOOKUP(B165,'Base stats'!B:B,'Base stats'!E:E),Groups!A:A,Groups!AY:AY),"True","False")</f>
        <v>False</v>
      </c>
      <c r="CF165" s="25" t="str">
        <f>IF(_xlfn.XLOOKUP(_xlfn.XLOOKUP(B165,'Base stats'!B:B,'Base stats'!E:E),Groups!A:A,Groups!AW:AW),"True","False")</f>
        <v>False</v>
      </c>
      <c r="CG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H165" s="25" t="str">
        <f>IF(_xlfn.XLOOKUP(_xlfn.XLOOKUP(B165,'Base stats'!B:B,'Base stats'!E:E),Groups!A:A,Groups!BB:BB),"True","False")</f>
        <v>True</v>
      </c>
      <c r="CI165" s="25" t="str">
        <f>IF(_xlfn.XLOOKUP(_xlfn.XLOOKUP(B165,'Base stats'!B:B,'Base stats'!E:E),Groups!A:A,Groups!BA:BA),"True","False")</f>
        <v>False</v>
      </c>
    </row>
    <row r="166" spans="1:87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stats'!AI:AI)=0,BH166="None",_xlfn.XLOOKUP(_xlfn.XLOOKUP(B166,'Base stats'!B:B,'Base stats'!E:E),Groups!A:A,Groups!B:B)=0), (18 + BQ166 * 2.7) * 0.5,
    IF(AND(_xlfn.XLOOKUP(B166,'Base stats'!B:B,'Base stats'!AI:AI)=0,OR(AO166&lt;0.55,AND(BH166="Intermediate",_xlfn.XLOOKUP(_xlfn.XLOOKUP(B166,'Base stats'!B:B,'Base stats'!E:E),Groups!A:A,Groups!B:B)&lt;2))), (18 + BQ166 * 2.7),
      IF(OR(BH166="Advanced",_xlfn.XLOOKUP(B166,'Base stats'!B:B,'Base stats'!AI:AI)=1,_xlfn.XLOOKUP(_xlfn.XLOOKUP(B166,'Base stats'!B:B,'Base stats'!E:E),Groups!A:A,Groups!B:B)=2), (18 + BQ166 * 2.7) + 250, (18 + BQ166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IF(_xlfn.XLOOKUP(B166,'Base stats'!B:B,'Base stats'!AI:AI)=1,0.99,MIN(MROUND((1-0.6282*EXP(-0.459*AO166))*_xlfn.XLOOKUP(_xlfn.XLOOKUP(B166,'Base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W166)),ISNUMBER(SEARCH("IceSheet",BW166))),-50,IF(OR(ISNUMBER(SEARCH("GlacialPlain",BW166)),ISNUMBER(SEARCH("Tundra",BW166))),-40,IF(OR(ISNUMBER(SEARCH("Alpine",BW166)),ISNUMBER(SEARCH("BorealForest",BW166)),ISNUMBER(SEARCH("ColdBog",BW166))),-30,IF(OR(ISNUMBER(SEARCH("TemperateForest",BW166)),ISNUMBER(SEARCH("TemperateSwamp",BW166))),-20,IF(_xlfn.XLOOKUP(_xlfn.XLOOKUP(B166,'Base stats'!B:B,'Base stats'!E:E),Groups!A:A,Groups!F:F)=1,-15,IF(OR(ISNUMBER(SEARCH("Desert",BW166)),ISNUMBER(SEARCH("ExtremeDesert",BW166))),-10,IF(OR(ISNUMBER(SEARCH("Grasslands",BW166)),ISNUMBER(SEARCH("TropicalRainforest",BW166)),ISNUMBER(SEARCH("TropicalSwamp",BW166))),10,0)))))))-IF(CB166="False",MIN(IFERROR(MAX(MROUND(LOG10(_xlfn.XLOOKUP(B166,'Base stats'!B:B,'Base stats'!C:C)^(2/3))*10,5),5),5),30))-_xlfn.XLOOKUP(B166,'Base stats'!B:B,'Base stats'!P:P)+IF(CB166="True",5,0)</f>
        <v>-5</v>
      </c>
      <c r="M166" s="2">
        <f>IF(OR(_xlfn.XLOOKUP(_xlfn.XLOOKUP(B166,'Base stats'!B:B,'Base stats'!E:E),Groups!A:A,Groups!G:G)=2,ISNUMBER(SEARCH("Desert",BW166)),ISNUMBER(SEARCH("ExtremeDesert",BW166)),ISNUMBER(SEARCH("LavaField",BW166))),50,IF(ISNUMBER(SEARCH("Grasslands",BW166)),45,IF(OR(_xlfn.XLOOKUP(_xlfn.XLOOKUP(B166,'Base stats'!B:B,'Base stats'!E:E),Groups!A:A,Groups!G:G)=1,ISNUMBER(SEARCH("TropicalRainforest",BW166)),ISNUMBER(SEARCH("TropicalSwamp",BW166))),40,IF(OR(ISNUMBER(SEARCH("TemperateForest",BW166)),ISNUMBER(SEARCH("TemperateSwamp",BW166))),35,IF(OR(ISNUMBER(SEARCH("Alpine",BW166)),ISNUMBER(SEARCH("BorealForest",BW166)),ISNUMBER(SEARCH("ColdBog",BW166))),30,IF(ISNUMBER(OR(ISNUMBER(SEARCH("GlacialPlain",BW166)),SEARCH("Tundra",BW166))),25,IF(OR(ISNUMBER(SEARCH("SeaIce",BW166)),ISNUMBER(SEARCH("IceSheet",BW166)),ISNUMBER(SEARCH("TropicalSwamp",BW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stats'!AO:AO))*(AO166^0.5)+(_xlfn.XLOOKUP(B166,'Base stats'!B:B,'Base stats'!AO:AO)/1000)^(2/3)+_xlfn.XLOOKUP(B166,'Base stats'!B:B,'Base stats'!AX:AX)/2)+0.5,0.5)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stats'!AP:AP))*(AO166^0.5)+(_xlfn.XLOOKUP(B166,'Base stats'!B:B,'Base stats'!AP:AP)/1000)^(2/3)+_xlfn.XLOOKUP(B166,'Base stats'!B:B,'Base stats'!AX:AX))+_xlfn.XLOOKUP(B166,'Base stats'!B:B,'Base stats'!AV:AV)+0.5,0.5))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stats'!AR:AR))*(AO166^0.5)+(_xlfn.XLOOKUP(B166,'Base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stats'!AQ:AQ)="No","No",MROUND((LOG10(_xlfn.XLOOKUP(B166,'Base stats'!B:B,'Base stats'!AQ:AQ))*(AO166^0.75)+(_xlfn.XLOOKUP(B166,'Base stats'!B:B,'Base stats'!AQ:AQ)/1000)^(2/3)+_xlfn.XLOOKUP(B166,'Base stats'!B:B,'Base stats'!AU:AU)+_xlfn.XLOOKUP(B166,'Base stats'!B:B,'Base stats'!AX:AX))+0.5,0.5))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stats'!AP:AP))*(AO166^0.75)+(_xlfn.XLOOKUP(B166,'Base stats'!B:B,'Base stats'!AP:AP)/1000)^(2/3)+_xlfn.XLOOKUP(B166,'Base stats'!B:B,'Base stats'!AV:AV)+_xlfn.XLOOKUP(B166,'Base stats'!B:B,'Base stats'!AX:AX))+0.5,0.5))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MAX(0.01,MROUND(IF(CB166="True",0.196*(AO166*100*1000)^0.889,IF(_xlfn.XLOOKUP(_xlfn.XLOOKUP(B166,'Base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stats'!AE:AE)</f>
        <v>Leather_Light</v>
      </c>
      <c r="BB166" s="23" t="str">
        <f>_xlfn.XLOOKUP(_xlfn.XLOOKUP(B166,'Base stats'!B:B,'Base stats'!E:E),Groups!A:A,Groups!AL:AL)</f>
        <v>QuadrupedAnimalWithPaws</v>
      </c>
      <c r="BC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D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E166" s="2">
        <f>IF(J166&gt;0.3,"No",_xlfn.XLOOKUP(_xlfn.XLOOKUP(Animals!B166,'Base stats'!B:B,'Base stats'!E:E),Groups!A:A,Groups!AP:AP))</f>
        <v>0.5</v>
      </c>
      <c r="BF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+ 24*(1-IF(BE166="No",0,BE166)) + 16/3, 12),"No")</f>
        <v>24</v>
      </c>
      <c r="BG166" s="2">
        <f>IF(AND(_xlfn.XLOOKUP(_xlfn.XLOOKUP(B166,'Base stats'!B:B,'Base stats'!E:E),Groups!A:A,Groups!AQ:AQ)=1,AO166&lt;=0.35),8,12)</f>
        <v>8</v>
      </c>
      <c r="BH166" s="2" t="str">
        <f>IF(_xlfn.XLOOKUP(_xlfn.XLOOKUP(B166,'Base stats'!B:B,'Base stats'!E:E),Groups!A:A,Groups!D:D)=0,_xlfn.XLOOKUP(_xlfn.XLOOKUP(B166,'Base stats'!B:B,'Base stats'!E:E),Groups!A:A,Groups!AR:AR),"None")</f>
        <v>None</v>
      </c>
      <c r="BI166" s="2" t="str">
        <f>IF(AND(_xlfn.XLOOKUP(_xlfn.XLOOKUP(B166,'Base stats'!B:B,'Base stats'!E:E),Groups!A:A,Groups!AS:AS)=1,OR('Base stats'!Y166="Carnivore",'Base stats'!Y166="Omnivore")),"true","false")</f>
        <v>false</v>
      </c>
      <c r="BJ166" s="2" t="str">
        <f>IF(BI166="true",MROUND(IF(AND(AO166&gt;0.5,OR(_xlfn.XLOOKUP(_xlfn.XLOOKUP(B166,'Base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K166" s="2">
        <f t="shared" si="23"/>
        <v>0</v>
      </c>
      <c r="BL166" s="25" t="str">
        <f>IF(_xlfn.XLOOKUP(B166,'Base stats'!B:B,'Base stats'!AK:AK)="Standard","No",MROUND((_xlfn.XLOOKUP(B166,'Base stats'!B:B,'Base stats'!AK:AK)/3.6)/I166,0.1))</f>
        <v>No</v>
      </c>
      <c r="BM166" s="25" t="str">
        <f t="shared" si="24"/>
        <v>false</v>
      </c>
      <c r="BN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O166" s="25" t="str" cm="1">
        <f t="array" ref="BO166">IF(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 = "",
  "No",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
)</f>
        <v>Comfort</v>
      </c>
      <c r="BP166" s="25" t="str">
        <f>IF(
   AND(
      'Base stats'!AK166="Standard",_xlfn.XLOOKUP(_xlfn.XLOOKUP(B166,'Base stats'!B:B,'Base stats'!E:E),Groups!A:A,Groups!AU:AU)=0,
      OR(
      BN166="True"
      )
   ),
   10,
   IF(
       OR(BL166&lt;&gt;"No",_xlfn.XLOOKUP(_xlfn.XLOOKUP(B166,'Base stats'!B:B,'Base stats'!E:E),Groups!A:A,Groups!AU:AU)=1),
      1,
      "No"
   )
)</f>
        <v>No</v>
      </c>
      <c r="BQ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stats'!AS:AS) * 1.8) * 2) * 2.5 + 10 + I166 * 2,5)+IF(_xlfn.XLOOKUP(B166,'Base stats'!B:B,'Base stats'!AH:AH)=1,50,0)</f>
        <v>40</v>
      </c>
      <c r="BR166" s="8">
        <f t="shared" si="25"/>
        <v>0.25</v>
      </c>
      <c r="BS166" s="8" t="str">
        <f>_xlfn.XLOOKUP(B166,'Base stats'!B:B,'Base stats'!AD:AD)</f>
        <v>3~8</v>
      </c>
      <c r="BT166" s="2" t="str">
        <f>IF(AND(J166&lt;=0.95,OR(_xlfn.XLOOKUP(B166,'Base stats'!B:B,'Base stats'!AH:AH)=1,_xlfn.XLOOKUP(B166,'Base stats'!B:B,'Base stats'!Y:Y)="Carnivore",_xlfn.XLOOKUP(B166,'Base stats'!B:B,'Base stats'!Y:Y)="Omnivore",BD166&gt;0.1)),"true","false")</f>
        <v>false</v>
      </c>
      <c r="BU166" s="2" t="str">
        <f>IF(_xlfn.XLOOKUP(B166,'Base stats'!B:B,'Base stats'!AF:AF)=1,"true","false")</f>
        <v>false</v>
      </c>
      <c r="BV166" s="25" t="str">
        <f>IF(E166="BaseInsect","AnimalInsect",
IF(J166&gt;0.95,"AnimalExotic",
_xlfn.TEXTJOIN(", ",TRUE,
IF(OR(_xlfn.XLOOKUP(B166,'Base stats'!B:B,'Base stats'!AJ:AJ)=1,AND(_xlfn.XLOOKUP(B166,'Base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stats'!AH:AH)=1,AND(BH166&lt;&gt;"None",BQ166&gt;=60),ISNUMBER(SEARCH("Attack target",BO166))),"AnimalFighter","")
)))</f>
        <v>AnimalUncommon</v>
      </c>
      <c r="BW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),_xlfn.XLOOKUP(B166,B:B,BW:BW))</f>
        <v/>
      </c>
      <c r="BX166" s="25" t="str">
        <f>IF(_xlfn.XLOOKUP(B166,'Base stats'!B:B,'Base stats'!AG:AG)=1,"true","false")</f>
        <v>false</v>
      </c>
      <c r="BY166" s="25">
        <f>IF(_xlfn.XLOOKUP(B166,'Base stats'!B:B,'Base stats'!N:N)=1,"No",MAX(0.01,MIN(MROUND(IF(OR(_xlfn.XLOOKUP(B166,'Base stats'!B:B,'Base stats'!AJ:AJ)=1,AND(BI166="True",CB166="False")),POWER(10,3.47*LOG10(_xlfn.XLOOKUP(B166,'Base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stats'!AH:AH)=1),0.5,1)/100,0.025),1)))</f>
        <v>0.05</v>
      </c>
      <c r="BZ166" s="25" t="str">
        <f>IF(P166="Standard","No",MAX(0.01,IF(_xlfn.XLOOKUP(B166,'Base stats'!B:B,'Base stats'!N:N)=0,MROUND(BY166*P166,0.05),MIN(1,MAX(0.025,MROUND(IF(OR(CB166="true",AND(BI166="false",BN166="false")),POWER(10,4.15*LOG10(_xlfn.XLOOKUP(B166,'Base stats'!B:B,'Base stats'!C:C)*1000)^-0.73),POWER(10,3.47*LOG10(_xlfn.XLOOKUP(B166,'Base stats'!B:B,'Base stats'!C:C)*1000)^-0.96))*IF(_xlfn.XLOOKUP(B166,'Base stats'!B:B,'Base stats'!AH:AH)=1,0.5,1)/100,0.025))))))</f>
        <v>No</v>
      </c>
      <c r="CA166" s="25" t="str">
        <f>IF(_xlfn.XLOOKUP(_xlfn.XLOOKUP(B166,'Base stats'!B:B,'Base stats'!E:E),Groups!A:A,Groups!AJ:AJ)="Mammal","True","False")</f>
        <v>True</v>
      </c>
      <c r="CB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C166" s="25" t="str">
        <f t="shared" si="26"/>
        <v>False</v>
      </c>
      <c r="CD166" s="25" t="str">
        <f>IF(_xlfn.XLOOKUP(_xlfn.XLOOKUP(B166,'Base stats'!B:B,'Base stats'!E:E),Groups!A:A,Groups!AX:AX),"True","False")</f>
        <v>False</v>
      </c>
      <c r="CE166" s="25" t="str">
        <f>IF(_xlfn.XLOOKUP(_xlfn.XLOOKUP(B166,'Base stats'!B:B,'Base stats'!E:E),Groups!A:A,Groups!AY:AY),"True","False")</f>
        <v>False</v>
      </c>
      <c r="CF166" s="25" t="str">
        <f>IF(_xlfn.XLOOKUP(_xlfn.XLOOKUP(B166,'Base stats'!B:B,'Base stats'!E:E),Groups!A:A,Groups!AW:AW),"True","False")</f>
        <v>False</v>
      </c>
      <c r="CG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H166" s="25" t="str">
        <f>IF(_xlfn.XLOOKUP(_xlfn.XLOOKUP(B166,'Base stats'!B:B,'Base stats'!E:E),Groups!A:A,Groups!BB:BB),"True","False")</f>
        <v>True</v>
      </c>
      <c r="CI166" s="25" t="str">
        <f>IF(_xlfn.XLOOKUP(_xlfn.XLOOKUP(B166,'Base stats'!B:B,'Base stats'!E:E),Groups!A:A,Groups!BA:BA),"True","False")</f>
        <v>False</v>
      </c>
    </row>
    <row r="167" spans="1:87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stats'!AI:AI)=0,BH167="None",_xlfn.XLOOKUP(_xlfn.XLOOKUP(B167,'Base stats'!B:B,'Base stats'!E:E),Groups!A:A,Groups!B:B)=0), (18 + BQ167 * 2.7) * 0.5,
    IF(AND(_xlfn.XLOOKUP(B167,'Base stats'!B:B,'Base stats'!AI:AI)=0,OR(AO167&lt;0.55,AND(BH167="Intermediate",_xlfn.XLOOKUP(_xlfn.XLOOKUP(B167,'Base stats'!B:B,'Base stats'!E:E),Groups!A:A,Groups!B:B)&lt;2))), (18 + BQ167 * 2.7),
      IF(OR(BH167="Advanced",_xlfn.XLOOKUP(B167,'Base stats'!B:B,'Base stats'!AI:AI)=1,_xlfn.XLOOKUP(_xlfn.XLOOKUP(B167,'Base stats'!B:B,'Base stats'!E:E),Groups!A:A,Groups!B:B)=2), (18 + BQ167 * 2.7) + 250, (18 + BQ167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stats'!AI:AI)=1,0.99,MIN(MROUND((1-0.6282*EXP(-0.459*AO167))*_xlfn.XLOOKUP(_xlfn.XLOOKUP(B167,'Base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W167)),ISNUMBER(SEARCH("IceSheet",BW167))),-50,IF(OR(ISNUMBER(SEARCH("GlacialPlain",BW167)),ISNUMBER(SEARCH("Tundra",BW167))),-40,IF(OR(ISNUMBER(SEARCH("Alpine",BW167)),ISNUMBER(SEARCH("BorealForest",BW167)),ISNUMBER(SEARCH("ColdBog",BW167))),-30,IF(OR(ISNUMBER(SEARCH("TemperateForest",BW167)),ISNUMBER(SEARCH("TemperateSwamp",BW167))),-20,IF(_xlfn.XLOOKUP(_xlfn.XLOOKUP(B167,'Base stats'!B:B,'Base stats'!E:E),Groups!A:A,Groups!F:F)=1,-15,IF(OR(ISNUMBER(SEARCH("Desert",BW167)),ISNUMBER(SEARCH("ExtremeDesert",BW167))),-10,IF(OR(ISNUMBER(SEARCH("Grasslands",BW167)),ISNUMBER(SEARCH("TropicalRainforest",BW167)),ISNUMBER(SEARCH("TropicalSwamp",BW167))),10,0)))))))-IF(CB167="False",MIN(IFERROR(MAX(MROUND(LOG10(_xlfn.XLOOKUP(B167,'Base stats'!B:B,'Base stats'!C:C)^(2/3))*10,5),5),5),30))-_xlfn.XLOOKUP(B167,'Base stats'!B:B,'Base stats'!P:P)+IF(CB167="True",5,0)</f>
        <v>-175</v>
      </c>
      <c r="M167" s="2">
        <f>IF(OR(_xlfn.XLOOKUP(_xlfn.XLOOKUP(B167,'Base stats'!B:B,'Base stats'!E:E),Groups!A:A,Groups!G:G)=2,ISNUMBER(SEARCH("Desert",BW167)),ISNUMBER(SEARCH("ExtremeDesert",BW167)),ISNUMBER(SEARCH("LavaField",BW167))),50,IF(ISNUMBER(SEARCH("Grasslands",BW167)),45,IF(OR(_xlfn.XLOOKUP(_xlfn.XLOOKUP(B167,'Base stats'!B:B,'Base stats'!E:E),Groups!A:A,Groups!G:G)=1,ISNUMBER(SEARCH("TropicalRainforest",BW167)),ISNUMBER(SEARCH("TropicalSwamp",BW167))),40,IF(OR(ISNUMBER(SEARCH("TemperateForest",BW167)),ISNUMBER(SEARCH("TemperateSwamp",BW167))),35,IF(OR(ISNUMBER(SEARCH("Alpine",BW167)),ISNUMBER(SEARCH("BorealForest",BW167)),ISNUMBER(SEARCH("ColdBog",BW167))),30,IF(ISNUMBER(OR(ISNUMBER(SEARCH("GlacialPlain",BW167)),SEARCH("Tundra",BW167))),25,IF(OR(ISNUMBER(SEARCH("SeaIce",BW167)),ISNUMBER(SEARCH("IceSheet",BW167)),ISNUMBER(SEARCH("TropicalSwamp",BW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stats'!AO:AO))*(AO167^0.5)+(_xlfn.XLOOKUP(B167,'Base stats'!B:B,'Base stats'!AO:AO)/1000)^(2/3)+_xlfn.XLOOKUP(B167,'Base stats'!B:B,'Base stats'!AX:AX)/2)+0.5,0.5)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stats'!AP:AP))*(AO167^0.5)+(_xlfn.XLOOKUP(B167,'Base stats'!B:B,'Base stats'!AP:AP)/1000)^(2/3)+_xlfn.XLOOKUP(B167,'Base stats'!B:B,'Base stats'!AX:AX))+_xlfn.XLOOKUP(B167,'Base stats'!B:B,'Base stats'!AV:AV)+0.5,0.5))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stats'!AR:AR))*(AO167^0.5)+(_xlfn.XLOOKUP(B167,'Base stats'!B:B,'Base stats'!AR:AR)/1000)^(2/3)+_xlfn.XLOOKUP(B167,'Base stats'!B:B,'Base stats'!AW:AW))+0.5+IF(_xlfn.XLOOKUP(_xlfn.XLOOKUP(B167,'Base stats'!B:B,'Base stats'!E:E),Groups!A:A,Groups!U:U)&lt;&gt;3,_xlfn.XLOOKUP(B167,'Base stats'!B:B,'Base stats'!AX:AX),0),0.5))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stats'!AQ:AQ)="No","No",MROUND((LOG10(_xlfn.XLOOKUP(B167,'Base stats'!B:B,'Base stats'!AQ:AQ))*(AO167^0.75)+(_xlfn.XLOOKUP(B167,'Base stats'!B:B,'Base stats'!AQ:AQ)/1000)^(2/3)+_xlfn.XLOOKUP(B167,'Base stats'!B:B,'Base stats'!AU:AU)+_xlfn.XLOOKUP(B167,'Base stats'!B:B,'Base stats'!AX:AX))+0.5,0.5))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stats'!AP:AP))*(AO167^0.75)+(_xlfn.XLOOKUP(B167,'Base stats'!B:B,'Base stats'!AP:AP)/1000)^(2/3)+_xlfn.XLOOKUP(B167,'Base stats'!B:B,'Base stats'!AV:AV)+_xlfn.XLOOKUP(B167,'Base stats'!B:B,'Base stats'!AX:AX))+0.5,0.5))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IF(BI167="false","No",MROUND(AO167*5+15*1,5))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MAX(0.01,MROUND(IF(CB167="True",0.196*(AO167*100*1000)^0.889,IF(_xlfn.XLOOKUP(_xlfn.XLOOKUP(B167,'Base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IF(OR(A167="Queen",A167="Larva",A167="Megachicken"),"No",IFERROR(MAX(IF(_xlfn.XLOOKUP(B167,'Base stats'!B:B,'Base stats'!G:G)&lt;0.5,0.2,0.3),MROUND(_xlfn.XLOOKUP(B167,'Base stats'!B:B,'Base stats'!G:G)/(365/60),0.2)),"Unknown"))</f>
        <v>2.4000000000000004</v>
      </c>
      <c r="AU167" s="8">
        <f t="shared" ref="AU167" si="28">IF(OR(A167="Queen",A167="Larva",A167="Megachicken"),"No",IFERROR(MROUND(AT167/2,0.05),"Unknown"))</f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9">IF(BS167="No","false","true")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stats'!AE:AE)</f>
        <v>Leather_PhotonozoaM</v>
      </c>
      <c r="BB167" s="23" t="str">
        <f>_xlfn.XLOOKUP(_xlfn.XLOOKUP(B167,'Base stats'!B:B,'Base stats'!E:E),Groups!A:A,Groups!AL:AL)</f>
        <v>Xenofelid</v>
      </c>
      <c r="BC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D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E167" s="2" t="str">
        <f>IF(J167&gt;0.3,"No",_xlfn.XLOOKUP(_xlfn.XLOOKUP(Animals!B167,'Base stats'!B:B,'Base stats'!E:E),Groups!A:A,Groups!AP:AP))</f>
        <v>No</v>
      </c>
      <c r="BF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+ 24*(1-IF(BE167="No",0,BE167)) + 16/3, 12),"No")</f>
        <v>No</v>
      </c>
      <c r="BG167" s="2">
        <f>IF(AND(_xlfn.XLOOKUP(_xlfn.XLOOKUP(B167,'Base stats'!B:B,'Base stats'!E:E),Groups!A:A,Groups!AQ:AQ)=1,AO167&lt;=0.35),8,12)</f>
        <v>12</v>
      </c>
      <c r="BH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I167" s="2" t="str">
        <f>IF(AND(_xlfn.XLOOKUP(_xlfn.XLOOKUP(B167,'Base stats'!B:B,'Base stats'!E:E),Groups!A:A,Groups!AS:AS)=1,OR('Base stats'!Y167="Carnivore",'Base stats'!Y167="Omnivore")),"true","false")</f>
        <v>true</v>
      </c>
      <c r="BJ167" s="2">
        <f>IF(BI167="true",MROUND(IF(AND(AO167&gt;0.5,OR(_xlfn.XLOOKUP(_xlfn.XLOOKUP(B167,'Base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K167" s="2">
        <f t="shared" ref="BK167" si="30">IF(BH167&lt;&gt;"None",1,0)</f>
        <v>1</v>
      </c>
      <c r="BL167" s="25" t="str">
        <f>IF(_xlfn.XLOOKUP(B167,'Base stats'!B:B,'Base stats'!AK:AK)="Standard","No",MROUND((_xlfn.XLOOKUP(B167,'Base stats'!B:B,'Base stats'!AK:AK)/3.6)/I167,0.1))</f>
        <v>No</v>
      </c>
      <c r="BM167" s="25" t="str">
        <f t="shared" ref="BM167" si="31">IF(OR(BL167&lt;&gt;"No",BP167=1),"true","false")</f>
        <v>false</v>
      </c>
      <c r="BN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O167" s="25" t="str" cm="1">
        <f t="array" ref="BO167">IF(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 = "",
  "No",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
)</f>
        <v>AttackTarget</v>
      </c>
      <c r="BP167" s="25">
        <f>IF(
   AND(
      'Base stats'!AK167="Standard",_xlfn.XLOOKUP(_xlfn.XLOOKUP(B167,'Base stats'!B:B,'Base stats'!E:E),Groups!A:A,Groups!AU:AU)=0,
      OR(
      BN167="True"
      )
   ),
   10,
   IF(
       OR(BL167&lt;&gt;"No",_xlfn.XLOOKUP(_xlfn.XLOOKUP(B167,'Base stats'!B:B,'Base stats'!E:E),Groups!A:A,Groups!AU:AU)=1),
      1,
      "No"
   )
)</f>
        <v>10</v>
      </c>
      <c r="BQ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stats'!AS:AS) * 1.8) * 2) * 2.5 + 10 + I167 * 2,5)+IF(_xlfn.XLOOKUP(B167,'Base stats'!B:B,'Base stats'!AH:AH)=1,50,0)</f>
        <v>3710</v>
      </c>
      <c r="BR167" s="8">
        <f t="shared" ref="BR167" si="32">MROUND(AO167 * 0.2 + AQ167 * 0.8,0.05)</f>
        <v>3.6500000000000004</v>
      </c>
      <c r="BS167" s="8" t="str">
        <f>_xlfn.XLOOKUP(B167,'Base stats'!B:B,'Base stats'!AD:AD)</f>
        <v>No</v>
      </c>
      <c r="BT167" s="2" t="str">
        <f>IF(AND(J167&lt;=0.95,OR(_xlfn.XLOOKUP(B167,'Base stats'!B:B,'Base stats'!AH:AH)=1,_xlfn.XLOOKUP(B167,'Base stats'!B:B,'Base stats'!Y:Y)="Carnivore",_xlfn.XLOOKUP(B167,'Base stats'!B:B,'Base stats'!Y:Y)="Omnivore",BD167&gt;0.1)),"true","false")</f>
        <v>false</v>
      </c>
      <c r="BU167" s="2" t="str">
        <f>IF(_xlfn.XLOOKUP(B167,'Base stats'!B:B,'Base stats'!AF:AF)=1,"true","false")</f>
        <v>false</v>
      </c>
      <c r="BV167" s="25" t="str">
        <f>IF(E167="BaseInsect","AnimalInsect",
IF(J167&gt;0.95,"AnimalExotic",
_xlfn.TEXTJOIN(", ",TRUE,
IF(OR(_xlfn.XLOOKUP(B167,'Base stats'!B:B,'Base stats'!AJ:AJ)=1,AND(_xlfn.XLOOKUP(B167,'Base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stats'!AH:AH)=1,AND(BH167&lt;&gt;"None",BQ167&gt;=60),ISNUMBER(SEARCH("Attack target",BO167))),"AnimalFighter","")
)))</f>
        <v>AnimalExotic</v>
      </c>
      <c r="BW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),_xlfn.XLOOKUP(B167,B:B,BW:BW))</f>
        <v/>
      </c>
      <c r="BX167" s="25" t="str">
        <f>IF(_xlfn.XLOOKUP(B167,'Base stats'!B:B,'Base stats'!AG:AG)=1,"true","false")</f>
        <v>false</v>
      </c>
      <c r="BY167" s="25">
        <f>IF(_xlfn.XLOOKUP(B167,'Base stats'!B:B,'Base stats'!N:N)=1,"No",MAX(0.01,MIN(MROUND(IF(OR(_xlfn.XLOOKUP(B167,'Base stats'!B:B,'Base stats'!AJ:AJ)=1,AND(BI167="True",CB167="False")),POWER(10,3.47*LOG10(_xlfn.XLOOKUP(B167,'Base stats'!B:B,'Base stats'!C:C)*1000)^-0.96),POWER(10,4.15*LOG10(_xlfn.XLOOKUP(B167,'Base stats'!B:B,'Base stats'!C:C)*1000)^-0.73))*IF(OR(_xlfn.XLOOKUP(B167,'Base stats'!B:B,'Base stats'!AJ:AJ)=1,_xlfn.XLOOKUP(B167,'Base stats'!B:B,'Base stats'!AH:AH)=1),0.5,1)/100,0.025),1)))</f>
        <v>2.5000000000000001E-2</v>
      </c>
      <c r="BZ167" s="25">
        <f>IF(P167="Standard","No",MAX(0.01,IF(_xlfn.XLOOKUP(B167,'Base stats'!B:B,'Base stats'!N:N)=0,MROUND(BY167*P167,0.05),MIN(1,MAX(0.025,MROUND(IF(OR(CB167="true",AND(BI167="false",BN167="false")),POWER(10,4.15*LOG10(_xlfn.XLOOKUP(B167,'Base stats'!B:B,'Base stats'!C:C)*1000)^-0.73),POWER(10,3.47*LOG10(_xlfn.XLOOKUP(B167,'Base stats'!B:B,'Base stats'!C:C)*1000)^-0.96))*IF(_xlfn.XLOOKUP(B167,'Base stats'!B:B,'Base stats'!AH:AH)=1,0.5,1)/100,0.025))))))</f>
        <v>0.05</v>
      </c>
      <c r="CA167" s="25" t="str">
        <f>IF(_xlfn.XLOOKUP(_xlfn.XLOOKUP(B167,'Base stats'!B:B,'Base stats'!E:E),Groups!A:A,Groups!AJ:AJ)="Mammal","True","False")</f>
        <v>False</v>
      </c>
      <c r="CB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C167" s="25" t="str">
        <f t="shared" ref="CC167" si="33">IF(J167&gt;0.95,"True","False")</f>
        <v>True</v>
      </c>
      <c r="CD167" s="25" t="str">
        <f>IF(_xlfn.XLOOKUP(_xlfn.XLOOKUP(B167,'Base stats'!B:B,'Base stats'!E:E),Groups!A:A,Groups!AX:AX),"True","False")</f>
        <v>True</v>
      </c>
      <c r="CE167" s="25" t="str">
        <f>IF(_xlfn.XLOOKUP(_xlfn.XLOOKUP(B167,'Base stats'!B:B,'Base stats'!E:E),Groups!A:A,Groups!AY:AY),"True","False")</f>
        <v>True</v>
      </c>
      <c r="CF167" s="25" t="str">
        <f>IF(_xlfn.XLOOKUP(_xlfn.XLOOKUP(B167,'Base stats'!B:B,'Base stats'!E:E),Groups!A:A,Groups!AW:AW),"True","False")</f>
        <v>True</v>
      </c>
      <c r="CG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H167" s="25" t="str">
        <f>IF(_xlfn.XLOOKUP(_xlfn.XLOOKUP(B167,'Base stats'!B:B,'Base stats'!E:E),Groups!A:A,Groups!BB:BB),"True","False")</f>
        <v>False</v>
      </c>
      <c r="CI167" s="25" t="str">
        <f>IF(_xlfn.XLOOKUP(_xlfn.XLOOKUP(B167,'Base stats'!B:B,'Base stats'!E:E),Groups!A:A,Groups!BA:BA),"True","False")</f>
        <v>False</v>
      </c>
    </row>
    <row r="168" spans="1:87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stats'!AI:AI)=0,BH168="None",_xlfn.XLOOKUP(_xlfn.XLOOKUP(B168,'Base stats'!B:B,'Base stats'!E:E),Groups!A:A,Groups!B:B)=0), (18 + BQ168 * 2.7) * 0.5,
    IF(AND(_xlfn.XLOOKUP(B168,'Base stats'!B:B,'Base stats'!AI:AI)=0,OR(AO168&lt;0.55,AND(BH168="Intermediate",_xlfn.XLOOKUP(_xlfn.XLOOKUP(B168,'Base stats'!B:B,'Base stats'!E:E),Groups!A:A,Groups!B:B)&lt;2))), (18 + BQ168 * 2.7),
      IF(OR(BH168="Advanced",_xlfn.XLOOKUP(B168,'Base stats'!B:B,'Base stats'!AI:AI)=1,_xlfn.XLOOKUP(_xlfn.XLOOKUP(B168,'Base stats'!B:B,'Base stats'!E:E),Groups!A:A,Groups!B:B)=2), (18 + BQ168 * 2.7) + 250, (18 + BQ168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stats'!AI:AI)=1,0.99,MIN(MROUND((1-0.6282*EXP(-0.459*AO168))*_xlfn.XLOOKUP(_xlfn.XLOOKUP(B168,'Base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W168)),ISNUMBER(SEARCH("IceSheet",BW168))),-50,IF(OR(ISNUMBER(SEARCH("GlacialPlain",BW168)),ISNUMBER(SEARCH("Tundra",BW168))),-40,IF(OR(ISNUMBER(SEARCH("Alpine",BW168)),ISNUMBER(SEARCH("BorealForest",BW168)),ISNUMBER(SEARCH("ColdBog",BW168))),-30,IF(OR(ISNUMBER(SEARCH("TemperateForest",BW168)),ISNUMBER(SEARCH("TemperateSwamp",BW168))),-20,IF(_xlfn.XLOOKUP(_xlfn.XLOOKUP(B168,'Base stats'!B:B,'Base stats'!E:E),Groups!A:A,Groups!F:F)=1,-15,IF(OR(ISNUMBER(SEARCH("Desert",BW168)),ISNUMBER(SEARCH("ExtremeDesert",BW168))),-10,IF(OR(ISNUMBER(SEARCH("Grasslands",BW168)),ISNUMBER(SEARCH("TropicalRainforest",BW168)),ISNUMBER(SEARCH("TropicalSwamp",BW168))),10,0)))))))-IF(CB168="False",MIN(IFERROR(MAX(MROUND(LOG10(_xlfn.XLOOKUP(B168,'Base stats'!B:B,'Base stats'!C:C)^(2/3))*10,5),5),5),30))-_xlfn.XLOOKUP(B168,'Base stats'!B:B,'Base stats'!P:P)+IF(CB168="True",5,0)</f>
        <v>-175</v>
      </c>
      <c r="M168" s="2">
        <f>IF(OR(_xlfn.XLOOKUP(_xlfn.XLOOKUP(B168,'Base stats'!B:B,'Base stats'!E:E),Groups!A:A,Groups!G:G)=2,ISNUMBER(SEARCH("Desert",BW168)),ISNUMBER(SEARCH("ExtremeDesert",BW168)),ISNUMBER(SEARCH("LavaField",BW168))),50,IF(ISNUMBER(SEARCH("Grasslands",BW168)),45,IF(OR(_xlfn.XLOOKUP(_xlfn.XLOOKUP(B168,'Base stats'!B:B,'Base stats'!E:E),Groups!A:A,Groups!G:G)=1,ISNUMBER(SEARCH("TropicalRainforest",BW168)),ISNUMBER(SEARCH("TropicalSwamp",BW168))),40,IF(OR(ISNUMBER(SEARCH("TemperateForest",BW168)),ISNUMBER(SEARCH("TemperateSwamp",BW168))),35,IF(OR(ISNUMBER(SEARCH("Alpine",BW168)),ISNUMBER(SEARCH("BorealForest",BW168)),ISNUMBER(SEARCH("ColdBog",BW168))),30,IF(ISNUMBER(OR(ISNUMBER(SEARCH("GlacialPlain",BW168)),SEARCH("Tundra",BW168))),25,IF(OR(ISNUMBER(SEARCH("SeaIce",BW168)),ISNUMBER(SEARCH("IceSheet",BW168)),ISNUMBER(SEARCH("TropicalSwamp",BW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stats'!AO:AO))*(AO168^0.5)+(_xlfn.XLOOKUP(B168,'Base stats'!B:B,'Base stats'!AO:AO)/1000)^(2/3)+_xlfn.XLOOKUP(B168,'Base stats'!B:B,'Base stats'!AX:AX)/2)+0.5,0.5)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stats'!AP:AP))*(AO168^0.5)+(_xlfn.XLOOKUP(B168,'Base stats'!B:B,'Base stats'!AP:AP)/1000)^(2/3)+_xlfn.XLOOKUP(B168,'Base stats'!B:B,'Base stats'!AX:AX))+_xlfn.XLOOKUP(B168,'Base stats'!B:B,'Base stats'!AV:AV)+0.5,0.5))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stats'!AR:AR))*(AO168^0.5)+(_xlfn.XLOOKUP(B168,'Base stats'!B:B,'Base stats'!AR:AR)/1000)^(2/3)+_xlfn.XLOOKUP(B168,'Base stats'!B:B,'Base stats'!AW:AW))+0.5+IF(_xlfn.XLOOKUP(_xlfn.XLOOKUP(B168,'Base stats'!B:B,'Base stats'!E:E),Groups!A:A,Groups!U:U)&lt;&gt;3,_xlfn.XLOOKUP(B168,'Base stats'!B:B,'Base stats'!AX:AX),0),0.5))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stats'!AQ:AQ)="No","No",MROUND((LOG10(_xlfn.XLOOKUP(B168,'Base stats'!B:B,'Base stats'!AQ:AQ))*(AO168^0.75)+(_xlfn.XLOOKUP(B168,'Base stats'!B:B,'Base stats'!AQ:AQ)/1000)^(2/3)+_xlfn.XLOOKUP(B168,'Base stats'!B:B,'Base stats'!AU:AU)+_xlfn.XLOOKUP(B168,'Base stats'!B:B,'Base stats'!AX:AX))+0.5,0.5))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stats'!AP:AP))*(AO168^0.75)+(_xlfn.XLOOKUP(B168,'Base stats'!B:B,'Base stats'!AP:AP)/1000)^(2/3)+_xlfn.XLOOKUP(B168,'Base stats'!B:B,'Base stats'!AV:AV)+_xlfn.XLOOKUP(B168,'Base stats'!B:B,'Base stats'!AX:AX))+0.5,0.5))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4">IF(BI168="false","No",MROUND(AO168*5+15*1,5))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MAX(0.01,MROUND(IF(CB168="True",0.196*(AO168*100*1000)^0.889,IF(_xlfn.XLOOKUP(_xlfn.XLOOKUP(B168,'Base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IF(OR(A168="Queen",A168="Larva",A168="Megachicken"),"No",IFERROR(MAX(IF(_xlfn.XLOOKUP(B168,'Base stats'!B:B,'Base stats'!G:G)&lt;0.5,0.2,0.3),MROUND(_xlfn.XLOOKUP(B168,'Base stats'!B:B,'Base stats'!G:G)/(365/60),0.2)),"Unknown"))</f>
        <v>1.6</v>
      </c>
      <c r="AU168" s="8">
        <f t="shared" ref="AU168:AU170" si="35">IF(OR(A168="Queen",A168="Larva",A168="Megachicken"),"No",IFERROR(MROUND(AT168/2,0.05),"Unknown"))</f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6">IF(BS168="No","false","true")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stats'!AE:AE)</f>
        <v>Leather_PhotonozoaM</v>
      </c>
      <c r="BB168" s="23" t="str">
        <f>_xlfn.XLOOKUP(_xlfn.XLOOKUP(B168,'Base stats'!B:B,'Base stats'!E:E),Groups!A:A,Groups!AL:AL)</f>
        <v>Xenobovid</v>
      </c>
      <c r="BC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D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E168" s="2" t="str">
        <f>IF(J168&gt;0.3,"No",_xlfn.XLOOKUP(_xlfn.XLOOKUP(Animals!B168,'Base stats'!B:B,'Base stats'!E:E),Groups!A:A,Groups!AP:AP))</f>
        <v>No</v>
      </c>
      <c r="BF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+ 24*(1-IF(BE168="No",0,BE168)) + 16/3, 12),"No")</f>
        <v>No</v>
      </c>
      <c r="BG168" s="2">
        <f>IF(AND(_xlfn.XLOOKUP(_xlfn.XLOOKUP(B168,'Base stats'!B:B,'Base stats'!E:E),Groups!A:A,Groups!AQ:AQ)=1,AO168&lt;=0.35),8,12)</f>
        <v>12</v>
      </c>
      <c r="BH168" s="2" t="str">
        <f>IF(_xlfn.XLOOKUP(_xlfn.XLOOKUP(B168,'Base stats'!B:B,'Base stats'!E:E),Groups!A:A,Groups!D:D)=0,_xlfn.XLOOKUP(_xlfn.XLOOKUP(B168,'Base stats'!B:B,'Base stats'!E:E),Groups!A:A,Groups!AR:AR),"None")</f>
        <v>None</v>
      </c>
      <c r="BI168" s="2" t="str">
        <f>IF(AND(_xlfn.XLOOKUP(_xlfn.XLOOKUP(B168,'Base stats'!B:B,'Base stats'!E:E),Groups!A:A,Groups!AS:AS)=1,OR('Base stats'!Y168="Carnivore",'Base stats'!Y168="Omnivore")),"true","false")</f>
        <v>false</v>
      </c>
      <c r="BJ168" s="2" t="str">
        <f>IF(BI168="true",MROUND(IF(AND(AO168&gt;0.5,OR(_xlfn.XLOOKUP(_xlfn.XLOOKUP(B168,'Base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K168" s="2">
        <f t="shared" ref="BK168:BK170" si="37">IF(BH168&lt;&gt;"None",1,0)</f>
        <v>0</v>
      </c>
      <c r="BL168" s="25" t="str">
        <f>IF(_xlfn.XLOOKUP(B168,'Base stats'!B:B,'Base stats'!AK:AK)="Standard","No",MROUND((_xlfn.XLOOKUP(B168,'Base stats'!B:B,'Base stats'!AK:AK)/3.6)/I168,0.1))</f>
        <v>No</v>
      </c>
      <c r="BM168" s="25" t="str">
        <f t="shared" ref="BM168:BM170" si="38">IF(OR(BL168&lt;&gt;"No",BP168=1),"true","false")</f>
        <v>false</v>
      </c>
      <c r="BN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O168" s="25" t="str" cm="1">
        <f t="array" ref="BO168">IF(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 = "",
  "No",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
)</f>
        <v>No</v>
      </c>
      <c r="BP168" s="25" t="str">
        <f>IF(
   AND(
      'Base stats'!AK168="Standard",_xlfn.XLOOKUP(_xlfn.XLOOKUP(B168,'Base stats'!B:B,'Base stats'!E:E),Groups!A:A,Groups!AU:AU)=0,
      OR(
      BN168="True"
      )
   ),
   10,
   IF(
       OR(BL168&lt;&gt;"No",_xlfn.XLOOKUP(_xlfn.XLOOKUP(B168,'Base stats'!B:B,'Base stats'!E:E),Groups!A:A,Groups!AU:AU)=1),
      1,
      "No"
   )
)</f>
        <v>No</v>
      </c>
      <c r="BQ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stats'!AS:AS) * 1.8) * 2) * 2.5 + 10 + I168 * 2,5)+IF(_xlfn.XLOOKUP(B168,'Base stats'!B:B,'Base stats'!AH:AH)=1,50,0)</f>
        <v>895</v>
      </c>
      <c r="BR168" s="8">
        <f t="shared" ref="BR168:BR170" si="39">MROUND(AO168 * 0.2 + AQ168 * 0.8,0.05)</f>
        <v>3.1500000000000004</v>
      </c>
      <c r="BS168" s="8" t="str">
        <f>_xlfn.XLOOKUP(B168,'Base stats'!B:B,'Base stats'!AD:AD)</f>
        <v>No</v>
      </c>
      <c r="BT168" s="2" t="str">
        <f>IF(AND(J168&lt;=0.95,OR(_xlfn.XLOOKUP(B168,'Base stats'!B:B,'Base stats'!AH:AH)=1,_xlfn.XLOOKUP(B168,'Base stats'!B:B,'Base stats'!Y:Y)="Carnivore",_xlfn.XLOOKUP(B168,'Base stats'!B:B,'Base stats'!Y:Y)="Omnivore",BD168&gt;0.1)),"true","false")</f>
        <v>false</v>
      </c>
      <c r="BU168" s="2" t="str">
        <f>IF(_xlfn.XLOOKUP(B168,'Base stats'!B:B,'Base stats'!AF:AF)=1,"true","false")</f>
        <v>false</v>
      </c>
      <c r="BV168" s="25" t="str">
        <f>IF(E168="BaseInsect","AnimalInsect",
IF(J168&gt;0.95,"AnimalExotic",
_xlfn.TEXTJOIN(", ",TRUE,
IF(OR(_xlfn.XLOOKUP(B168,'Base stats'!B:B,'Base stats'!AJ:AJ)=1,AND(_xlfn.XLOOKUP(B168,'Base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stats'!AH:AH)=1,AND(BH168&lt;&gt;"None",BQ168&gt;=60),ISNUMBER(SEARCH("Attack target",BO168))),"AnimalFighter","")
)))</f>
        <v>AnimalExotic</v>
      </c>
      <c r="BW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),_xlfn.XLOOKUP(B168,B:B,BW:BW))</f>
        <v/>
      </c>
      <c r="BX168" s="25" t="str">
        <f>IF(_xlfn.XLOOKUP(B168,'Base stats'!B:B,'Base stats'!AG:AG)=1,"true","false")</f>
        <v>false</v>
      </c>
      <c r="BY168" s="25">
        <f>IF(_xlfn.XLOOKUP(B168,'Base stats'!B:B,'Base stats'!N:N)=1,"No",MAX(0.01,MIN(MROUND(IF(OR(_xlfn.XLOOKUP(B168,'Base stats'!B:B,'Base stats'!AJ:AJ)=1,AND(BI168="True",CB168="False")),POWER(10,3.47*LOG10(_xlfn.XLOOKUP(B168,'Base stats'!B:B,'Base stats'!C:C)*1000)^-0.96),POWER(10,4.15*LOG10(_xlfn.XLOOKUP(B168,'Base stats'!B:B,'Base stats'!C:C)*1000)^-0.73))*IF(OR(_xlfn.XLOOKUP(B168,'Base stats'!B:B,'Base stats'!AJ:AJ)=1,_xlfn.XLOOKUP(B168,'Base stats'!B:B,'Base stats'!AH:AH)=1),0.5,1)/100,0.025),1)))</f>
        <v>0.1</v>
      </c>
      <c r="BZ168" s="25">
        <f>IF(P168="Standard","No",MAX(0.01,IF(_xlfn.XLOOKUP(B168,'Base stats'!B:B,'Base stats'!N:N)=0,MROUND(BY168*P168,0.05),MIN(1,MAX(0.025,MROUND(IF(OR(CB168="true",AND(BI168="false",BN168="false")),POWER(10,4.15*LOG10(_xlfn.XLOOKUP(B168,'Base stats'!B:B,'Base stats'!C:C)*1000)^-0.73),POWER(10,3.47*LOG10(_xlfn.XLOOKUP(B168,'Base stats'!B:B,'Base stats'!C:C)*1000)^-0.96))*IF(_xlfn.XLOOKUP(B168,'Base stats'!B:B,'Base stats'!AH:AH)=1,0.5,1)/100,0.025))))))</f>
        <v>0.1</v>
      </c>
      <c r="CA168" s="25" t="str">
        <f>IF(_xlfn.XLOOKUP(_xlfn.XLOOKUP(B168,'Base stats'!B:B,'Base stats'!E:E),Groups!A:A,Groups!AJ:AJ)="Mammal","True","False")</f>
        <v>False</v>
      </c>
      <c r="CB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C168" s="25" t="str">
        <f t="shared" ref="CC168:CC170" si="40">IF(J168&gt;0.95,"True","False")</f>
        <v>True</v>
      </c>
      <c r="CD168" s="25" t="str">
        <f>IF(_xlfn.XLOOKUP(_xlfn.XLOOKUP(B168,'Base stats'!B:B,'Base stats'!E:E),Groups!A:A,Groups!AX:AX),"True","False")</f>
        <v>True</v>
      </c>
      <c r="CE168" s="25" t="str">
        <f>IF(_xlfn.XLOOKUP(_xlfn.XLOOKUP(B168,'Base stats'!B:B,'Base stats'!E:E),Groups!A:A,Groups!AY:AY),"True","False")</f>
        <v>True</v>
      </c>
      <c r="CF168" s="25" t="str">
        <f>IF(_xlfn.XLOOKUP(_xlfn.XLOOKUP(B168,'Base stats'!B:B,'Base stats'!E:E),Groups!A:A,Groups!AW:AW),"True","False")</f>
        <v>True</v>
      </c>
      <c r="CG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H168" s="25" t="str">
        <f>IF(_xlfn.XLOOKUP(_xlfn.XLOOKUP(B168,'Base stats'!B:B,'Base stats'!E:E),Groups!A:A,Groups!BB:BB),"True","False")</f>
        <v>False</v>
      </c>
      <c r="CI168" s="25" t="str">
        <f>IF(_xlfn.XLOOKUP(_xlfn.XLOOKUP(B168,'Base stats'!B:B,'Base stats'!E:E),Groups!A:A,Groups!BA:BA),"True","False")</f>
        <v>False</v>
      </c>
    </row>
    <row r="169" spans="1:87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stats'!AI:AI)=0,BH169="None",_xlfn.XLOOKUP(_xlfn.XLOOKUP(B169,'Base stats'!B:B,'Base stats'!E:E),Groups!A:A,Groups!B:B)=0), (18 + BQ169 * 2.7) * 0.5,
    IF(AND(_xlfn.XLOOKUP(B169,'Base stats'!B:B,'Base stats'!AI:AI)=0,OR(AO169&lt;0.55,AND(BH169="Intermediate",_xlfn.XLOOKUP(_xlfn.XLOOKUP(B169,'Base stats'!B:B,'Base stats'!E:E),Groups!A:A,Groups!B:B)&lt;2))), (18 + BQ169 * 2.7),
      IF(OR(BH169="Advanced",_xlfn.XLOOKUP(B169,'Base stats'!B:B,'Base stats'!AI:AI)=1,_xlfn.XLOOKUP(_xlfn.XLOOKUP(B169,'Base stats'!B:B,'Base stats'!E:E),Groups!A:A,Groups!B:B)=2), (18 + BQ169 * 2.7) + 250, (18 + BQ169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stats'!AI:AI)=1,0.99,MIN(MROUND((1-0.6282*EXP(-0.459*AO169))*_xlfn.XLOOKUP(_xlfn.XLOOKUP(B169,'Base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W169)),ISNUMBER(SEARCH("IceSheet",BW169))),-50,IF(OR(ISNUMBER(SEARCH("GlacialPlain",BW169)),ISNUMBER(SEARCH("Tundra",BW169))),-40,IF(OR(ISNUMBER(SEARCH("Alpine",BW169)),ISNUMBER(SEARCH("BorealForest",BW169)),ISNUMBER(SEARCH("ColdBog",BW169))),-30,IF(OR(ISNUMBER(SEARCH("TemperateForest",BW169)),ISNUMBER(SEARCH("TemperateSwamp",BW169))),-20,IF(_xlfn.XLOOKUP(_xlfn.XLOOKUP(B169,'Base stats'!B:B,'Base stats'!E:E),Groups!A:A,Groups!F:F)=1,-15,IF(OR(ISNUMBER(SEARCH("Desert",BW169)),ISNUMBER(SEARCH("ExtremeDesert",BW169))),-10,IF(OR(ISNUMBER(SEARCH("Grasslands",BW169)),ISNUMBER(SEARCH("TropicalRainforest",BW169)),ISNUMBER(SEARCH("TropicalSwamp",BW169))),10,0)))))))-IF(CB169="False",MIN(IFERROR(MAX(MROUND(LOG10(_xlfn.XLOOKUP(B169,'Base stats'!B:B,'Base stats'!C:C)^(2/3))*10,5),5),5),30))-_xlfn.XLOOKUP(B169,'Base stats'!B:B,'Base stats'!P:P)+IF(CB169="True",5,0)</f>
        <v>-160</v>
      </c>
      <c r="M169" s="2">
        <f>IF(OR(_xlfn.XLOOKUP(_xlfn.XLOOKUP(B169,'Base stats'!B:B,'Base stats'!E:E),Groups!A:A,Groups!G:G)=2,ISNUMBER(SEARCH("Desert",BW169)),ISNUMBER(SEARCH("ExtremeDesert",BW169)),ISNUMBER(SEARCH("LavaField",BW169))),50,IF(ISNUMBER(SEARCH("Grasslands",BW169)),45,IF(OR(_xlfn.XLOOKUP(_xlfn.XLOOKUP(B169,'Base stats'!B:B,'Base stats'!E:E),Groups!A:A,Groups!G:G)=1,ISNUMBER(SEARCH("TropicalRainforest",BW169)),ISNUMBER(SEARCH("TropicalSwamp",BW169))),40,IF(OR(ISNUMBER(SEARCH("TemperateForest",BW169)),ISNUMBER(SEARCH("TemperateSwamp",BW169))),35,IF(OR(ISNUMBER(SEARCH("Alpine",BW169)),ISNUMBER(SEARCH("BorealForest",BW169)),ISNUMBER(SEARCH("ColdBog",BW169))),30,IF(ISNUMBER(OR(ISNUMBER(SEARCH("GlacialPlain",BW169)),SEARCH("Tundra",BW169))),25,IF(OR(ISNUMBER(SEARCH("SeaIce",BW169)),ISNUMBER(SEARCH("IceSheet",BW169)),ISNUMBER(SEARCH("TropicalSwamp",BW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stats'!AO:AO))*(AO169^0.5)+(_xlfn.XLOOKUP(B169,'Base stats'!B:B,'Base stats'!AO:AO)/1000)^(2/3)+_xlfn.XLOOKUP(B169,'Base stats'!B:B,'Base stats'!AX:AX)/2)+0.5,0.5)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stats'!AP:AP))*(AO169^0.5)+(_xlfn.XLOOKUP(B169,'Base stats'!B:B,'Base stats'!AP:AP)/1000)^(2/3)+_xlfn.XLOOKUP(B169,'Base stats'!B:B,'Base stats'!AX:AX))+_xlfn.XLOOKUP(B169,'Base stats'!B:B,'Base stats'!AV:AV)+0.5,0.5))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stats'!AR:AR))*(AO169^0.5)+(_xlfn.XLOOKUP(B169,'Base stats'!B:B,'Base stats'!AR:AR)/1000)^(2/3)+_xlfn.XLOOKUP(B169,'Base stats'!B:B,'Base stats'!AW:AW))+0.5+IF(_xlfn.XLOOKUP(_xlfn.XLOOKUP(B169,'Base stats'!B:B,'Base stats'!E:E),Groups!A:A,Groups!U:U)&lt;&gt;3,_xlfn.XLOOKUP(B169,'Base stats'!B:B,'Base stats'!AX:AX),0),0.5))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stats'!AQ:AQ)="No","No",MROUND((LOG10(_xlfn.XLOOKUP(B169,'Base stats'!B:B,'Base stats'!AQ:AQ))*(AO169^0.75)+(_xlfn.XLOOKUP(B169,'Base stats'!B:B,'Base stats'!AQ:AQ)/1000)^(2/3)+_xlfn.XLOOKUP(B169,'Base stats'!B:B,'Base stats'!AU:AU)+_xlfn.XLOOKUP(B169,'Base stats'!B:B,'Base stats'!AX:AX))+0.5,0.5))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stats'!AP:AP))*(AO169^0.75)+(_xlfn.XLOOKUP(B169,'Base stats'!B:B,'Base stats'!AP:AP)/1000)^(2/3)+_xlfn.XLOOKUP(B169,'Base stats'!B:B,'Base stats'!AV:AV)+_xlfn.XLOOKUP(B169,'Base stats'!B:B,'Base stats'!AX:AX))+0.5,0.5))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4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MAX(0.01,MROUND(IF(CB169="True",0.196*(AO169*100*1000)^0.889,IF(_xlfn.XLOOKUP(_xlfn.XLOOKUP(B169,'Base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IF(OR(A169="Queen",A169="Larva",A169="Megachicken"),"No",IFERROR(MAX(IF(_xlfn.XLOOKUP(B169,'Base stats'!B:B,'Base stats'!G:G)&lt;0.5,0.2,0.3),MROUND(_xlfn.XLOOKUP(B169,'Base stats'!B:B,'Base stats'!G:G)/(365/60),0.2)),"Unknown"))</f>
        <v>0.4</v>
      </c>
      <c r="AU169" s="8">
        <f t="shared" si="35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6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stats'!AE:AE)</f>
        <v>Leather_PhotonozoaM</v>
      </c>
      <c r="BB169" s="23" t="str">
        <f>_xlfn.XLOOKUP(_xlfn.XLOOKUP(B169,'Base stats'!B:B,'Base stats'!E:E),Groups!A:A,Groups!AL:AL)</f>
        <v>Xenosnake</v>
      </c>
      <c r="BC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D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E169" s="2" t="str">
        <f>IF(J169&gt;0.3,"No",_xlfn.XLOOKUP(_xlfn.XLOOKUP(Animals!B169,'Base stats'!B:B,'Base stats'!E:E),Groups!A:A,Groups!AP:AP))</f>
        <v>No</v>
      </c>
      <c r="BF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+ 24*(1-IF(BE169="No",0,BE169)) + 16/3, 12),"No")</f>
        <v>No</v>
      </c>
      <c r="BG169" s="2">
        <f>IF(AND(_xlfn.XLOOKUP(_xlfn.XLOOKUP(B169,'Base stats'!B:B,'Base stats'!E:E),Groups!A:A,Groups!AQ:AQ)=1,AO169&lt;=0.35),8,12)</f>
        <v>12</v>
      </c>
      <c r="BH169" s="2" t="str">
        <f>IF(_xlfn.XLOOKUP(_xlfn.XLOOKUP(B169,'Base stats'!B:B,'Base stats'!E:E),Groups!A:A,Groups!D:D)=0,_xlfn.XLOOKUP(_xlfn.XLOOKUP(B169,'Base stats'!B:B,'Base stats'!E:E),Groups!A:A,Groups!AR:AR),"None")</f>
        <v>None</v>
      </c>
      <c r="BI169" s="2" t="str">
        <f>IF(AND(_xlfn.XLOOKUP(_xlfn.XLOOKUP(B169,'Base stats'!B:B,'Base stats'!E:E),Groups!A:A,Groups!AS:AS)=1,OR('Base stats'!Y169="Carnivore",'Base stats'!Y169="Omnivore")),"true","false")</f>
        <v>true</v>
      </c>
      <c r="BJ169" s="2">
        <f>IF(BI169="true",MROUND(IF(AND(AO169&gt;0.5,OR(_xlfn.XLOOKUP(_xlfn.XLOOKUP(B169,'Base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K169" s="2">
        <f t="shared" si="37"/>
        <v>0</v>
      </c>
      <c r="BL169" s="25" t="str">
        <f>IF(_xlfn.XLOOKUP(B169,'Base stats'!B:B,'Base stats'!AK:AK)="Standard","No",MROUND((_xlfn.XLOOKUP(B169,'Base stats'!B:B,'Base stats'!AK:AK)/3.6)/I169,0.1))</f>
        <v>No</v>
      </c>
      <c r="BM169" s="25" t="str">
        <f t="shared" si="38"/>
        <v>false</v>
      </c>
      <c r="BN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O169" s="25" t="str" cm="1">
        <f t="array" ref="BO169">IF(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 = "",
  "No",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
)</f>
        <v>Dig</v>
      </c>
      <c r="BP169" s="25">
        <f>IF(
   AND(
      'Base stats'!AK169="Standard",_xlfn.XLOOKUP(_xlfn.XLOOKUP(B169,'Base stats'!B:B,'Base stats'!E:E),Groups!A:A,Groups!AU:AU)=0,
      OR(
      BN169="True"
      )
   ),
   10,
   IF(
       OR(BL169&lt;&gt;"No",_xlfn.XLOOKUP(_xlfn.XLOOKUP(B169,'Base stats'!B:B,'Base stats'!E:E),Groups!A:A,Groups!AU:AU)=1),
      1,
      "No"
   )
)</f>
        <v>10</v>
      </c>
      <c r="BQ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stats'!AS:AS) * 1.8) * 2) * 2.5 + 10 + I169 * 2,5)+IF(_xlfn.XLOOKUP(B169,'Base stats'!B:B,'Base stats'!AH:AH)=1,50,0)</f>
        <v>390</v>
      </c>
      <c r="BR169" s="8">
        <f t="shared" si="39"/>
        <v>0.55000000000000004</v>
      </c>
      <c r="BS169" s="8" t="str">
        <f>_xlfn.XLOOKUP(B169,'Base stats'!B:B,'Base stats'!AD:AD)</f>
        <v>No</v>
      </c>
      <c r="BT169" s="2" t="str">
        <f>IF(AND(J169&lt;=0.95,OR(_xlfn.XLOOKUP(B169,'Base stats'!B:B,'Base stats'!AH:AH)=1,_xlfn.XLOOKUP(B169,'Base stats'!B:B,'Base stats'!Y:Y)="Carnivore",_xlfn.XLOOKUP(B169,'Base stats'!B:B,'Base stats'!Y:Y)="Omnivore",BD169&gt;0.1)),"true","false")</f>
        <v>false</v>
      </c>
      <c r="BU169" s="2" t="str">
        <f>IF(_xlfn.XLOOKUP(B169,'Base stats'!B:B,'Base stats'!AF:AF)=1,"true","false")</f>
        <v>false</v>
      </c>
      <c r="BV169" s="25" t="str">
        <f>IF(E169="BaseInsect","AnimalInsect",
IF(J169&gt;0.95,"AnimalExotic",
_xlfn.TEXTJOIN(", ",TRUE,
IF(OR(_xlfn.XLOOKUP(B169,'Base stats'!B:B,'Base stats'!AJ:AJ)=1,AND(_xlfn.XLOOKUP(B169,'Base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stats'!AH:AH)=1,AND(BH169&lt;&gt;"None",BQ169&gt;=60),ISNUMBER(SEARCH("Attack target",BO169))),"AnimalFighter","")
)))</f>
        <v>AnimalExotic</v>
      </c>
      <c r="BW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),_xlfn.XLOOKUP(B169,B:B,BW:BW))</f>
        <v/>
      </c>
      <c r="BX169" s="25" t="str">
        <f>IF(_xlfn.XLOOKUP(B169,'Base stats'!B:B,'Base stats'!AG:AG)=1,"true","false")</f>
        <v>false</v>
      </c>
      <c r="BY169" s="25">
        <f>IF(_xlfn.XLOOKUP(B169,'Base stats'!B:B,'Base stats'!N:N)=1,"No",MAX(0.01,MIN(MROUND(IF(OR(_xlfn.XLOOKUP(B169,'Base stats'!B:B,'Base stats'!AJ:AJ)=1,AND(BI169="True",CB169="False")),POWER(10,3.47*LOG10(_xlfn.XLOOKUP(B169,'Base stats'!B:B,'Base stats'!C:C)*1000)^-0.96),POWER(10,4.15*LOG10(_xlfn.XLOOKUP(B169,'Base stats'!B:B,'Base stats'!C:C)*1000)^-0.73))*IF(OR(_xlfn.XLOOKUP(B169,'Base stats'!B:B,'Base stats'!AJ:AJ)=1,_xlfn.XLOOKUP(B169,'Base stats'!B:B,'Base stats'!AH:AH)=1),0.5,1)/100,0.025),1)))</f>
        <v>0.05</v>
      </c>
      <c r="BZ169" s="25">
        <f>IF(P169="Standard","No",MAX(0.01,IF(_xlfn.XLOOKUP(B169,'Base stats'!B:B,'Base stats'!N:N)=0,MROUND(BY169*P169,0.05),MIN(1,MAX(0.025,MROUND(IF(OR(CB169="true",AND(BI169="false",BN169="false")),POWER(10,4.15*LOG10(_xlfn.XLOOKUP(B169,'Base stats'!B:B,'Base stats'!C:C)*1000)^-0.73),POWER(10,3.47*LOG10(_xlfn.XLOOKUP(B169,'Base stats'!B:B,'Base stats'!C:C)*1000)^-0.96))*IF(_xlfn.XLOOKUP(B169,'Base stats'!B:B,'Base stats'!AH:AH)=1,0.5,1)/100,0.025))))))</f>
        <v>0.05</v>
      </c>
      <c r="CA169" s="25" t="str">
        <f>IF(_xlfn.XLOOKUP(_xlfn.XLOOKUP(B169,'Base stats'!B:B,'Base stats'!E:E),Groups!A:A,Groups!AJ:AJ)="Mammal","True","False")</f>
        <v>False</v>
      </c>
      <c r="CB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C169" s="25" t="str">
        <f t="shared" si="40"/>
        <v>True</v>
      </c>
      <c r="CD169" s="25" t="str">
        <f>IF(_xlfn.XLOOKUP(_xlfn.XLOOKUP(B169,'Base stats'!B:B,'Base stats'!E:E),Groups!A:A,Groups!AX:AX),"True","False")</f>
        <v>True</v>
      </c>
      <c r="CE169" s="25" t="str">
        <f>IF(_xlfn.XLOOKUP(_xlfn.XLOOKUP(B169,'Base stats'!B:B,'Base stats'!E:E),Groups!A:A,Groups!AY:AY),"True","False")</f>
        <v>True</v>
      </c>
      <c r="CF169" s="25" t="str">
        <f>IF(_xlfn.XLOOKUP(_xlfn.XLOOKUP(B169,'Base stats'!B:B,'Base stats'!E:E),Groups!A:A,Groups!AW:AW),"True","False")</f>
        <v>True</v>
      </c>
      <c r="CG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H169" s="25" t="str">
        <f>IF(_xlfn.XLOOKUP(_xlfn.XLOOKUP(B169,'Base stats'!B:B,'Base stats'!E:E),Groups!A:A,Groups!BB:BB),"True","False")</f>
        <v>False</v>
      </c>
      <c r="CI169" s="25" t="str">
        <f>IF(_xlfn.XLOOKUP(_xlfn.XLOOKUP(B169,'Base stats'!B:B,'Base stats'!E:E),Groups!A:A,Groups!BA:BA),"True","False")</f>
        <v>False</v>
      </c>
    </row>
    <row r="170" spans="1:87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stats'!AI:AI)=0,BH170="None",_xlfn.XLOOKUP(_xlfn.XLOOKUP(B170,'Base stats'!B:B,'Base stats'!E:E),Groups!A:A,Groups!B:B)=0), (18 + BQ170 * 2.7) * 0.5,
    IF(AND(_xlfn.XLOOKUP(B170,'Base stats'!B:B,'Base stats'!AI:AI)=0,OR(AO170&lt;0.55,AND(BH170="Intermediate",_xlfn.XLOOKUP(_xlfn.XLOOKUP(B170,'Base stats'!B:B,'Base stats'!E:E),Groups!A:A,Groups!B:B)&lt;2))), (18 + BQ170 * 2.7),
      IF(OR(BH170="Advanced",_xlfn.XLOOKUP(B170,'Base stats'!B:B,'Base stats'!AI:AI)=1,_xlfn.XLOOKUP(_xlfn.XLOOKUP(B170,'Base stats'!B:B,'Base stats'!E:E),Groups!A:A,Groups!B:B)=2), (18 + BQ170 * 2.7) + 250, (18 + BQ170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stats'!AI:AI)=1,0.99,MIN(MROUND((1-0.6282*EXP(-0.459*AO170))*_xlfn.XLOOKUP(_xlfn.XLOOKUP(B170,'Base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W170)),ISNUMBER(SEARCH("IceSheet",BW170))),-50,IF(OR(ISNUMBER(SEARCH("GlacialPlain",BW170)),ISNUMBER(SEARCH("Tundra",BW170))),-40,IF(OR(ISNUMBER(SEARCH("Alpine",BW170)),ISNUMBER(SEARCH("BorealForest",BW170)),ISNUMBER(SEARCH("ColdBog",BW170))),-30,IF(OR(ISNUMBER(SEARCH("TemperateForest",BW170)),ISNUMBER(SEARCH("TemperateSwamp",BW170))),-20,IF(_xlfn.XLOOKUP(_xlfn.XLOOKUP(B170,'Base stats'!B:B,'Base stats'!E:E),Groups!A:A,Groups!F:F)=1,-15,IF(OR(ISNUMBER(SEARCH("Desert",BW170)),ISNUMBER(SEARCH("ExtremeDesert",BW170))),-10,IF(OR(ISNUMBER(SEARCH("Grasslands",BW170)),ISNUMBER(SEARCH("TropicalRainforest",BW170)),ISNUMBER(SEARCH("TropicalSwamp",BW170))),10,0)))))))-IF(CB170="False",MIN(IFERROR(MAX(MROUND(LOG10(_xlfn.XLOOKUP(B170,'Base stats'!B:B,'Base stats'!C:C)^(2/3))*10,5),5),5),30))-_xlfn.XLOOKUP(B170,'Base stats'!B:B,'Base stats'!P:P)+IF(CB170="True",5,0)</f>
        <v>-165</v>
      </c>
      <c r="M170" s="2">
        <f>IF(OR(_xlfn.XLOOKUP(_xlfn.XLOOKUP(B170,'Base stats'!B:B,'Base stats'!E:E),Groups!A:A,Groups!G:G)=2,ISNUMBER(SEARCH("Desert",BW170)),ISNUMBER(SEARCH("ExtremeDesert",BW170)),ISNUMBER(SEARCH("LavaField",BW170))),50,IF(ISNUMBER(SEARCH("Grasslands",BW170)),45,IF(OR(_xlfn.XLOOKUP(_xlfn.XLOOKUP(B170,'Base stats'!B:B,'Base stats'!E:E),Groups!A:A,Groups!G:G)=1,ISNUMBER(SEARCH("TropicalRainforest",BW170)),ISNUMBER(SEARCH("TropicalSwamp",BW170))),40,IF(OR(ISNUMBER(SEARCH("TemperateForest",BW170)),ISNUMBER(SEARCH("TemperateSwamp",BW170))),35,IF(OR(ISNUMBER(SEARCH("Alpine",BW170)),ISNUMBER(SEARCH("BorealForest",BW170)),ISNUMBER(SEARCH("ColdBog",BW170))),30,IF(ISNUMBER(OR(ISNUMBER(SEARCH("GlacialPlain",BW170)),SEARCH("Tundra",BW170))),25,IF(OR(ISNUMBER(SEARCH("SeaIce",BW170)),ISNUMBER(SEARCH("IceSheet",BW170)),ISNUMBER(SEARCH("TropicalSwamp",BW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stats'!AO:AO))*(AO170^0.5)+(_xlfn.XLOOKUP(B170,'Base stats'!B:B,'Base stats'!AO:AO)/1000)^(2/3)+_xlfn.XLOOKUP(B170,'Base stats'!B:B,'Base stats'!AX:AX)/2)+0.5,0.5)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stats'!AP:AP))*(AO170^0.5)+(_xlfn.XLOOKUP(B170,'Base stats'!B:B,'Base stats'!AP:AP)/1000)^(2/3)+_xlfn.XLOOKUP(B170,'Base stats'!B:B,'Base stats'!AX:AX))+_xlfn.XLOOKUP(B170,'Base stats'!B:B,'Base stats'!AV:AV)+0.5,0.5))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stats'!AR:AR))*(AO170^0.5)+(_xlfn.XLOOKUP(B170,'Base stats'!B:B,'Base stats'!AR:AR)/1000)^(2/3)+_xlfn.XLOOKUP(B170,'Base stats'!B:B,'Base stats'!AW:AW))+0.5+IF(_xlfn.XLOOKUP(_xlfn.XLOOKUP(B170,'Base stats'!B:B,'Base stats'!E:E),Groups!A:A,Groups!U:U)&lt;&gt;3,_xlfn.XLOOKUP(B170,'Base stats'!B:B,'Base stats'!AX:AX),0),0.5))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stats'!AQ:AQ)="No","No",MROUND((LOG10(_xlfn.XLOOKUP(B170,'Base stats'!B:B,'Base stats'!AQ:AQ))*(AO170^0.75)+(_xlfn.XLOOKUP(B170,'Base stats'!B:B,'Base stats'!AQ:AQ)/1000)^(2/3)+_xlfn.XLOOKUP(B170,'Base stats'!B:B,'Base stats'!AU:AU)+_xlfn.XLOOKUP(B170,'Base stats'!B:B,'Base stats'!AX:AX))+0.5,0.5))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stats'!AP:AP))*(AO170^0.75)+(_xlfn.XLOOKUP(B170,'Base stats'!B:B,'Base stats'!AP:AP)/1000)^(2/3)+_xlfn.XLOOKUP(B170,'Base stats'!B:B,'Base stats'!AV:AV)+_xlfn.XLOOKUP(B170,'Base stats'!B:B,'Base stats'!AX:AX))+0.5,0.5))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4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MAX(0.01,MROUND(IF(CB170="True",0.196*(AO170*100*1000)^0.889,IF(_xlfn.XLOOKUP(_xlfn.XLOOKUP(B170,'Base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IF(OR(A170="Queen",A170="Larva",A170="Megachicken"),"No",IFERROR(MAX(IF(_xlfn.XLOOKUP(B170,'Base stats'!B:B,'Base stats'!G:G)&lt;0.5,0.2,0.3),MROUND(_xlfn.XLOOKUP(B170,'Base stats'!B:B,'Base stats'!G:G)/(365/60),0.2)),"Unknown"))</f>
        <v>0.4</v>
      </c>
      <c r="AU170" s="8">
        <f t="shared" si="3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stats'!AE:AE)</f>
        <v>Leather_PhotonozoaS</v>
      </c>
      <c r="BB170" s="23" t="str">
        <f>_xlfn.XLOOKUP(_xlfn.XLOOKUP(B170,'Base stats'!B:B,'Base stats'!E:E),Groups!A:A,Groups!AL:AL)</f>
        <v>Paragnahus</v>
      </c>
      <c r="BC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D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E170" s="2" t="str">
        <f>IF(J170&gt;0.3,"No",_xlfn.XLOOKUP(_xlfn.XLOOKUP(Animals!B170,'Base stats'!B:B,'Base stats'!E:E),Groups!A:A,Groups!AP:AP))</f>
        <v>No</v>
      </c>
      <c r="BF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+ 24*(1-IF(BE170="No",0,BE170)) + 16/3, 12),"No")</f>
        <v>No</v>
      </c>
      <c r="BG170" s="2">
        <f>IF(AND(_xlfn.XLOOKUP(_xlfn.XLOOKUP(B170,'Base stats'!B:B,'Base stats'!E:E),Groups!A:A,Groups!AQ:AQ)=1,AO170&lt;=0.35),8,12)</f>
        <v>12</v>
      </c>
      <c r="BH170" s="2" t="str">
        <f>IF(_xlfn.XLOOKUP(_xlfn.XLOOKUP(B170,'Base stats'!B:B,'Base stats'!E:E),Groups!A:A,Groups!D:D)=0,_xlfn.XLOOKUP(_xlfn.XLOOKUP(B170,'Base stats'!B:B,'Base stats'!E:E),Groups!A:A,Groups!AR:AR),"None")</f>
        <v>None</v>
      </c>
      <c r="BI170" s="2" t="str">
        <f>IF(AND(_xlfn.XLOOKUP(_xlfn.XLOOKUP(B170,'Base stats'!B:B,'Base stats'!E:E),Groups!A:A,Groups!AS:AS)=1,OR('Base stats'!Y170="Carnivore",'Base stats'!Y170="Omnivore")),"true","false")</f>
        <v>false</v>
      </c>
      <c r="BJ170" s="2" t="str">
        <f>IF(BI170="true",MROUND(IF(AND(AO170&gt;0.5,OR(_xlfn.XLOOKUP(_xlfn.XLOOKUP(B170,'Base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K170" s="2">
        <f t="shared" si="37"/>
        <v>0</v>
      </c>
      <c r="BL170" s="25" t="str">
        <f>IF(_xlfn.XLOOKUP(B170,'Base stats'!B:B,'Base stats'!AK:AK)="Standard","No",MROUND((_xlfn.XLOOKUP(B170,'Base stats'!B:B,'Base stats'!AK:AK)/3.6)/I170,0.1))</f>
        <v>No</v>
      </c>
      <c r="BM170" s="25" t="str">
        <f t="shared" si="38"/>
        <v>false</v>
      </c>
      <c r="BN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O170" s="25" t="str" cm="1">
        <f t="array" ref="BO170">IF(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 = "",
  "No",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
)</f>
        <v>Forage</v>
      </c>
      <c r="BP170" s="25" t="str">
        <f>IF(
   AND(
      'Base stats'!AK170="Standard",_xlfn.XLOOKUP(_xlfn.XLOOKUP(B170,'Base stats'!B:B,'Base stats'!E:E),Groups!A:A,Groups!AU:AU)=0,
      OR(
      BN170="True"
      )
   ),
   10,
   IF(
       OR(BL170&lt;&gt;"No",_xlfn.XLOOKUP(_xlfn.XLOOKUP(B170,'Base stats'!B:B,'Base stats'!E:E),Groups!A:A,Groups!AU:AU)=1),
      1,
      "No"
   )
)</f>
        <v>No</v>
      </c>
      <c r="BQ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stats'!AS:AS) * 1.8) * 2) * 2.5 + 10 + I170 * 2,5)+IF(_xlfn.XLOOKUP(B170,'Base stats'!B:B,'Base stats'!AH:AH)=1,50,0)</f>
        <v>235</v>
      </c>
      <c r="BR170" s="8">
        <f t="shared" si="39"/>
        <v>0.75</v>
      </c>
      <c r="BS170" s="8" t="str">
        <f>_xlfn.XLOOKUP(B170,'Base stats'!B:B,'Base stats'!AD:AD)</f>
        <v>No</v>
      </c>
      <c r="BT170" s="2" t="str">
        <f>IF(AND(J170&lt;=0.95,OR(_xlfn.XLOOKUP(B170,'Base stats'!B:B,'Base stats'!AH:AH)=1,_xlfn.XLOOKUP(B170,'Base stats'!B:B,'Base stats'!Y:Y)="Carnivore",_xlfn.XLOOKUP(B170,'Base stats'!B:B,'Base stats'!Y:Y)="Omnivore",BD170&gt;0.1)),"true","false")</f>
        <v>false</v>
      </c>
      <c r="BU170" s="2" t="str">
        <f>IF(_xlfn.XLOOKUP(B170,'Base stats'!B:B,'Base stats'!AF:AF)=1,"true","false")</f>
        <v>false</v>
      </c>
      <c r="BV170" s="25" t="str">
        <f>IF(E170="BaseInsect","AnimalInsect",
IF(J170&gt;0.95,"AnimalExotic",
_xlfn.TEXTJOIN(", ",TRUE,
IF(OR(_xlfn.XLOOKUP(B170,'Base stats'!B:B,'Base stats'!AJ:AJ)=1,AND(_xlfn.XLOOKUP(B170,'Base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stats'!AH:AH)=1,AND(BH170&lt;&gt;"None",BQ170&gt;=60),ISNUMBER(SEARCH("Attack target",BO170))),"AnimalFighter","")
)))</f>
        <v>AnimalExotic</v>
      </c>
      <c r="BW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),_xlfn.XLOOKUP(B170,B:B,BW:BW))</f>
        <v/>
      </c>
      <c r="BX170" s="25" t="str">
        <f>IF(_xlfn.XLOOKUP(B170,'Base stats'!B:B,'Base stats'!AG:AG)=1,"true","false")</f>
        <v>false</v>
      </c>
      <c r="BY170" s="25">
        <f>IF(_xlfn.XLOOKUP(B170,'Base stats'!B:B,'Base stats'!N:N)=1,"No",MAX(0.01,MIN(MROUND(IF(OR(_xlfn.XLOOKUP(B170,'Base stats'!B:B,'Base stats'!AJ:AJ)=1,AND(BI170="True",CB170="False")),POWER(10,3.47*LOG10(_xlfn.XLOOKUP(B170,'Base stats'!B:B,'Base stats'!C:C)*1000)^-0.96),POWER(10,4.15*LOG10(_xlfn.XLOOKUP(B170,'Base stats'!B:B,'Base stats'!C:C)*1000)^-0.73))*IF(OR(_xlfn.XLOOKUP(B170,'Base stats'!B:B,'Base stats'!AJ:AJ)=1,_xlfn.XLOOKUP(B170,'Base stats'!B:B,'Base stats'!AH:AH)=1),0.5,1)/100,0.025),1)))</f>
        <v>0.2</v>
      </c>
      <c r="BZ170" s="25">
        <f>IF(P170="Standard","No",MAX(0.01,IF(_xlfn.XLOOKUP(B170,'Base stats'!B:B,'Base stats'!N:N)=0,MROUND(BY170*P170,0.05),MIN(1,MAX(0.025,MROUND(IF(OR(CB170="true",AND(BI170="false",BN170="false")),POWER(10,4.15*LOG10(_xlfn.XLOOKUP(B170,'Base stats'!B:B,'Base stats'!C:C)*1000)^-0.73),POWER(10,3.47*LOG10(_xlfn.XLOOKUP(B170,'Base stats'!B:B,'Base stats'!C:C)*1000)^-0.96))*IF(_xlfn.XLOOKUP(B170,'Base stats'!B:B,'Base stats'!AH:AH)=1,0.5,1)/100,0.025))))))</f>
        <v>0.2</v>
      </c>
      <c r="CA170" s="25" t="str">
        <f>IF(_xlfn.XLOOKUP(_xlfn.XLOOKUP(B170,'Base stats'!B:B,'Base stats'!E:E),Groups!A:A,Groups!AJ:AJ)="Mammal","True","False")</f>
        <v>False</v>
      </c>
      <c r="CB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C170" s="25" t="str">
        <f t="shared" si="40"/>
        <v>True</v>
      </c>
      <c r="CD170" s="25" t="str">
        <f>IF(_xlfn.XLOOKUP(_xlfn.XLOOKUP(B170,'Base stats'!B:B,'Base stats'!E:E),Groups!A:A,Groups!AX:AX),"True","False")</f>
        <v>True</v>
      </c>
      <c r="CE170" s="25" t="str">
        <f>IF(_xlfn.XLOOKUP(_xlfn.XLOOKUP(B170,'Base stats'!B:B,'Base stats'!E:E),Groups!A:A,Groups!AY:AY),"True","False")</f>
        <v>True</v>
      </c>
      <c r="CF170" s="25" t="str">
        <f>IF(_xlfn.XLOOKUP(_xlfn.XLOOKUP(B170,'Base stats'!B:B,'Base stats'!E:E),Groups!A:A,Groups!AW:AW),"True","False")</f>
        <v>True</v>
      </c>
      <c r="CG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H170" s="25" t="str">
        <f>IF(_xlfn.XLOOKUP(_xlfn.XLOOKUP(B170,'Base stats'!B:B,'Base stats'!E:E),Groups!A:A,Groups!BB:BB),"True","False")</f>
        <v>False</v>
      </c>
      <c r="CI170" s="25" t="str">
        <f>IF(_xlfn.XLOOKUP(_xlfn.XLOOKUP(B170,'Base stats'!B:B,'Base stats'!E:E),Groups!A:A,Groups!BA:BA),"True","False")</f>
        <v>False</v>
      </c>
    </row>
    <row r="171" spans="1:87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stats'!AI:AI)=0,BH171="None",_xlfn.XLOOKUP(_xlfn.XLOOKUP(B171,'Base stats'!B:B,'Base stats'!E:E),Groups!A:A,Groups!B:B)=0), (18 + BQ171 * 2.7) * 0.5,
    IF(AND(_xlfn.XLOOKUP(B171,'Base stats'!B:B,'Base stats'!AI:AI)=0,OR(AO171&lt;0.55,AND(BH171="Intermediate",_xlfn.XLOOKUP(_xlfn.XLOOKUP(B171,'Base stats'!B:B,'Base stats'!E:E),Groups!A:A,Groups!B:B)&lt;2))), (18 + BQ171 * 2.7),
      IF(OR(BH171="Advanced",_xlfn.XLOOKUP(B171,'Base stats'!B:B,'Base stats'!AI:AI)=1,_xlfn.XLOOKUP(_xlfn.XLOOKUP(B171,'Base stats'!B:B,'Base stats'!E:E),Groups!A:A,Groups!B:B)=2), (18 + BQ171 * 2.7) + 250, (18 + BQ171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stats'!AI:AI)=1,0.99,MIN(MROUND((1-0.6282*EXP(-0.459*AO171))*_xlfn.XLOOKUP(_xlfn.XLOOKUP(B171,'Base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W171)),ISNUMBER(SEARCH("IceSheet",BW171))),-50,IF(OR(ISNUMBER(SEARCH("GlacialPlain",BW171)),ISNUMBER(SEARCH("Tundra",BW171))),-40,IF(OR(ISNUMBER(SEARCH("Alpine",BW171)),ISNUMBER(SEARCH("BorealForest",BW171)),ISNUMBER(SEARCH("ColdBog",BW171))),-30,IF(OR(ISNUMBER(SEARCH("TemperateForest",BW171)),ISNUMBER(SEARCH("TemperateSwamp",BW171))),-20,IF(_xlfn.XLOOKUP(_xlfn.XLOOKUP(B171,'Base stats'!B:B,'Base stats'!E:E),Groups!A:A,Groups!F:F)=1,-15,IF(OR(ISNUMBER(SEARCH("Desert",BW171)),ISNUMBER(SEARCH("ExtremeDesert",BW171))),-10,IF(OR(ISNUMBER(SEARCH("Grasslands",BW171)),ISNUMBER(SEARCH("TropicalRainforest",BW171)),ISNUMBER(SEARCH("TropicalSwamp",BW171))),10,0)))))))-IF(CB171="False",MIN(IFERROR(MAX(MROUND(LOG10(_xlfn.XLOOKUP(B171,'Base stats'!B:B,'Base stats'!C:C)^(2/3))*10,5),5),5),30))-_xlfn.XLOOKUP(B171,'Base stats'!B:B,'Base stats'!P:P)+IF(CB171="True",5,0)</f>
        <v>-20</v>
      </c>
      <c r="M171" s="2">
        <f>IF(OR(_xlfn.XLOOKUP(_xlfn.XLOOKUP(B171,'Base stats'!B:B,'Base stats'!E:E),Groups!A:A,Groups!G:G)=2,ISNUMBER(SEARCH("Desert",BW171)),ISNUMBER(SEARCH("ExtremeDesert",BW171)),ISNUMBER(SEARCH("LavaField",BW171))),50,IF(ISNUMBER(SEARCH("Grasslands",BW171)),45,IF(OR(_xlfn.XLOOKUP(_xlfn.XLOOKUP(B171,'Base stats'!B:B,'Base stats'!E:E),Groups!A:A,Groups!G:G)=1,ISNUMBER(SEARCH("TropicalRainforest",BW171)),ISNUMBER(SEARCH("TropicalSwamp",BW171))),40,IF(OR(ISNUMBER(SEARCH("TemperateForest",BW171)),ISNUMBER(SEARCH("TemperateSwamp",BW171))),35,IF(OR(ISNUMBER(SEARCH("Alpine",BW171)),ISNUMBER(SEARCH("BorealForest",BW171)),ISNUMBER(SEARCH("ColdBog",BW171))),30,IF(ISNUMBER(OR(ISNUMBER(SEARCH("GlacialPlain",BW171)),SEARCH("Tundra",BW171))),25,IF(OR(ISNUMBER(SEARCH("SeaIce",BW171)),ISNUMBER(SEARCH("IceSheet",BW171)),ISNUMBER(SEARCH("TropicalSwamp",BW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stats'!AO:AO))*(AO171^0.5)+(_xlfn.XLOOKUP(B171,'Base stats'!B:B,'Base stats'!AO:AO)/1000)^(2/3)+_xlfn.XLOOKUP(B171,'Base stats'!B:B,'Base stats'!AX:AX)/2)+0.5,0.5)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stats'!AP:AP))*(AO171^0.5)+(_xlfn.XLOOKUP(B171,'Base stats'!B:B,'Base stats'!AP:AP)/1000)^(2/3)+_xlfn.XLOOKUP(B171,'Base stats'!B:B,'Base stats'!AX:AX))+_xlfn.XLOOKUP(B171,'Base stats'!B:B,'Base stats'!AV:AV)+0.5,0.5))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stats'!AR:AR))*(AO171^0.5)+(_xlfn.XLOOKUP(B171,'Base stats'!B:B,'Base stats'!AR:AR)/1000)^(2/3)+_xlfn.XLOOKUP(B171,'Base stats'!B:B,'Base stats'!AW:AW))+0.5+IF(_xlfn.XLOOKUP(_xlfn.XLOOKUP(B171,'Base stats'!B:B,'Base stats'!E:E),Groups!A:A,Groups!U:U)&lt;&gt;3,_xlfn.XLOOKUP(B171,'Base stats'!B:B,'Base stats'!AX:AX),0),0.5))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stats'!AQ:AQ)="No","No",MROUND((LOG10(_xlfn.XLOOKUP(B171,'Base stats'!B:B,'Base stats'!AQ:AQ))*(AO171^0.75)+(_xlfn.XLOOKUP(B171,'Base stats'!B:B,'Base stats'!AQ:AQ)/1000)^(2/3)+_xlfn.XLOOKUP(B171,'Base stats'!B:B,'Base stats'!AU:AU)+_xlfn.XLOOKUP(B171,'Base stats'!B:B,'Base stats'!AX:AX))+0.5,0.5))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stats'!AP:AP))*(AO171^0.75)+(_xlfn.XLOOKUP(B171,'Base stats'!B:B,'Base stats'!AP:AP)/1000)^(2/3)+_xlfn.XLOOKUP(B171,'Base stats'!B:B,'Base stats'!AV:AV)+_xlfn.XLOOKUP(B171,'Base stats'!B:B,'Base stats'!AX:AX))+0.5,0.5))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41">IF(BI171="false","No",MROUND(AO171*5+15*1,5))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MAX(0.01,MROUND(IF(CB171="True",0.196*(AO171*100*1000)^0.889,IF(_xlfn.XLOOKUP(_xlfn.XLOOKUP(B171,'Base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IF(OR(A171="Queen",A171="Larva",A171="Megachicken"),"No",IFERROR(MAX(IF(_xlfn.XLOOKUP(B171,'Base stats'!B:B,'Base stats'!G:G)&lt;0.5,0.2,0.3),MROUND(_xlfn.XLOOKUP(B171,'Base stats'!B:B,'Base stats'!G:G)/(365/60),0.2)),"Unknown"))</f>
        <v>0.3</v>
      </c>
      <c r="AU171" s="8">
        <f t="shared" ref="AU171" si="42">IF(OR(A171="Queen",A171="Larva",A171="Megachicken"),"No",IFERROR(MROUND(AT171/2,0.05),"Unknown"))</f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3">IF(BS171="No","false","true")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stats'!AE:AE)</f>
        <v>Leather_Mink</v>
      </c>
      <c r="BB171" s="23" t="str">
        <f>_xlfn.XLOOKUP(_xlfn.XLOOKUP(B171,'Base stats'!B:B,'Base stats'!E:E),Groups!A:A,Groups!AL:AL)</f>
        <v>QuadrupedAnimalWithPawsAndTail</v>
      </c>
      <c r="BC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D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E171" s="2" t="str">
        <f>IF(J171&gt;0.3,"No",_xlfn.XLOOKUP(_xlfn.XLOOKUP(Animals!B171,'Base stats'!B:B,'Base stats'!E:E),Groups!A:A,Groups!AP:AP))</f>
        <v>No</v>
      </c>
      <c r="BF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+ 24*(1-IF(BE171="No",0,BE171)) + 16/3, 12),"No")</f>
        <v>36</v>
      </c>
      <c r="BG171" s="2">
        <f>IF(AND(_xlfn.XLOOKUP(_xlfn.XLOOKUP(B171,'Base stats'!B:B,'Base stats'!E:E),Groups!A:A,Groups!AQ:AQ)=1,AO171&lt;=0.35),8,12)</f>
        <v>12</v>
      </c>
      <c r="BH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I171" s="2" t="str">
        <f>IF(AND(_xlfn.XLOOKUP(_xlfn.XLOOKUP(B171,'Base stats'!B:B,'Base stats'!E:E),Groups!A:A,Groups!AS:AS)=1,OR('Base stats'!Y171="Carnivore",'Base stats'!Y171="Omnivore")),"true","false")</f>
        <v>true</v>
      </c>
      <c r="BJ171" s="2">
        <f>IF(BI171="true",MROUND(IF(AND(AO171&gt;0.5,OR(_xlfn.XLOOKUP(_xlfn.XLOOKUP(B171,'Base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K171" s="2">
        <f t="shared" ref="BK171" si="44">IF(BH171&lt;&gt;"None",1,0)</f>
        <v>1</v>
      </c>
      <c r="BL171" s="25" t="str">
        <f>IF(_xlfn.XLOOKUP(B171,'Base stats'!B:B,'Base stats'!AK:AK)="Standard","No",MROUND((_xlfn.XLOOKUP(B171,'Base stats'!B:B,'Base stats'!AK:AK)/3.6)/I171,0.1))</f>
        <v>No</v>
      </c>
      <c r="BM171" s="25" t="str">
        <f t="shared" ref="BM171" si="45">IF(OR(BL171&lt;&gt;"No",BP171=1),"true","false")</f>
        <v>false</v>
      </c>
      <c r="BN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O171" s="25" t="str" cm="1">
        <f t="array" ref="BO171">IF(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 = "",
  "No",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
)</f>
        <v>Comfort</v>
      </c>
      <c r="BP171" s="25" t="str">
        <f>IF(
   AND(
      'Base stats'!AK171="Standard",_xlfn.XLOOKUP(_xlfn.XLOOKUP(B171,'Base stats'!B:B,'Base stats'!E:E),Groups!A:A,Groups!AU:AU)=0,
      OR(
      BN171="True"
      )
   ),
   10,
   IF(
       OR(BL171&lt;&gt;"No",_xlfn.XLOOKUP(_xlfn.XLOOKUP(B171,'Base stats'!B:B,'Base stats'!E:E),Groups!A:A,Groups!AU:AU)=1),
      1,
      "No"
   )
)</f>
        <v>No</v>
      </c>
      <c r="BQ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stats'!AS:AS) * 1.8) * 2) * 2.5 + 10 + I171 * 2,5)+IF(_xlfn.XLOOKUP(B171,'Base stats'!B:B,'Base stats'!AH:AH)=1,50,0)</f>
        <v>30</v>
      </c>
      <c r="BR171" s="8">
        <f t="shared" ref="BR171" si="46">MROUND(AO171 * 0.2 + AQ171 * 0.8,0.05)</f>
        <v>0.25</v>
      </c>
      <c r="BS171" s="8" t="str">
        <f>_xlfn.XLOOKUP(B171,'Base stats'!B:B,'Base stats'!AD:AD)</f>
        <v>No</v>
      </c>
      <c r="BT171" s="2" t="str">
        <f>IF(AND(J171&lt;=0.95,OR(_xlfn.XLOOKUP(B171,'Base stats'!B:B,'Base stats'!AH:AH)=1,_xlfn.XLOOKUP(B171,'Base stats'!B:B,'Base stats'!Y:Y)="Carnivore",_xlfn.XLOOKUP(B171,'Base stats'!B:B,'Base stats'!Y:Y)="Omnivore",BD171&gt;0.1)),"true","false")</f>
        <v>true</v>
      </c>
      <c r="BU171" s="2" t="str">
        <f>IF(_xlfn.XLOOKUP(B171,'Base stats'!B:B,'Base stats'!AF:AF)=1,"true","false")</f>
        <v>false</v>
      </c>
      <c r="BV171" s="25" t="str">
        <f>IF(E171="BaseInsect","AnimalInsect",
IF(J171&gt;0.95,"AnimalExotic",
_xlfn.TEXTJOIN(", ",TRUE,
IF(OR(_xlfn.XLOOKUP(B171,'Base stats'!B:B,'Base stats'!AJ:AJ)=1,AND(_xlfn.XLOOKUP(B171,'Base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stats'!AH:AH)=1,AND(BH171&lt;&gt;"None",BQ171&gt;=60),ISNUMBER(SEARCH("Attack target",BO171))),"AnimalFighter","")
)))</f>
        <v>AnimalUncommon</v>
      </c>
      <c r="BW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),_xlfn.XLOOKUP(B171,B:B,BW:BW))</f>
        <v>AridShrubland Grasslands LavaField</v>
      </c>
      <c r="BX171" s="25" t="str">
        <f>IF(_xlfn.XLOOKUP(B171,'Base stats'!B:B,'Base stats'!AG:AG)=1,"true","false")</f>
        <v>false</v>
      </c>
      <c r="BY171" s="25">
        <f>IF(_xlfn.XLOOKUP(B171,'Base stats'!B:B,'Base stats'!N:N)=1,"No",MAX(0.01,MIN(MROUND(IF(OR(_xlfn.XLOOKUP(B171,'Base stats'!B:B,'Base stats'!AJ:AJ)=1,AND(BI171="True",CB171="False")),POWER(10,3.47*LOG10(_xlfn.XLOOKUP(B171,'Base stats'!B:B,'Base stats'!C:C)*1000)^-0.96),POWER(10,4.15*LOG10(_xlfn.XLOOKUP(B171,'Base stats'!B:B,'Base stats'!C:C)*1000)^-0.73))*IF(OR(_xlfn.XLOOKUP(B171,'Base stats'!B:B,'Base stats'!AJ:AJ)=1,_xlfn.XLOOKUP(B171,'Base stats'!B:B,'Base stats'!AH:AH)=1),0.5,1)/100,0.025),1)))</f>
        <v>7.5000000000000011E-2</v>
      </c>
      <c r="BZ171" s="25" t="str">
        <f>IF(P171="Standard","No",MAX(0.01,IF(_xlfn.XLOOKUP(B171,'Base stats'!B:B,'Base stats'!N:N)=0,MROUND(BY171*P171,0.05),MIN(1,MAX(0.025,MROUND(IF(OR(CB171="true",AND(BI171="false",BN171="false")),POWER(10,4.15*LOG10(_xlfn.XLOOKUP(B171,'Base stats'!B:B,'Base stats'!C:C)*1000)^-0.73),POWER(10,3.47*LOG10(_xlfn.XLOOKUP(B171,'Base stats'!B:B,'Base stats'!C:C)*1000)^-0.96))*IF(_xlfn.XLOOKUP(B171,'Base stats'!B:B,'Base stats'!AH:AH)=1,0.5,1)/100,0.025))))))</f>
        <v>No</v>
      </c>
      <c r="CA171" s="25" t="str">
        <f>IF(_xlfn.XLOOKUP(_xlfn.XLOOKUP(B171,'Base stats'!B:B,'Base stats'!E:E),Groups!A:A,Groups!AJ:AJ)="Mammal","True","False")</f>
        <v>True</v>
      </c>
      <c r="CB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C171" s="25" t="str">
        <f t="shared" ref="CC171" si="47">IF(J171&gt;0.95,"True","False")</f>
        <v>False</v>
      </c>
      <c r="CD171" s="25" t="str">
        <f>IF(_xlfn.XLOOKUP(_xlfn.XLOOKUP(B171,'Base stats'!B:B,'Base stats'!E:E),Groups!A:A,Groups!AX:AX),"True","False")</f>
        <v>False</v>
      </c>
      <c r="CE171" s="25" t="str">
        <f>IF(_xlfn.XLOOKUP(_xlfn.XLOOKUP(B171,'Base stats'!B:B,'Base stats'!E:E),Groups!A:A,Groups!AY:AY),"True","False")</f>
        <v>False</v>
      </c>
      <c r="CF171" s="25" t="str">
        <f>IF(_xlfn.XLOOKUP(_xlfn.XLOOKUP(B171,'Base stats'!B:B,'Base stats'!E:E),Groups!A:A,Groups!AW:AW),"True","False")</f>
        <v>False</v>
      </c>
      <c r="CG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H171" s="25" t="str">
        <f>IF(_xlfn.XLOOKUP(_xlfn.XLOOKUP(B171,'Base stats'!B:B,'Base stats'!E:E),Groups!A:A,Groups!BB:BB),"True","False")</f>
        <v>True</v>
      </c>
      <c r="CI171" s="25" t="str">
        <f>IF(_xlfn.XLOOKUP(_xlfn.XLOOKUP(B171,'Base stats'!B:B,'Base stats'!E:E),Groups!A:A,Groups!BA:BA),"True","False")</f>
        <v>False</v>
      </c>
    </row>
    <row r="172" spans="1:87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stats'!AI:AI)=0,BH172="None",_xlfn.XLOOKUP(_xlfn.XLOOKUP(B172,'Base stats'!B:B,'Base stats'!E:E),Groups!A:A,Groups!B:B)=0), (18 + BQ172 * 2.7) * 0.5,
    IF(AND(_xlfn.XLOOKUP(B172,'Base stats'!B:B,'Base stats'!AI:AI)=0,OR(AO172&lt;0.55,AND(BH172="Intermediate",_xlfn.XLOOKUP(_xlfn.XLOOKUP(B172,'Base stats'!B:B,'Base stats'!E:E),Groups!A:A,Groups!B:B)&lt;2))), (18 + BQ172 * 2.7),
      IF(OR(BH172="Advanced",_xlfn.XLOOKUP(B172,'Base stats'!B:B,'Base stats'!AI:AI)=1,_xlfn.XLOOKUP(_xlfn.XLOOKUP(B172,'Base stats'!B:B,'Base stats'!E:E),Groups!A:A,Groups!B:B)=2), (18 + BQ172 * 2.7) + 250, (18 + BQ172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stats'!AI:AI)=1,0.99,MIN(MROUND((1-0.6282*EXP(-0.459*AO172))*_xlfn.XLOOKUP(_xlfn.XLOOKUP(B172,'Base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W172)),ISNUMBER(SEARCH("IceSheet",BW172))),-50,IF(OR(ISNUMBER(SEARCH("GlacialPlain",BW172)),ISNUMBER(SEARCH("Tundra",BW172))),-40,IF(OR(ISNUMBER(SEARCH("Alpine",BW172)),ISNUMBER(SEARCH("BorealForest",BW172)),ISNUMBER(SEARCH("ColdBog",BW172))),-30,IF(OR(ISNUMBER(SEARCH("TemperateForest",BW172)),ISNUMBER(SEARCH("TemperateSwamp",BW172))),-20,IF(_xlfn.XLOOKUP(_xlfn.XLOOKUP(B172,'Base stats'!B:B,'Base stats'!E:E),Groups!A:A,Groups!F:F)=1,-15,IF(OR(ISNUMBER(SEARCH("Desert",BW172)),ISNUMBER(SEARCH("ExtremeDesert",BW172))),-10,IF(OR(ISNUMBER(SEARCH("Grasslands",BW172)),ISNUMBER(SEARCH("TropicalRainforest",BW172)),ISNUMBER(SEARCH("TropicalSwamp",BW172))),10,0)))))))-IF(CB172="False",MIN(IFERROR(MAX(MROUND(LOG10(_xlfn.XLOOKUP(B172,'Base stats'!B:B,'Base stats'!C:C)^(2/3))*10,5),5),5),30))-_xlfn.XLOOKUP(B172,'Base stats'!B:B,'Base stats'!P:P)+IF(CB172="True",5,0)</f>
        <v>-10</v>
      </c>
      <c r="M172" s="2">
        <f>IF(OR(_xlfn.XLOOKUP(_xlfn.XLOOKUP(B172,'Base stats'!B:B,'Base stats'!E:E),Groups!A:A,Groups!G:G)=2,ISNUMBER(SEARCH("Desert",BW172)),ISNUMBER(SEARCH("ExtremeDesert",BW172)),ISNUMBER(SEARCH("LavaField",BW172))),50,IF(ISNUMBER(SEARCH("Grasslands",BW172)),45,IF(OR(_xlfn.XLOOKUP(_xlfn.XLOOKUP(B172,'Base stats'!B:B,'Base stats'!E:E),Groups!A:A,Groups!G:G)=1,ISNUMBER(SEARCH("TropicalRainforest",BW172)),ISNUMBER(SEARCH("TropicalSwamp",BW172))),40,IF(OR(ISNUMBER(SEARCH("TemperateForest",BW172)),ISNUMBER(SEARCH("TemperateSwamp",BW172))),35,IF(OR(ISNUMBER(SEARCH("Alpine",BW172)),ISNUMBER(SEARCH("BorealForest",BW172)),ISNUMBER(SEARCH("ColdBog",BW172))),30,IF(ISNUMBER(OR(ISNUMBER(SEARCH("GlacialPlain",BW172)),SEARCH("Tundra",BW172))),25,IF(OR(ISNUMBER(SEARCH("SeaIce",BW172)),ISNUMBER(SEARCH("IceSheet",BW172)),ISNUMBER(SEARCH("TropicalSwamp",BW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stats'!AO:AO))*(AO172^0.5)+(_xlfn.XLOOKUP(B172,'Base stats'!B:B,'Base stats'!AO:AO)/1000)^(2/3)+_xlfn.XLOOKUP(B172,'Base stats'!B:B,'Base stats'!AX:AX)/2)+0.5,0.5)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stats'!AP:AP))*(AO172^0.5)+(_xlfn.XLOOKUP(B172,'Base stats'!B:B,'Base stats'!AP:AP)/1000)^(2/3)+_xlfn.XLOOKUP(B172,'Base stats'!B:B,'Base stats'!AX:AX))+_xlfn.XLOOKUP(B172,'Base stats'!B:B,'Base stats'!AV:AV)+0.5,0.5))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stats'!AR:AR))*(AO172^0.5)+(_xlfn.XLOOKUP(B172,'Base stats'!B:B,'Base stats'!AR:AR)/1000)^(2/3)+_xlfn.XLOOKUP(B172,'Base stats'!B:B,'Base stats'!AW:AW))+0.5+IF(_xlfn.XLOOKUP(_xlfn.XLOOKUP(B172,'Base stats'!B:B,'Base stats'!E:E),Groups!A:A,Groups!U:U)&lt;&gt;3,_xlfn.XLOOKUP(B172,'Base stats'!B:B,'Base stats'!AX:AX),0),0.5))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stats'!AQ:AQ)="No","No",MROUND((LOG10(_xlfn.XLOOKUP(B172,'Base stats'!B:B,'Base stats'!AQ:AQ))*(AO172^0.75)+(_xlfn.XLOOKUP(B172,'Base stats'!B:B,'Base stats'!AQ:AQ)/1000)^(2/3)+_xlfn.XLOOKUP(B172,'Base stats'!B:B,'Base stats'!AU:AU)+_xlfn.XLOOKUP(B172,'Base stats'!B:B,'Base stats'!AX:AX))+0.5,0.5))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stats'!AP:AP))*(AO172^0.75)+(_xlfn.XLOOKUP(B172,'Base stats'!B:B,'Base stats'!AP:AP)/1000)^(2/3)+_xlfn.XLOOKUP(B172,'Base stats'!B:B,'Base stats'!AV:AV)+_xlfn.XLOOKUP(B172,'Base stats'!B:B,'Base stats'!AX:AX))+0.5,0.5))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8">IF(BI172="false","No",MROUND(AO172*5+15*1,5))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MAX(0.01,MROUND(IF(CB172="True",0.196*(AO172*100*1000)^0.889,IF(_xlfn.XLOOKUP(_xlfn.XLOOKUP(B172,'Base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IF(OR(A172="Queen",A172="Larva",A172="Megachicken"),"No",IFERROR(MAX(IF(_xlfn.XLOOKUP(B172,'Base stats'!B:B,'Base stats'!G:G)&lt;0.5,0.2,0.3),MROUND(_xlfn.XLOOKUP(B172,'Base stats'!B:B,'Base stats'!G:G)/(365/60),0.2)),"Unknown"))</f>
        <v>0.8</v>
      </c>
      <c r="AU172" s="8">
        <f t="shared" ref="AU172:AU180" si="49">IF(OR(A172="Queen",A172="Larva",A172="Megachicken"),"No",IFERROR(MROUND(AT172/2,0.05),"Unknown"))</f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50">IF(BS172="No","false","true")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stats'!AE:AE)</f>
        <v>Leather_Rhinoceros</v>
      </c>
      <c r="BB172" s="23" t="str">
        <f>_xlfn.XLOOKUP(_xlfn.XLOOKUP(B172,'Base stats'!B:B,'Base stats'!E:E),Groups!A:A,Groups!AL:AL)</f>
        <v>QuadrupedAnimalWithHoovesAndHorn</v>
      </c>
      <c r="BC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D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E172" s="2" t="str">
        <f>IF(J172&gt;0.3,"No",_xlfn.XLOOKUP(_xlfn.XLOOKUP(Animals!B172,'Base stats'!B:B,'Base stats'!E:E),Groups!A:A,Groups!AP:AP))</f>
        <v>No</v>
      </c>
      <c r="BF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+ 24*(1-IF(BE172="No",0,BE172)) + 16/3, 12),"No")</f>
        <v>No</v>
      </c>
      <c r="BG172" s="2">
        <f>IF(AND(_xlfn.XLOOKUP(_xlfn.XLOOKUP(B172,'Base stats'!B:B,'Base stats'!E:E),Groups!A:A,Groups!AQ:AQ)=1,AO172&lt;=0.35),8,12)</f>
        <v>12</v>
      </c>
      <c r="BH172" s="2" t="str">
        <f>IF(_xlfn.XLOOKUP(_xlfn.XLOOKUP(B172,'Base stats'!B:B,'Base stats'!E:E),Groups!A:A,Groups!D:D)=0,_xlfn.XLOOKUP(_xlfn.XLOOKUP(B172,'Base stats'!B:B,'Base stats'!E:E),Groups!A:A,Groups!AR:AR),"None")</f>
        <v>None</v>
      </c>
      <c r="BI172" s="2" t="str">
        <f>IF(AND(_xlfn.XLOOKUP(_xlfn.XLOOKUP(B172,'Base stats'!B:B,'Base stats'!E:E),Groups!A:A,Groups!AS:AS)=1,OR('Base stats'!Y172="Carnivore",'Base stats'!Y172="Omnivore")),"true","false")</f>
        <v>false</v>
      </c>
      <c r="BJ172" s="2" t="str">
        <f>IF(BI172="true",MROUND(IF(AND(AO172&gt;0.5,OR(_xlfn.XLOOKUP(_xlfn.XLOOKUP(B172,'Base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K172" s="2">
        <f t="shared" ref="BK172:BK180" si="51">IF(BH172&lt;&gt;"None",1,0)</f>
        <v>0</v>
      </c>
      <c r="BL172" s="25" t="str">
        <f>IF(_xlfn.XLOOKUP(B172,'Base stats'!B:B,'Base stats'!AK:AK)="Standard","No",MROUND((_xlfn.XLOOKUP(B172,'Base stats'!B:B,'Base stats'!AK:AK)/3.6)/I172,0.1))</f>
        <v>No</v>
      </c>
      <c r="BM172" s="25" t="str">
        <f t="shared" ref="BM172:BM180" si="52">IF(OR(BL172&lt;&gt;"No",BP172=1),"true","false")</f>
        <v>false</v>
      </c>
      <c r="BN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O172" s="25" t="str" cm="1">
        <f t="array" ref="BO172">IF(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 = "",
  "No",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
)</f>
        <v>No</v>
      </c>
      <c r="BP172" s="25" t="str">
        <f>IF(
   AND(
      'Base stats'!AK172="Standard",_xlfn.XLOOKUP(_xlfn.XLOOKUP(B172,'Base stats'!B:B,'Base stats'!E:E),Groups!A:A,Groups!AU:AU)=0,
      OR(
      BN172="True"
      )
   ),
   10,
   IF(
       OR(BL172&lt;&gt;"No",_xlfn.XLOOKUP(_xlfn.XLOOKUP(B172,'Base stats'!B:B,'Base stats'!E:E),Groups!A:A,Groups!AU:AU)=1),
      1,
      "No"
   )
)</f>
        <v>No</v>
      </c>
      <c r="BQ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stats'!AS:AS) * 1.8) * 2) * 2.5 + 10 + I172 * 2,5)+IF(_xlfn.XLOOKUP(B172,'Base stats'!B:B,'Base stats'!AH:AH)=1,50,0)</f>
        <v>370</v>
      </c>
      <c r="BR172" s="8">
        <f t="shared" ref="BR172:BR180" si="53">MROUND(AO172 * 0.2 + AQ172 * 0.8,0.05)</f>
        <v>2.1</v>
      </c>
      <c r="BS172" s="8" t="str">
        <f>_xlfn.XLOOKUP(B172,'Base stats'!B:B,'Base stats'!AD:AD)</f>
        <v>No</v>
      </c>
      <c r="BT172" s="2" t="str">
        <f>IF(AND(J172&lt;=0.95,OR(_xlfn.XLOOKUP(B172,'Base stats'!B:B,'Base stats'!AH:AH)=1,_xlfn.XLOOKUP(B172,'Base stats'!B:B,'Base stats'!Y:Y)="Carnivore",_xlfn.XLOOKUP(B172,'Base stats'!B:B,'Base stats'!Y:Y)="Omnivore",BD172&gt;0.1)),"true","false")</f>
        <v>true</v>
      </c>
      <c r="BU172" s="2" t="str">
        <f>IF(_xlfn.XLOOKUP(B172,'Base stats'!B:B,'Base stats'!AF:AF)=1,"true","false")</f>
        <v>false</v>
      </c>
      <c r="BV172" s="25" t="str">
        <f>IF(E172="BaseInsect","AnimalInsect",
IF(J172&gt;0.95,"AnimalExotic",
_xlfn.TEXTJOIN(", ",TRUE,
IF(OR(_xlfn.XLOOKUP(B172,'Base stats'!B:B,'Base stats'!AJ:AJ)=1,AND(_xlfn.XLOOKUP(B172,'Base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stats'!AH:AH)=1,AND(BH172&lt;&gt;"None",BQ172&gt;=60),ISNUMBER(SEARCH("Attack target",BO172))),"AnimalFighter","")
)))</f>
        <v>AnimalUncommon</v>
      </c>
      <c r="BW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),_xlfn.XLOOKUP(B172,B:B,BW:BW))</f>
        <v>AridShrubland Grasslands</v>
      </c>
      <c r="BX172" s="25" t="str">
        <f>IF(_xlfn.XLOOKUP(B172,'Base stats'!B:B,'Base stats'!AG:AG)=1,"true","false")</f>
        <v>false</v>
      </c>
      <c r="BY172" s="25">
        <f>IF(_xlfn.XLOOKUP(B172,'Base stats'!B:B,'Base stats'!N:N)=1,"No",MAX(0.01,MIN(MROUND(IF(OR(_xlfn.XLOOKUP(B172,'Base stats'!B:B,'Base stats'!AJ:AJ)=1,AND(BI172="True",CB172="False")),POWER(10,3.47*LOG10(_xlfn.XLOOKUP(B172,'Base stats'!B:B,'Base stats'!C:C)*1000)^-0.96),POWER(10,4.15*LOG10(_xlfn.XLOOKUP(B172,'Base stats'!B:B,'Base stats'!C:C)*1000)^-0.73))*IF(OR(_xlfn.XLOOKUP(B172,'Base stats'!B:B,'Base stats'!AJ:AJ)=1,_xlfn.XLOOKUP(B172,'Base stats'!B:B,'Base stats'!AH:AH)=1),0.5,1)/100,0.025),1)))</f>
        <v>2.5000000000000001E-2</v>
      </c>
      <c r="BZ172" s="25" t="str">
        <f>IF(P172="Standard","No",MAX(0.01,IF(_xlfn.XLOOKUP(B172,'Base stats'!B:B,'Base stats'!N:N)=0,MROUND(BY172*P172,0.05),MIN(1,MAX(0.025,MROUND(IF(OR(CB172="true",AND(BI172="false",BN172="false")),POWER(10,4.15*LOG10(_xlfn.XLOOKUP(B172,'Base stats'!B:B,'Base stats'!C:C)*1000)^-0.73),POWER(10,3.47*LOG10(_xlfn.XLOOKUP(B172,'Base stats'!B:B,'Base stats'!C:C)*1000)^-0.96))*IF(_xlfn.XLOOKUP(B172,'Base stats'!B:B,'Base stats'!AH:AH)=1,0.5,1)/100,0.025))))))</f>
        <v>No</v>
      </c>
      <c r="CA172" s="25" t="str">
        <f>IF(_xlfn.XLOOKUP(_xlfn.XLOOKUP(B172,'Base stats'!B:B,'Base stats'!E:E),Groups!A:A,Groups!AJ:AJ)="Mammal","True","False")</f>
        <v>True</v>
      </c>
      <c r="CB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C172" s="25" t="str">
        <f t="shared" ref="CC172:CC180" si="54">IF(J172&gt;0.95,"True","False")</f>
        <v>False</v>
      </c>
      <c r="CD172" s="25" t="str">
        <f>IF(_xlfn.XLOOKUP(_xlfn.XLOOKUP(B172,'Base stats'!B:B,'Base stats'!E:E),Groups!A:A,Groups!AX:AX),"True","False")</f>
        <v>False</v>
      </c>
      <c r="CE172" s="25" t="str">
        <f>IF(_xlfn.XLOOKUP(_xlfn.XLOOKUP(B172,'Base stats'!B:B,'Base stats'!E:E),Groups!A:A,Groups!AY:AY),"True","False")</f>
        <v>False</v>
      </c>
      <c r="CF172" s="25" t="str">
        <f>IF(_xlfn.XLOOKUP(_xlfn.XLOOKUP(B172,'Base stats'!B:B,'Base stats'!E:E),Groups!A:A,Groups!AW:AW),"True","False")</f>
        <v>False</v>
      </c>
      <c r="CG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H172" s="25" t="str">
        <f>IF(_xlfn.XLOOKUP(_xlfn.XLOOKUP(B172,'Base stats'!B:B,'Base stats'!E:E),Groups!A:A,Groups!BB:BB),"True","False")</f>
        <v>True</v>
      </c>
      <c r="CI172" s="25" t="str">
        <f>IF(_xlfn.XLOOKUP(_xlfn.XLOOKUP(B172,'Base stats'!B:B,'Base stats'!E:E),Groups!A:A,Groups!BA:BA),"True","False")</f>
        <v>False</v>
      </c>
    </row>
    <row r="173" spans="1:87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stats'!AI:AI)=0,BH173="None",_xlfn.XLOOKUP(_xlfn.XLOOKUP(B173,'Base stats'!B:B,'Base stats'!E:E),Groups!A:A,Groups!B:B)=0), (18 + BQ173 * 2.7) * 0.5,
    IF(AND(_xlfn.XLOOKUP(B173,'Base stats'!B:B,'Base stats'!AI:AI)=0,OR(AO173&lt;0.55,AND(BH173="Intermediate",_xlfn.XLOOKUP(_xlfn.XLOOKUP(B173,'Base stats'!B:B,'Base stats'!E:E),Groups!A:A,Groups!B:B)&lt;2))), (18 + BQ173 * 2.7),
      IF(OR(BH173="Advanced",_xlfn.XLOOKUP(B173,'Base stats'!B:B,'Base stats'!AI:AI)=1,_xlfn.XLOOKUP(_xlfn.XLOOKUP(B173,'Base stats'!B:B,'Base stats'!E:E),Groups!A:A,Groups!B:B)=2), (18 + BQ173 * 2.7) + 250, (18 + BQ173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stats'!AI:AI)=1,0.99,MIN(MROUND((1-0.6282*EXP(-0.459*AO173))*_xlfn.XLOOKUP(_xlfn.XLOOKUP(B173,'Base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W173)),ISNUMBER(SEARCH("IceSheet",BW173))),-50,IF(OR(ISNUMBER(SEARCH("GlacialPlain",BW173)),ISNUMBER(SEARCH("Tundra",BW173))),-40,IF(OR(ISNUMBER(SEARCH("Alpine",BW173)),ISNUMBER(SEARCH("BorealForest",BW173)),ISNUMBER(SEARCH("ColdBog",BW173))),-30,IF(OR(ISNUMBER(SEARCH("TemperateForest",BW173)),ISNUMBER(SEARCH("TemperateSwamp",BW173))),-20,IF(_xlfn.XLOOKUP(_xlfn.XLOOKUP(B173,'Base stats'!B:B,'Base stats'!E:E),Groups!A:A,Groups!F:F)=1,-15,IF(OR(ISNUMBER(SEARCH("Desert",BW173)),ISNUMBER(SEARCH("ExtremeDesert",BW173))),-10,IF(OR(ISNUMBER(SEARCH("Grasslands",BW173)),ISNUMBER(SEARCH("TropicalRainforest",BW173)),ISNUMBER(SEARCH("TropicalSwamp",BW173))),10,0)))))))-IF(CB173="False",MIN(IFERROR(MAX(MROUND(LOG10(_xlfn.XLOOKUP(B173,'Base stats'!B:B,'Base stats'!C:C)^(2/3))*10,5),5),5),30))-_xlfn.XLOOKUP(B173,'Base stats'!B:B,'Base stats'!P:P)+IF(CB173="True",5,0)</f>
        <v>0</v>
      </c>
      <c r="M173" s="2">
        <f>IF(OR(_xlfn.XLOOKUP(_xlfn.XLOOKUP(B173,'Base stats'!B:B,'Base stats'!E:E),Groups!A:A,Groups!G:G)=2,ISNUMBER(SEARCH("Desert",BW173)),ISNUMBER(SEARCH("ExtremeDesert",BW173)),ISNUMBER(SEARCH("LavaField",BW173))),50,IF(ISNUMBER(SEARCH("Grasslands",BW173)),45,IF(OR(_xlfn.XLOOKUP(_xlfn.XLOOKUP(B173,'Base stats'!B:B,'Base stats'!E:E),Groups!A:A,Groups!G:G)=1,ISNUMBER(SEARCH("TropicalRainforest",BW173)),ISNUMBER(SEARCH("TropicalSwamp",BW173))),40,IF(OR(ISNUMBER(SEARCH("TemperateForest",BW173)),ISNUMBER(SEARCH("TemperateSwamp",BW173))),35,IF(OR(ISNUMBER(SEARCH("Alpine",BW173)),ISNUMBER(SEARCH("BorealForest",BW173)),ISNUMBER(SEARCH("ColdBog",BW173))),30,IF(ISNUMBER(OR(ISNUMBER(SEARCH("GlacialPlain",BW173)),SEARCH("Tundra",BW173))),25,IF(OR(ISNUMBER(SEARCH("SeaIce",BW173)),ISNUMBER(SEARCH("IceSheet",BW173)),ISNUMBER(SEARCH("TropicalSwamp",BW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stats'!AO:AO))*(AO173^0.5)+(_xlfn.XLOOKUP(B173,'Base stats'!B:B,'Base stats'!AO:AO)/1000)^(2/3)+_xlfn.XLOOKUP(B173,'Base stats'!B:B,'Base stats'!AX:AX)/2)+0.5,0.5)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stats'!AP:AP))*(AO173^0.5)+(_xlfn.XLOOKUP(B173,'Base stats'!B:B,'Base stats'!AP:AP)/1000)^(2/3)+_xlfn.XLOOKUP(B173,'Base stats'!B:B,'Base stats'!AX:AX))+_xlfn.XLOOKUP(B173,'Base stats'!B:B,'Base stats'!AV:AV)+0.5,0.5))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stats'!AR:AR))*(AO173^0.5)+(_xlfn.XLOOKUP(B173,'Base stats'!B:B,'Base stats'!AR:AR)/1000)^(2/3)+_xlfn.XLOOKUP(B173,'Base stats'!B:B,'Base stats'!AW:AW))+0.5+IF(_xlfn.XLOOKUP(_xlfn.XLOOKUP(B173,'Base stats'!B:B,'Base stats'!E:E),Groups!A:A,Groups!U:U)&lt;&gt;3,_xlfn.XLOOKUP(B173,'Base stats'!B:B,'Base stats'!AX:AX),0),0.5))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stats'!AQ:AQ)="No","No",MROUND((LOG10(_xlfn.XLOOKUP(B173,'Base stats'!B:B,'Base stats'!AQ:AQ))*(AO173^0.75)+(_xlfn.XLOOKUP(B173,'Base stats'!B:B,'Base stats'!AQ:AQ)/1000)^(2/3)+_xlfn.XLOOKUP(B173,'Base stats'!B:B,'Base stats'!AU:AU)+_xlfn.XLOOKUP(B173,'Base stats'!B:B,'Base stats'!AX:AX))+0.5,0.5))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stats'!AP:AP))*(AO173^0.75)+(_xlfn.XLOOKUP(B173,'Base stats'!B:B,'Base stats'!AP:AP)/1000)^(2/3)+_xlfn.XLOOKUP(B173,'Base stats'!B:B,'Base stats'!AV:AV)+_xlfn.XLOOKUP(B173,'Base stats'!B:B,'Base stats'!AX:AX))+0.5,0.5))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8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MAX(0.01,MROUND(IF(CB173="True",0.196*(AO173*100*1000)^0.889,IF(_xlfn.XLOOKUP(_xlfn.XLOOKUP(B173,'Base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49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50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stats'!AE:AE)</f>
        <v>Leather_Light</v>
      </c>
      <c r="BB173" s="23" t="str">
        <f>_xlfn.XLOOKUP(_xlfn.XLOOKUP(B173,'Base stats'!B:B,'Base stats'!E:E),Groups!A:A,Groups!AL:AL)</f>
        <v>Ape</v>
      </c>
      <c r="BC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D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E173" s="2" t="str">
        <f>IF(J173&gt;0.3,"No",_xlfn.XLOOKUP(_xlfn.XLOOKUP(Animals!B173,'Base stats'!B:B,'Base stats'!E:E),Groups!A:A,Groups!AP:AP))</f>
        <v>No</v>
      </c>
      <c r="BF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+ 24*(1-IF(BE173="No",0,BE173)) + 16/3, 12),"No")</f>
        <v>No</v>
      </c>
      <c r="BG173" s="2">
        <f>IF(AND(_xlfn.XLOOKUP(_xlfn.XLOOKUP(B173,'Base stats'!B:B,'Base stats'!E:E),Groups!A:A,Groups!AQ:AQ)=1,AO173&lt;=0.35),8,12)</f>
        <v>12</v>
      </c>
      <c r="BH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I173" s="2" t="str">
        <f>IF(AND(_xlfn.XLOOKUP(_xlfn.XLOOKUP(B173,'Base stats'!B:B,'Base stats'!E:E),Groups!A:A,Groups!AS:AS)=1,OR('Base stats'!Y173="Carnivore",'Base stats'!Y173="Omnivore")),"true","false")</f>
        <v>false</v>
      </c>
      <c r="BJ173" s="2" t="str">
        <f>IF(BI173="true",MROUND(IF(AND(AO173&gt;0.5,OR(_xlfn.XLOOKUP(_xlfn.XLOOKUP(B173,'Base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K173" s="2">
        <f t="shared" si="51"/>
        <v>1</v>
      </c>
      <c r="BL173" s="25" t="str">
        <f>IF(_xlfn.XLOOKUP(B173,'Base stats'!B:B,'Base stats'!AK:AK)="Standard","No",MROUND((_xlfn.XLOOKUP(B173,'Base stats'!B:B,'Base stats'!AK:AK)/3.6)/I173,0.1))</f>
        <v>No</v>
      </c>
      <c r="BM173" s="25" t="str">
        <f t="shared" si="52"/>
        <v>false</v>
      </c>
      <c r="BN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O173" s="25" t="str" cm="1">
        <f t="array" ref="BO173">IF(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 = "",
  "No",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
)</f>
        <v>Forage</v>
      </c>
      <c r="BP173" s="25" t="str">
        <f>IF(
   AND(
      'Base stats'!AK173="Standard",_xlfn.XLOOKUP(_xlfn.XLOOKUP(B173,'Base stats'!B:B,'Base stats'!E:E),Groups!A:A,Groups!AU:AU)=0,
      OR(
      BN173="True"
      )
   ),
   10,
   IF(
       OR(BL173&lt;&gt;"No",_xlfn.XLOOKUP(_xlfn.XLOOKUP(B173,'Base stats'!B:B,'Base stats'!E:E),Groups!A:A,Groups!AU:AU)=1),
      1,
      "No"
   )
)</f>
        <v>No</v>
      </c>
      <c r="BQ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stats'!AS:AS) * 1.8) * 2) * 2.5 + 10 + I173 * 2,5)+IF(_xlfn.XLOOKUP(B173,'Base stats'!B:B,'Base stats'!AH:AH)=1,50,0)</f>
        <v>75</v>
      </c>
      <c r="BR173" s="8">
        <f t="shared" si="53"/>
        <v>0.55000000000000004</v>
      </c>
      <c r="BS173" s="8" t="str">
        <f>_xlfn.XLOOKUP(B173,'Base stats'!B:B,'Base stats'!AD:AD)</f>
        <v>3~10</v>
      </c>
      <c r="BT173" s="2" t="str">
        <f>IF(AND(J173&lt;=0.95,OR(_xlfn.XLOOKUP(B173,'Base stats'!B:B,'Base stats'!AH:AH)=1,_xlfn.XLOOKUP(B173,'Base stats'!B:B,'Base stats'!Y:Y)="Carnivore",_xlfn.XLOOKUP(B173,'Base stats'!B:B,'Base stats'!Y:Y)="Omnivore",BD173&gt;0.1)),"true","false")</f>
        <v>false</v>
      </c>
      <c r="BU173" s="2" t="str">
        <f>IF(_xlfn.XLOOKUP(B173,'Base stats'!B:B,'Base stats'!AF:AF)=1,"true","false")</f>
        <v>false</v>
      </c>
      <c r="BV173" s="25" t="str">
        <f>IF(E173="BaseInsect","AnimalInsect",
IF(J173&gt;0.95,"AnimalExotic",
_xlfn.TEXTJOIN(", ",TRUE,
IF(OR(_xlfn.XLOOKUP(B173,'Base stats'!B:B,'Base stats'!AJ:AJ)=1,AND(_xlfn.XLOOKUP(B173,'Base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stats'!AH:AH)=1,AND(BH173&lt;&gt;"None",BQ173&gt;=60),ISNUMBER(SEARCH("Attack target",BO173))),"AnimalFighter","")
)))</f>
        <v>AnimalUncommon, AnimalFighter</v>
      </c>
      <c r="BW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),_xlfn.XLOOKUP(B173,B:B,BW:BW))</f>
        <v>TropicalRainforest TropicalSwamp Glowforest</v>
      </c>
      <c r="BX173" s="25" t="str">
        <f>IF(_xlfn.XLOOKUP(B173,'Base stats'!B:B,'Base stats'!AG:AG)=1,"true","false")</f>
        <v>false</v>
      </c>
      <c r="BY173" s="25">
        <f>IF(_xlfn.XLOOKUP(B173,'Base stats'!B:B,'Base stats'!N:N)=1,"No",MAX(0.01,MIN(MROUND(IF(OR(_xlfn.XLOOKUP(B173,'Base stats'!B:B,'Base stats'!AJ:AJ)=1,AND(BI173="True",CB173="False")),POWER(10,3.47*LOG10(_xlfn.XLOOKUP(B173,'Base stats'!B:B,'Base stats'!C:C)*1000)^-0.96),POWER(10,4.15*LOG10(_xlfn.XLOOKUP(B173,'Base stats'!B:B,'Base stats'!C:C)*1000)^-0.73))*IF(OR(_xlfn.XLOOKUP(B173,'Base stats'!B:B,'Base stats'!AJ:AJ)=1,_xlfn.XLOOKUP(B173,'Base stats'!B:B,'Base stats'!AH:AH)=1),0.5,1)/100,0.025),1)))</f>
        <v>2.5000000000000001E-2</v>
      </c>
      <c r="BZ173" s="25" t="str">
        <f>IF(P173="Standard","No",MAX(0.01,IF(_xlfn.XLOOKUP(B173,'Base stats'!B:B,'Base stats'!N:N)=0,MROUND(BY173*P173,0.05),MIN(1,MAX(0.025,MROUND(IF(OR(CB173="true",AND(BI173="false",BN173="false")),POWER(10,4.15*LOG10(_xlfn.XLOOKUP(B173,'Base stats'!B:B,'Base stats'!C:C)*1000)^-0.73),POWER(10,3.47*LOG10(_xlfn.XLOOKUP(B173,'Base stats'!B:B,'Base stats'!C:C)*1000)^-0.96))*IF(_xlfn.XLOOKUP(B173,'Base stats'!B:B,'Base stats'!AH:AH)=1,0.5,1)/100,0.025))))))</f>
        <v>No</v>
      </c>
      <c r="CA173" s="25" t="str">
        <f>IF(_xlfn.XLOOKUP(_xlfn.XLOOKUP(B173,'Base stats'!B:B,'Base stats'!E:E),Groups!A:A,Groups!AJ:AJ)="Mammal","True","False")</f>
        <v>True</v>
      </c>
      <c r="CB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C173" s="25" t="str">
        <f t="shared" si="54"/>
        <v>False</v>
      </c>
      <c r="CD173" s="25" t="str">
        <f>IF(_xlfn.XLOOKUP(_xlfn.XLOOKUP(B173,'Base stats'!B:B,'Base stats'!E:E),Groups!A:A,Groups!AX:AX),"True","False")</f>
        <v>False</v>
      </c>
      <c r="CE173" s="25" t="str">
        <f>IF(_xlfn.XLOOKUP(_xlfn.XLOOKUP(B173,'Base stats'!B:B,'Base stats'!E:E),Groups!A:A,Groups!AY:AY),"True","False")</f>
        <v>False</v>
      </c>
      <c r="CF173" s="25" t="str">
        <f>IF(_xlfn.XLOOKUP(_xlfn.XLOOKUP(B173,'Base stats'!B:B,'Base stats'!E:E),Groups!A:A,Groups!AW:AW),"True","False")</f>
        <v>False</v>
      </c>
      <c r="CG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H173" s="25" t="str">
        <f>IF(_xlfn.XLOOKUP(_xlfn.XLOOKUP(B173,'Base stats'!B:B,'Base stats'!E:E),Groups!A:A,Groups!BB:BB),"True","False")</f>
        <v>True</v>
      </c>
      <c r="CI173" s="25" t="str">
        <f>IF(_xlfn.XLOOKUP(_xlfn.XLOOKUP(B173,'Base stats'!B:B,'Base stats'!E:E),Groups!A:A,Groups!BA:BA),"True","False")</f>
        <v>False</v>
      </c>
    </row>
    <row r="174" spans="1:87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stats'!AI:AI)=0,BH174="None",_xlfn.XLOOKUP(_xlfn.XLOOKUP(B174,'Base stats'!B:B,'Base stats'!E:E),Groups!A:A,Groups!B:B)=0), (18 + BQ174 * 2.7) * 0.5,
    IF(AND(_xlfn.XLOOKUP(B174,'Base stats'!B:B,'Base stats'!AI:AI)=0,OR(AO174&lt;0.55,AND(BH174="Intermediate",_xlfn.XLOOKUP(_xlfn.XLOOKUP(B174,'Base stats'!B:B,'Base stats'!E:E),Groups!A:A,Groups!B:B)&lt;2))), (18 + BQ174 * 2.7),
      IF(OR(BH174="Advanced",_xlfn.XLOOKUP(B174,'Base stats'!B:B,'Base stats'!AI:AI)=1,_xlfn.XLOOKUP(_xlfn.XLOOKUP(B174,'Base stats'!B:B,'Base stats'!E:E),Groups!A:A,Groups!B:B)=2), (18 + BQ174 * 2.7) + 250, (18 + BQ174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stats'!AI:AI)=1,0.99,MIN(MROUND((1-0.6282*EXP(-0.459*AO174))*_xlfn.XLOOKUP(_xlfn.XLOOKUP(B174,'Base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W174)),ISNUMBER(SEARCH("IceSheet",BW174))),-50,IF(OR(ISNUMBER(SEARCH("GlacialPlain",BW174)),ISNUMBER(SEARCH("Tundra",BW174))),-40,IF(OR(ISNUMBER(SEARCH("Alpine",BW174)),ISNUMBER(SEARCH("BorealForest",BW174)),ISNUMBER(SEARCH("ColdBog",BW174))),-30,IF(OR(ISNUMBER(SEARCH("TemperateForest",BW174)),ISNUMBER(SEARCH("TemperateSwamp",BW174))),-20,IF(_xlfn.XLOOKUP(_xlfn.XLOOKUP(B174,'Base stats'!B:B,'Base stats'!E:E),Groups!A:A,Groups!F:F)=1,-15,IF(OR(ISNUMBER(SEARCH("Desert",BW174)),ISNUMBER(SEARCH("ExtremeDesert",BW174))),-10,IF(OR(ISNUMBER(SEARCH("Grasslands",BW174)),ISNUMBER(SEARCH("TropicalRainforest",BW174)),ISNUMBER(SEARCH("TropicalSwamp",BW174))),10,0)))))))-IF(CB174="False",MIN(IFERROR(MAX(MROUND(LOG10(_xlfn.XLOOKUP(B174,'Base stats'!B:B,'Base stats'!C:C)^(2/3))*10,5),5),5),30))-_xlfn.XLOOKUP(B174,'Base stats'!B:B,'Base stats'!P:P)+IF(CB174="True",5,0)</f>
        <v>-35</v>
      </c>
      <c r="M174" s="2">
        <f>IF(OR(_xlfn.XLOOKUP(_xlfn.XLOOKUP(B174,'Base stats'!B:B,'Base stats'!E:E),Groups!A:A,Groups!G:G)=2,ISNUMBER(SEARCH("Desert",BW174)),ISNUMBER(SEARCH("ExtremeDesert",BW174)),ISNUMBER(SEARCH("LavaField",BW174))),50,IF(ISNUMBER(SEARCH("Grasslands",BW174)),45,IF(OR(_xlfn.XLOOKUP(_xlfn.XLOOKUP(B174,'Base stats'!B:B,'Base stats'!E:E),Groups!A:A,Groups!G:G)=1,ISNUMBER(SEARCH("TropicalRainforest",BW174)),ISNUMBER(SEARCH("TropicalSwamp",BW174))),40,IF(OR(ISNUMBER(SEARCH("TemperateForest",BW174)),ISNUMBER(SEARCH("TemperateSwamp",BW174))),35,IF(OR(ISNUMBER(SEARCH("Alpine",BW174)),ISNUMBER(SEARCH("BorealForest",BW174)),ISNUMBER(SEARCH("ColdBog",BW174))),30,IF(ISNUMBER(OR(ISNUMBER(SEARCH("GlacialPlain",BW174)),SEARCH("Tundra",BW174))),25,IF(OR(ISNUMBER(SEARCH("SeaIce",BW174)),ISNUMBER(SEARCH("IceSheet",BW174)),ISNUMBER(SEARCH("TropicalSwamp",BW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stats'!AO:AO))*(AO174^0.5)+(_xlfn.XLOOKUP(B174,'Base stats'!B:B,'Base stats'!AO:AO)/1000)^(2/3)+_xlfn.XLOOKUP(B174,'Base stats'!B:B,'Base stats'!AX:AX)/2)+0.5,0.5)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stats'!AP:AP))*(AO174^0.5)+(_xlfn.XLOOKUP(B174,'Base stats'!B:B,'Base stats'!AP:AP)/1000)^(2/3)+_xlfn.XLOOKUP(B174,'Base stats'!B:B,'Base stats'!AX:AX))+_xlfn.XLOOKUP(B174,'Base stats'!B:B,'Base stats'!AV:AV)+0.5,0.5))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stats'!AR:AR))*(AO174^0.5)+(_xlfn.XLOOKUP(B174,'Base stats'!B:B,'Base stats'!AR:AR)/1000)^(2/3)+_xlfn.XLOOKUP(B174,'Base stats'!B:B,'Base stats'!AW:AW))+0.5+IF(_xlfn.XLOOKUP(_xlfn.XLOOKUP(B174,'Base stats'!B:B,'Base stats'!E:E),Groups!A:A,Groups!U:U)&lt;&gt;3,_xlfn.XLOOKUP(B174,'Base stats'!B:B,'Base stats'!AX:AX),0),0.5))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stats'!AQ:AQ)="No","No",MROUND((LOG10(_xlfn.XLOOKUP(B174,'Base stats'!B:B,'Base stats'!AQ:AQ))*(AO174^0.75)+(_xlfn.XLOOKUP(B174,'Base stats'!B:B,'Base stats'!AQ:AQ)/1000)^(2/3)+_xlfn.XLOOKUP(B174,'Base stats'!B:B,'Base stats'!AU:AU)+_xlfn.XLOOKUP(B174,'Base stats'!B:B,'Base stats'!AX:AX))+0.5,0.5))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stats'!AP:AP))*(AO174^0.75)+(_xlfn.XLOOKUP(B174,'Base stats'!B:B,'Base stats'!AP:AP)/1000)^(2/3)+_xlfn.XLOOKUP(B174,'Base stats'!B:B,'Base stats'!AV:AV)+_xlfn.XLOOKUP(B174,'Base stats'!B:B,'Base stats'!AX:AX))+0.5,0.5))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8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MAX(0.01,MROUND(IF(CB174="True",0.196*(AO174*100*1000)^0.889,IF(_xlfn.XLOOKUP(_xlfn.XLOOKUP(B174,'Base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IF(OR(A174="Queen",A174="Larva",A174="Megachicken"),"No",IFERROR(MAX(IF(_xlfn.XLOOKUP(B174,'Base stats'!B:B,'Base stats'!G:G)&lt;0.5,0.2,0.3),MROUND(_xlfn.XLOOKUP(B174,'Base stats'!B:B,'Base stats'!G:G)/(365/60),0.2)),"Unknown"))</f>
        <v>0.8</v>
      </c>
      <c r="AU174" s="8">
        <f t="shared" si="49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50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stats'!AE:AE)</f>
        <v>Leather_Bird</v>
      </c>
      <c r="BB174" s="23" t="str">
        <f>_xlfn.XLOOKUP(_xlfn.XLOOKUP(B174,'Base stats'!B:B,'Base stats'!E:E),Groups!A:A,Groups!AL:AL)</f>
        <v>Bird</v>
      </c>
      <c r="BC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D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E174" s="2" t="str">
        <f>IF(J174&gt;0.3,"No",_xlfn.XLOOKUP(_xlfn.XLOOKUP(Animals!B174,'Base stats'!B:B,'Base stats'!E:E),Groups!A:A,Groups!AP:AP))</f>
        <v>No</v>
      </c>
      <c r="BF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+ 24*(1-IF(BE174="No",0,BE174)) + 16/3, 12),"No")</f>
        <v>No</v>
      </c>
      <c r="BG174" s="2">
        <f>IF(AND(_xlfn.XLOOKUP(_xlfn.XLOOKUP(B174,'Base stats'!B:B,'Base stats'!E:E),Groups!A:A,Groups!AQ:AQ)=1,AO174&lt;=0.35),8,12)</f>
        <v>12</v>
      </c>
      <c r="BH174" s="2" t="str">
        <f>IF(_xlfn.XLOOKUP(_xlfn.XLOOKUP(B174,'Base stats'!B:B,'Base stats'!E:E),Groups!A:A,Groups!D:D)=0,_xlfn.XLOOKUP(_xlfn.XLOOKUP(B174,'Base stats'!B:B,'Base stats'!E:E),Groups!A:A,Groups!AR:AR),"None")</f>
        <v>None</v>
      </c>
      <c r="BI174" s="2" t="str">
        <f>IF(AND(_xlfn.XLOOKUP(_xlfn.XLOOKUP(B174,'Base stats'!B:B,'Base stats'!E:E),Groups!A:A,Groups!AS:AS)=1,OR('Base stats'!Y174="Carnivore",'Base stats'!Y174="Omnivore")),"true","false")</f>
        <v>false</v>
      </c>
      <c r="BJ174" s="2" t="str">
        <f>IF(BI174="true",MROUND(IF(AND(AO174&gt;0.5,OR(_xlfn.XLOOKUP(_xlfn.XLOOKUP(B174,'Base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K174" s="2">
        <f t="shared" si="51"/>
        <v>0</v>
      </c>
      <c r="BL174" s="25" t="str">
        <f>IF(_xlfn.XLOOKUP(B174,'Base stats'!B:B,'Base stats'!AK:AK)="Standard","No",MROUND((_xlfn.XLOOKUP(B174,'Base stats'!B:B,'Base stats'!AK:AK)/3.6)/I174,0.1))</f>
        <v>No</v>
      </c>
      <c r="BM174" s="25" t="str">
        <f t="shared" si="52"/>
        <v>false</v>
      </c>
      <c r="BN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O174" s="25" t="str" cm="1">
        <f t="array" ref="BO174">IF(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 = "",
  "No",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
)</f>
        <v>No</v>
      </c>
      <c r="BP174" s="25" t="str">
        <f>IF(
   AND(
      'Base stats'!AK174="Standard",_xlfn.XLOOKUP(_xlfn.XLOOKUP(B174,'Base stats'!B:B,'Base stats'!E:E),Groups!A:A,Groups!AU:AU)=0,
      OR(
      BN174="True"
      )
   ),
   10,
   IF(
       OR(BL174&lt;&gt;"No",_xlfn.XLOOKUP(_xlfn.XLOOKUP(B174,'Base stats'!B:B,'Base stats'!E:E),Groups!A:A,Groups!AU:AU)=1),
      1,
      "No"
   )
)</f>
        <v>No</v>
      </c>
      <c r="BQ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stats'!AS:AS) * 1.8) * 2) * 2.5 + 10 + I174 * 2,5)+IF(_xlfn.XLOOKUP(B174,'Base stats'!B:B,'Base stats'!AH:AH)=1,50,0)</f>
        <v>110</v>
      </c>
      <c r="BR174" s="8">
        <f t="shared" si="53"/>
        <v>1.05</v>
      </c>
      <c r="BS174" s="8" t="str">
        <f>_xlfn.XLOOKUP(B174,'Base stats'!B:B,'Base stats'!AD:AD)</f>
        <v>2~6</v>
      </c>
      <c r="BT174" s="2" t="str">
        <f>IF(AND(J174&lt;=0.95,OR(_xlfn.XLOOKUP(B174,'Base stats'!B:B,'Base stats'!AH:AH)=1,_xlfn.XLOOKUP(B174,'Base stats'!B:B,'Base stats'!Y:Y)="Carnivore",_xlfn.XLOOKUP(B174,'Base stats'!B:B,'Base stats'!Y:Y)="Omnivore",BD174&gt;0.1)),"true","false")</f>
        <v>false</v>
      </c>
      <c r="BU174" s="2" t="str">
        <f>IF(_xlfn.XLOOKUP(B174,'Base stats'!B:B,'Base stats'!AF:AF)=1,"true","false")</f>
        <v>false</v>
      </c>
      <c r="BV174" s="25" t="str">
        <f>IF(E174="BaseInsect","AnimalInsect",
IF(J174&gt;0.95,"AnimalExotic",
_xlfn.TEXTJOIN(", ",TRUE,
IF(OR(_xlfn.XLOOKUP(B174,'Base stats'!B:B,'Base stats'!AJ:AJ)=1,AND(_xlfn.XLOOKUP(B174,'Base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stats'!AH:AH)=1,AND(BH174&lt;&gt;"None",BQ174&gt;=60),ISNUMBER(SEARCH("Attack target",BO174))),"AnimalFighter","")
)))</f>
        <v>AnimalUncommon</v>
      </c>
      <c r="BW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),_xlfn.XLOOKUP(B174,B:B,BW:BW))</f>
        <v>TemperateForest TemperateSwamp</v>
      </c>
      <c r="BX174" s="25" t="str">
        <f>IF(_xlfn.XLOOKUP(B174,'Base stats'!B:B,'Base stats'!AG:AG)=1,"true","false")</f>
        <v>false</v>
      </c>
      <c r="BY174" s="25">
        <f>IF(_xlfn.XLOOKUP(B174,'Base stats'!B:B,'Base stats'!N:N)=1,"No",MAX(0.01,MIN(MROUND(IF(OR(_xlfn.XLOOKUP(B174,'Base stats'!B:B,'Base stats'!AJ:AJ)=1,AND(BI174="True",CB174="False")),POWER(10,3.47*LOG10(_xlfn.XLOOKUP(B174,'Base stats'!B:B,'Base stats'!C:C)*1000)^-0.96),POWER(10,4.15*LOG10(_xlfn.XLOOKUP(B174,'Base stats'!B:B,'Base stats'!C:C)*1000)^-0.73))*IF(OR(_xlfn.XLOOKUP(B174,'Base stats'!B:B,'Base stats'!AJ:AJ)=1,_xlfn.XLOOKUP(B174,'Base stats'!B:B,'Base stats'!AH:AH)=1),0.5,1)/100,0.025),1)))</f>
        <v>2.5000000000000001E-2</v>
      </c>
      <c r="BZ174" s="25" t="str">
        <f>IF(P174="Standard","No",MAX(0.01,IF(_xlfn.XLOOKUP(B174,'Base stats'!B:B,'Base stats'!N:N)=0,MROUND(BY174*P174,0.05),MIN(1,MAX(0.025,MROUND(IF(OR(CB174="true",AND(BI174="false",BN174="false")),POWER(10,4.15*LOG10(_xlfn.XLOOKUP(B174,'Base stats'!B:B,'Base stats'!C:C)*1000)^-0.73),POWER(10,3.47*LOG10(_xlfn.XLOOKUP(B174,'Base stats'!B:B,'Base stats'!C:C)*1000)^-0.96))*IF(_xlfn.XLOOKUP(B174,'Base stats'!B:B,'Base stats'!AH:AH)=1,0.5,1)/100,0.025))))))</f>
        <v>No</v>
      </c>
      <c r="CA174" s="25" t="str">
        <f>IF(_xlfn.XLOOKUP(_xlfn.XLOOKUP(B174,'Base stats'!B:B,'Base stats'!E:E),Groups!A:A,Groups!AJ:AJ)="Mammal","True","False")</f>
        <v>False</v>
      </c>
      <c r="CB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C174" s="25" t="str">
        <f t="shared" si="54"/>
        <v>False</v>
      </c>
      <c r="CD174" s="25" t="str">
        <f>IF(_xlfn.XLOOKUP(_xlfn.XLOOKUP(B174,'Base stats'!B:B,'Base stats'!E:E),Groups!A:A,Groups!AX:AX),"True","False")</f>
        <v>False</v>
      </c>
      <c r="CE174" s="25" t="str">
        <f>IF(_xlfn.XLOOKUP(_xlfn.XLOOKUP(B174,'Base stats'!B:B,'Base stats'!E:E),Groups!A:A,Groups!AY:AY),"True","False")</f>
        <v>False</v>
      </c>
      <c r="CF174" s="25" t="str">
        <f>IF(_xlfn.XLOOKUP(_xlfn.XLOOKUP(B174,'Base stats'!B:B,'Base stats'!E:E),Groups!A:A,Groups!AW:AW),"True","False")</f>
        <v>False</v>
      </c>
      <c r="CG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H174" s="25" t="str">
        <f>IF(_xlfn.XLOOKUP(_xlfn.XLOOKUP(B174,'Base stats'!B:B,'Base stats'!E:E),Groups!A:A,Groups!BB:BB),"True","False")</f>
        <v>True</v>
      </c>
      <c r="CI174" s="25" t="str">
        <f>IF(_xlfn.XLOOKUP(_xlfn.XLOOKUP(B174,'Base stats'!B:B,'Base stats'!E:E),Groups!A:A,Groups!BA:BA),"True","False")</f>
        <v>False</v>
      </c>
    </row>
    <row r="175" spans="1:87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stats'!AI:AI)=0,BH175="None",_xlfn.XLOOKUP(_xlfn.XLOOKUP(B175,'Base stats'!B:B,'Base stats'!E:E),Groups!A:A,Groups!B:B)=0), (18 + BQ175 * 2.7) * 0.5,
    IF(AND(_xlfn.XLOOKUP(B175,'Base stats'!B:B,'Base stats'!AI:AI)=0,OR(AO175&lt;0.55,AND(BH175="Intermediate",_xlfn.XLOOKUP(_xlfn.XLOOKUP(B175,'Base stats'!B:B,'Base stats'!E:E),Groups!A:A,Groups!B:B)&lt;2))), (18 + BQ175 * 2.7),
      IF(OR(BH175="Advanced",_xlfn.XLOOKUP(B175,'Base stats'!B:B,'Base stats'!AI:AI)=1,_xlfn.XLOOKUP(_xlfn.XLOOKUP(B175,'Base stats'!B:B,'Base stats'!E:E),Groups!A:A,Groups!B:B)=2), (18 + BQ175 * 2.7) + 250, (18 + BQ175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stats'!AI:AI)=1,0.99,MIN(MROUND((1-0.6282*EXP(-0.459*AO175))*_xlfn.XLOOKUP(_xlfn.XLOOKUP(B175,'Base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W175)),ISNUMBER(SEARCH("IceSheet",BW175))),-50,IF(OR(ISNUMBER(SEARCH("GlacialPlain",BW175)),ISNUMBER(SEARCH("Tundra",BW175))),-40,IF(OR(ISNUMBER(SEARCH("Alpine",BW175)),ISNUMBER(SEARCH("BorealForest",BW175)),ISNUMBER(SEARCH("ColdBog",BW175))),-30,IF(OR(ISNUMBER(SEARCH("TemperateForest",BW175)),ISNUMBER(SEARCH("TemperateSwamp",BW175))),-20,IF(_xlfn.XLOOKUP(_xlfn.XLOOKUP(B175,'Base stats'!B:B,'Base stats'!E:E),Groups!A:A,Groups!F:F)=1,-15,IF(OR(ISNUMBER(SEARCH("Desert",BW175)),ISNUMBER(SEARCH("ExtremeDesert",BW175))),-10,IF(OR(ISNUMBER(SEARCH("Grasslands",BW175)),ISNUMBER(SEARCH("TropicalRainforest",BW175)),ISNUMBER(SEARCH("TropicalSwamp",BW175))),10,0)))))))-IF(CB175="False",MIN(IFERROR(MAX(MROUND(LOG10(_xlfn.XLOOKUP(B175,'Base stats'!B:B,'Base stats'!C:C)^(2/3))*10,5),5),5),30))-_xlfn.XLOOKUP(B175,'Base stats'!B:B,'Base stats'!P:P)+IF(CB175="True",5,0)</f>
        <v>-30</v>
      </c>
      <c r="M175" s="2">
        <f>IF(OR(_xlfn.XLOOKUP(_xlfn.XLOOKUP(B175,'Base stats'!B:B,'Base stats'!E:E),Groups!A:A,Groups!G:G)=2,ISNUMBER(SEARCH("Desert",BW175)),ISNUMBER(SEARCH("ExtremeDesert",BW175)),ISNUMBER(SEARCH("LavaField",BW175))),50,IF(ISNUMBER(SEARCH("Grasslands",BW175)),45,IF(OR(_xlfn.XLOOKUP(_xlfn.XLOOKUP(B175,'Base stats'!B:B,'Base stats'!E:E),Groups!A:A,Groups!G:G)=1,ISNUMBER(SEARCH("TropicalRainforest",BW175)),ISNUMBER(SEARCH("TropicalSwamp",BW175))),40,IF(OR(ISNUMBER(SEARCH("TemperateForest",BW175)),ISNUMBER(SEARCH("TemperateSwamp",BW175))),35,IF(OR(ISNUMBER(SEARCH("Alpine",BW175)),ISNUMBER(SEARCH("BorealForest",BW175)),ISNUMBER(SEARCH("ColdBog",BW175))),30,IF(ISNUMBER(OR(ISNUMBER(SEARCH("GlacialPlain",BW175)),SEARCH("Tundra",BW175))),25,IF(OR(ISNUMBER(SEARCH("SeaIce",BW175)),ISNUMBER(SEARCH("IceSheet",BW175)),ISNUMBER(SEARCH("TropicalSwamp",BW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stats'!AO:AO))*(AO175^0.5)+(_xlfn.XLOOKUP(B175,'Base stats'!B:B,'Base stats'!AO:AO)/1000)^(2/3)+_xlfn.XLOOKUP(B175,'Base stats'!B:B,'Base stats'!AX:AX)/2)+0.5,0.5)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stats'!AP:AP))*(AO175^0.5)+(_xlfn.XLOOKUP(B175,'Base stats'!B:B,'Base stats'!AP:AP)/1000)^(2/3)+_xlfn.XLOOKUP(B175,'Base stats'!B:B,'Base stats'!AX:AX))+_xlfn.XLOOKUP(B175,'Base stats'!B:B,'Base stats'!AV:AV)+0.5,0.5))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stats'!AR:AR))*(AO175^0.5)+(_xlfn.XLOOKUP(B175,'Base stats'!B:B,'Base stats'!AR:AR)/1000)^(2/3)+_xlfn.XLOOKUP(B175,'Base stats'!B:B,'Base stats'!AW:AW))+0.5+IF(_xlfn.XLOOKUP(_xlfn.XLOOKUP(B175,'Base stats'!B:B,'Base stats'!E:E),Groups!A:A,Groups!U:U)&lt;&gt;3,_xlfn.XLOOKUP(B175,'Base stats'!B:B,'Base stats'!AX:AX),0),0.5))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stats'!AQ:AQ)="No","No",MROUND((LOG10(_xlfn.XLOOKUP(B175,'Base stats'!B:B,'Base stats'!AQ:AQ))*(AO175^0.75)+(_xlfn.XLOOKUP(B175,'Base stats'!B:B,'Base stats'!AQ:AQ)/1000)^(2/3)+_xlfn.XLOOKUP(B175,'Base stats'!B:B,'Base stats'!AU:AU)+_xlfn.XLOOKUP(B175,'Base stats'!B:B,'Base stats'!AX:AX))+0.5,0.5))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stats'!AP:AP))*(AO175^0.75)+(_xlfn.XLOOKUP(B175,'Base stats'!B:B,'Base stats'!AP:AP)/1000)^(2/3)+_xlfn.XLOOKUP(B175,'Base stats'!B:B,'Base stats'!AV:AV)+_xlfn.XLOOKUP(B175,'Base stats'!B:B,'Base stats'!AX:AX))+0.5,0.5))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8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MAX(0.01,MROUND(IF(CB175="True",0.196*(AO175*100*1000)^0.889,IF(_xlfn.XLOOKUP(_xlfn.XLOOKUP(B175,'Base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IF(OR(A175="Queen",A175="Larva",A175="Megachicken"),"No",IFERROR(MAX(IF(_xlfn.XLOOKUP(B175,'Base stats'!B:B,'Base stats'!G:G)&lt;0.5,0.2,0.3),MROUND(_xlfn.XLOOKUP(B175,'Base stats'!B:B,'Base stats'!G:G)/(365/60),0.2)),"Unknown"))</f>
        <v>0.4</v>
      </c>
      <c r="AU175" s="8">
        <f t="shared" si="49"/>
        <v>0.2</v>
      </c>
      <c r="AV175" s="8">
        <f>IFERROR(IFERROR(MROUND(_xlfn.XLOOKUP(B175,'Base stats'!B:B,'Base stats'!J:J),0.1),"Lay eggs"),"Cannot breed")</f>
        <v>0</v>
      </c>
      <c r="AW175" s="2" t="str">
        <f t="shared" si="50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stats'!AE:AE)</f>
        <v>Leather_Plain</v>
      </c>
      <c r="BB175" s="23" t="str">
        <f>_xlfn.XLOOKUP(_xlfn.XLOOKUP(B175,'Base stats'!B:B,'Base stats'!E:E),Groups!A:A,Groups!AL:AL)</f>
        <v>QuadrupedAnimalWithHooves</v>
      </c>
      <c r="BC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D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E175" s="2" t="str">
        <f>IF(J175&gt;0.3,"No",_xlfn.XLOOKUP(_xlfn.XLOOKUP(Animals!B175,'Base stats'!B:B,'Base stats'!E:E),Groups!A:A,Groups!AP:AP))</f>
        <v>No</v>
      </c>
      <c r="BF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+ 24*(1-IF(BE175="No",0,BE175)) + 16/3, 12),"No")</f>
        <v>No</v>
      </c>
      <c r="BG175" s="2">
        <f>IF(AND(_xlfn.XLOOKUP(_xlfn.XLOOKUP(B175,'Base stats'!B:B,'Base stats'!E:E),Groups!A:A,Groups!AQ:AQ)=1,AO175&lt;=0.35),8,12)</f>
        <v>12</v>
      </c>
      <c r="BH175" s="2" t="str">
        <f>IF(_xlfn.XLOOKUP(_xlfn.XLOOKUP(B175,'Base stats'!B:B,'Base stats'!E:E),Groups!A:A,Groups!D:D)=0,_xlfn.XLOOKUP(_xlfn.XLOOKUP(B175,'Base stats'!B:B,'Base stats'!E:E),Groups!A:A,Groups!AR:AR),"None")</f>
        <v>None</v>
      </c>
      <c r="BI175" s="2" t="str">
        <f>IF(AND(_xlfn.XLOOKUP(_xlfn.XLOOKUP(B175,'Base stats'!B:B,'Base stats'!E:E),Groups!A:A,Groups!AS:AS)=1,OR('Base stats'!Y175="Carnivore",'Base stats'!Y175="Omnivore")),"true","false")</f>
        <v>false</v>
      </c>
      <c r="BJ175" s="2" t="str">
        <f>IF(BI175="true",MROUND(IF(AND(AO175&gt;0.5,OR(_xlfn.XLOOKUP(_xlfn.XLOOKUP(B175,'Base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K175" s="2">
        <f t="shared" si="51"/>
        <v>0</v>
      </c>
      <c r="BL175" s="25" t="str">
        <f>IF(_xlfn.XLOOKUP(B175,'Base stats'!B:B,'Base stats'!AK:AK)="Standard","No",MROUND((_xlfn.XLOOKUP(B175,'Base stats'!B:B,'Base stats'!AK:AK)/3.6)/I175,0.1))</f>
        <v>No</v>
      </c>
      <c r="BM175" s="25" t="str">
        <f t="shared" si="52"/>
        <v>false</v>
      </c>
      <c r="BN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O175" s="25" t="str" cm="1">
        <f t="array" ref="BO175">IF(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 = "",
  "No",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
)</f>
        <v>No</v>
      </c>
      <c r="BP175" s="25" t="str">
        <f>IF(
   AND(
      'Base stats'!AK175="Standard",_xlfn.XLOOKUP(_xlfn.XLOOKUP(B175,'Base stats'!B:B,'Base stats'!E:E),Groups!A:A,Groups!AU:AU)=0,
      OR(
      BN175="True"
      )
   ),
   10,
   IF(
       OR(BL175&lt;&gt;"No",_xlfn.XLOOKUP(_xlfn.XLOOKUP(B175,'Base stats'!B:B,'Base stats'!E:E),Groups!A:A,Groups!AU:AU)=1),
      1,
      "No"
   )
)</f>
        <v>No</v>
      </c>
      <c r="BQ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stats'!AS:AS) * 1.8) * 2) * 2.5 + 10 + I175 * 2,5)+IF(_xlfn.XLOOKUP(B175,'Base stats'!B:B,'Base stats'!AH:AH)=1,50,0)</f>
        <v>155</v>
      </c>
      <c r="BR175" s="8">
        <f t="shared" si="53"/>
        <v>1.2000000000000002</v>
      </c>
      <c r="BS175" s="8" t="str">
        <f>_xlfn.XLOOKUP(B175,'Base stats'!B:B,'Base stats'!AD:AD)</f>
        <v>5~15</v>
      </c>
      <c r="BT175" s="2" t="str">
        <f>IF(AND(J175&lt;=0.95,OR(_xlfn.XLOOKUP(B175,'Base stats'!B:B,'Base stats'!AH:AH)=1,_xlfn.XLOOKUP(B175,'Base stats'!B:B,'Base stats'!Y:Y)="Carnivore",_xlfn.XLOOKUP(B175,'Base stats'!B:B,'Base stats'!Y:Y)="Omnivore",BD175&gt;0.1)),"true","false")</f>
        <v>false</v>
      </c>
      <c r="BU175" s="2" t="str">
        <f>IF(_xlfn.XLOOKUP(B175,'Base stats'!B:B,'Base stats'!AF:AF)=1,"true","false")</f>
        <v>false</v>
      </c>
      <c r="BV175" s="25" t="str">
        <f>IF(E175="BaseInsect","AnimalInsect",
IF(J175&gt;0.95,"AnimalExotic",
_xlfn.TEXTJOIN(", ",TRUE,
IF(OR(_xlfn.XLOOKUP(B175,'Base stats'!B:B,'Base stats'!AJ:AJ)=1,AND(_xlfn.XLOOKUP(B175,'Base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stats'!AH:AH)=1,AND(BH175&lt;&gt;"None",BQ175&gt;=60),ISNUMBER(SEARCH("Attack target",BO175))),"AnimalFighter","")
)))</f>
        <v>AnimalUncommon</v>
      </c>
      <c r="BW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),_xlfn.XLOOKUP(B175,B:B,BW:BW))</f>
        <v>AridShrubland Grasslands LavaField</v>
      </c>
      <c r="BX175" s="25" t="str">
        <f>IF(_xlfn.XLOOKUP(B175,'Base stats'!B:B,'Base stats'!AG:AG)=1,"true","false")</f>
        <v>false</v>
      </c>
      <c r="BY175" s="25">
        <f>IF(_xlfn.XLOOKUP(B175,'Base stats'!B:B,'Base stats'!N:N)=1,"No",MAX(0.01,MIN(MROUND(IF(OR(_xlfn.XLOOKUP(B175,'Base stats'!B:B,'Base stats'!AJ:AJ)=1,AND(BI175="True",CB175="False")),POWER(10,3.47*LOG10(_xlfn.XLOOKUP(B175,'Base stats'!B:B,'Base stats'!C:C)*1000)^-0.96),POWER(10,4.15*LOG10(_xlfn.XLOOKUP(B175,'Base stats'!B:B,'Base stats'!C:C)*1000)^-0.73))*IF(OR(_xlfn.XLOOKUP(B175,'Base stats'!B:B,'Base stats'!AJ:AJ)=1,_xlfn.XLOOKUP(B175,'Base stats'!B:B,'Base stats'!AH:AH)=1),0.5,1)/100,0.025),1)))</f>
        <v>2.5000000000000001E-2</v>
      </c>
      <c r="BZ175" s="25" t="str">
        <f>IF(P175="Standard","No",MAX(0.01,IF(_xlfn.XLOOKUP(B175,'Base stats'!B:B,'Base stats'!N:N)=0,MROUND(BY175*P175,0.05),MIN(1,MAX(0.025,MROUND(IF(OR(CB175="true",AND(BI175="false",BN175="false")),POWER(10,4.15*LOG10(_xlfn.XLOOKUP(B175,'Base stats'!B:B,'Base stats'!C:C)*1000)^-0.73),POWER(10,3.47*LOG10(_xlfn.XLOOKUP(B175,'Base stats'!B:B,'Base stats'!C:C)*1000)^-0.96))*IF(_xlfn.XLOOKUP(B175,'Base stats'!B:B,'Base stats'!AH:AH)=1,0.5,1)/100,0.025))))))</f>
        <v>No</v>
      </c>
      <c r="CA175" s="25" t="str">
        <f>IF(_xlfn.XLOOKUP(_xlfn.XLOOKUP(B175,'Base stats'!B:B,'Base stats'!E:E),Groups!A:A,Groups!AJ:AJ)="Mammal","True","False")</f>
        <v>True</v>
      </c>
      <c r="CB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C175" s="25" t="str">
        <f t="shared" si="54"/>
        <v>False</v>
      </c>
      <c r="CD175" s="25" t="str">
        <f>IF(_xlfn.XLOOKUP(_xlfn.XLOOKUP(B175,'Base stats'!B:B,'Base stats'!E:E),Groups!A:A,Groups!AX:AX),"True","False")</f>
        <v>False</v>
      </c>
      <c r="CE175" s="25" t="str">
        <f>IF(_xlfn.XLOOKUP(_xlfn.XLOOKUP(B175,'Base stats'!B:B,'Base stats'!E:E),Groups!A:A,Groups!AY:AY),"True","False")</f>
        <v>False</v>
      </c>
      <c r="CF175" s="25" t="str">
        <f>IF(_xlfn.XLOOKUP(_xlfn.XLOOKUP(B175,'Base stats'!B:B,'Base stats'!E:E),Groups!A:A,Groups!AW:AW),"True","False")</f>
        <v>False</v>
      </c>
      <c r="CG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H175" s="25" t="str">
        <f>IF(_xlfn.XLOOKUP(_xlfn.XLOOKUP(B175,'Base stats'!B:B,'Base stats'!E:E),Groups!A:A,Groups!BB:BB),"True","False")</f>
        <v>True</v>
      </c>
      <c r="CI175" s="25" t="str">
        <f>IF(_xlfn.XLOOKUP(_xlfn.XLOOKUP(B175,'Base stats'!B:B,'Base stats'!E:E),Groups!A:A,Groups!BA:BA),"True","False")</f>
        <v>False</v>
      </c>
    </row>
    <row r="176" spans="1:87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stats'!AI:AI)=0,BH176="None",_xlfn.XLOOKUP(_xlfn.XLOOKUP(B176,'Base stats'!B:B,'Base stats'!E:E),Groups!A:A,Groups!B:B)=0), (18 + BQ176 * 2.7) * 0.5,
    IF(AND(_xlfn.XLOOKUP(B176,'Base stats'!B:B,'Base stats'!AI:AI)=0,OR(AO176&lt;0.55,AND(BH176="Intermediate",_xlfn.XLOOKUP(_xlfn.XLOOKUP(B176,'Base stats'!B:B,'Base stats'!E:E),Groups!A:A,Groups!B:B)&lt;2))), (18 + BQ176 * 2.7),
      IF(OR(BH176="Advanced",_xlfn.XLOOKUP(B176,'Base stats'!B:B,'Base stats'!AI:AI)=1,_xlfn.XLOOKUP(_xlfn.XLOOKUP(B176,'Base stats'!B:B,'Base stats'!E:E),Groups!A:A,Groups!B:B)=2), (18 + BQ176 * 2.7) + 250, (18 + BQ176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stats'!AI:AI)=1,0.99,MIN(MROUND((1-0.6282*EXP(-0.459*AO176))*_xlfn.XLOOKUP(_xlfn.XLOOKUP(B176,'Base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W176)),ISNUMBER(SEARCH("IceSheet",BW176))),-50,IF(OR(ISNUMBER(SEARCH("GlacialPlain",BW176)),ISNUMBER(SEARCH("Tundra",BW176))),-40,IF(OR(ISNUMBER(SEARCH("Alpine",BW176)),ISNUMBER(SEARCH("BorealForest",BW176)),ISNUMBER(SEARCH("ColdBog",BW176))),-30,IF(OR(ISNUMBER(SEARCH("TemperateForest",BW176)),ISNUMBER(SEARCH("TemperateSwamp",BW176))),-20,IF(_xlfn.XLOOKUP(_xlfn.XLOOKUP(B176,'Base stats'!B:B,'Base stats'!E:E),Groups!A:A,Groups!F:F)=1,-15,IF(OR(ISNUMBER(SEARCH("Desert",BW176)),ISNUMBER(SEARCH("ExtremeDesert",BW176))),-10,IF(OR(ISNUMBER(SEARCH("Grasslands",BW176)),ISNUMBER(SEARCH("TropicalRainforest",BW176)),ISNUMBER(SEARCH("TropicalSwamp",BW176))),10,0)))))))-IF(CB176="False",MIN(IFERROR(MAX(MROUND(LOG10(_xlfn.XLOOKUP(B176,'Base stats'!B:B,'Base stats'!C:C)^(2/3))*10,5),5),5),30))-_xlfn.XLOOKUP(B176,'Base stats'!B:B,'Base stats'!P:P)+IF(CB176="True",5,0)</f>
        <v>-55</v>
      </c>
      <c r="M176" s="2">
        <f>IF(OR(_xlfn.XLOOKUP(_xlfn.XLOOKUP(B176,'Base stats'!B:B,'Base stats'!E:E),Groups!A:A,Groups!G:G)=2,ISNUMBER(SEARCH("Desert",BW176)),ISNUMBER(SEARCH("ExtremeDesert",BW176)),ISNUMBER(SEARCH("LavaField",BW176))),50,IF(ISNUMBER(SEARCH("Grasslands",BW176)),45,IF(OR(_xlfn.XLOOKUP(_xlfn.XLOOKUP(B176,'Base stats'!B:B,'Base stats'!E:E),Groups!A:A,Groups!G:G)=1,ISNUMBER(SEARCH("TropicalRainforest",BW176)),ISNUMBER(SEARCH("TropicalSwamp",BW176))),40,IF(OR(ISNUMBER(SEARCH("TemperateForest",BW176)),ISNUMBER(SEARCH("TemperateSwamp",BW176))),35,IF(OR(ISNUMBER(SEARCH("Alpine",BW176)),ISNUMBER(SEARCH("BorealForest",BW176)),ISNUMBER(SEARCH("ColdBog",BW176))),30,IF(ISNUMBER(OR(ISNUMBER(SEARCH("GlacialPlain",BW176)),SEARCH("Tundra",BW176))),25,IF(OR(ISNUMBER(SEARCH("SeaIce",BW176)),ISNUMBER(SEARCH("IceSheet",BW176)),ISNUMBER(SEARCH("TropicalSwamp",BW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stats'!AO:AO))*(AO176^0.5)+(_xlfn.XLOOKUP(B176,'Base stats'!B:B,'Base stats'!AO:AO)/1000)^(2/3)+_xlfn.XLOOKUP(B176,'Base stats'!B:B,'Base stats'!AX:AX)/2)+0.5,0.5)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stats'!AP:AP))*(AO176^0.5)+(_xlfn.XLOOKUP(B176,'Base stats'!B:B,'Base stats'!AP:AP)/1000)^(2/3)+_xlfn.XLOOKUP(B176,'Base stats'!B:B,'Base stats'!AX:AX))+_xlfn.XLOOKUP(B176,'Base stats'!B:B,'Base stats'!AV:AV)+0.5,0.5))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stats'!AR:AR))*(AO176^0.5)+(_xlfn.XLOOKUP(B176,'Base stats'!B:B,'Base stats'!AR:AR)/1000)^(2/3)+_xlfn.XLOOKUP(B176,'Base stats'!B:B,'Base stats'!AW:AW))+0.5+IF(_xlfn.XLOOKUP(_xlfn.XLOOKUP(B176,'Base stats'!B:B,'Base stats'!E:E),Groups!A:A,Groups!U:U)&lt;&gt;3,_xlfn.XLOOKUP(B176,'Base stats'!B:B,'Base stats'!AX:AX),0),0.5))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stats'!AQ:AQ)="No","No",MROUND((LOG10(_xlfn.XLOOKUP(B176,'Base stats'!B:B,'Base stats'!AQ:AQ))*(AO176^0.75)+(_xlfn.XLOOKUP(B176,'Base stats'!B:B,'Base stats'!AQ:AQ)/1000)^(2/3)+_xlfn.XLOOKUP(B176,'Base stats'!B:B,'Base stats'!AU:AU)+_xlfn.XLOOKUP(B176,'Base stats'!B:B,'Base stats'!AX:AX))+0.5,0.5))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stats'!AP:AP))*(AO176^0.75)+(_xlfn.XLOOKUP(B176,'Base stats'!B:B,'Base stats'!AP:AP)/1000)^(2/3)+_xlfn.XLOOKUP(B176,'Base stats'!B:B,'Base stats'!AV:AV)+_xlfn.XLOOKUP(B176,'Base stats'!B:B,'Base stats'!AX:AX))+0.5,0.5))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8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MAX(0.01,MROUND(IF(CB176="True",0.196*(AO176*100*1000)^0.889,IF(_xlfn.XLOOKUP(_xlfn.XLOOKUP(B176,'Base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IF(OR(A176="Queen",A176="Larva",A176="Megachicken"),"No",IFERROR(MAX(IF(_xlfn.XLOOKUP(B176,'Base stats'!B:B,'Base stats'!G:G)&lt;0.5,0.2,0.3),MROUND(_xlfn.XLOOKUP(B176,'Base stats'!B:B,'Base stats'!G:G)/(365/60),0.2)),"Unknown"))</f>
        <v>0.8</v>
      </c>
      <c r="AU176" s="8">
        <f t="shared" si="49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50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stats'!AE:AE)</f>
        <v>No</v>
      </c>
      <c r="BB176" s="23" t="str">
        <f>_xlfn.XLOOKUP(_xlfn.XLOOKUP(B176,'Base stats'!B:B,'Base stats'!E:E),Groups!A:A,Groups!AL:AL)</f>
        <v>Bird</v>
      </c>
      <c r="BC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D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E176" s="2" t="str">
        <f>IF(J176&gt;0.3,"No",_xlfn.XLOOKUP(_xlfn.XLOOKUP(Animals!B176,'Base stats'!B:B,'Base stats'!E:E),Groups!A:A,Groups!AP:AP))</f>
        <v>No</v>
      </c>
      <c r="BF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+ 24*(1-IF(BE176="No",0,BE176)) + 16/3, 12),"No")</f>
        <v>No</v>
      </c>
      <c r="BG176" s="2">
        <f>IF(AND(_xlfn.XLOOKUP(_xlfn.XLOOKUP(B176,'Base stats'!B:B,'Base stats'!E:E),Groups!A:A,Groups!AQ:AQ)=1,AO176&lt;=0.35),8,12)</f>
        <v>8</v>
      </c>
      <c r="BH176" s="2" t="str">
        <f>IF(_xlfn.XLOOKUP(_xlfn.XLOOKUP(B176,'Base stats'!B:B,'Base stats'!E:E),Groups!A:A,Groups!D:D)=0,_xlfn.XLOOKUP(_xlfn.XLOOKUP(B176,'Base stats'!B:B,'Base stats'!E:E),Groups!A:A,Groups!AR:AR),"None")</f>
        <v>None</v>
      </c>
      <c r="BI176" s="2" t="str">
        <f>IF(AND(_xlfn.XLOOKUP(_xlfn.XLOOKUP(B176,'Base stats'!B:B,'Base stats'!E:E),Groups!A:A,Groups!AS:AS)=1,OR('Base stats'!Y176="Carnivore",'Base stats'!Y176="Omnivore")),"true","false")</f>
        <v>false</v>
      </c>
      <c r="BJ176" s="2" t="str">
        <f>IF(BI176="true",MROUND(IF(AND(AO176&gt;0.5,OR(_xlfn.XLOOKUP(_xlfn.XLOOKUP(B176,'Base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K176" s="2">
        <f t="shared" si="51"/>
        <v>0</v>
      </c>
      <c r="BL176" s="25">
        <f>IF(_xlfn.XLOOKUP(B176,'Base stats'!B:B,'Base stats'!AK:AK)="Standard","No",MROUND((_xlfn.XLOOKUP(B176,'Base stats'!B:B,'Base stats'!AK:AK)/3.6)/I176,0.1))</f>
        <v>2</v>
      </c>
      <c r="BM176" s="25" t="str">
        <f t="shared" si="52"/>
        <v>true</v>
      </c>
      <c r="BN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O176" s="25" t="str" cm="1">
        <f t="array" ref="BO176">IF(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 = "",
  "No",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
)</f>
        <v>No</v>
      </c>
      <c r="BP176" s="25">
        <f>IF(
   AND(
      'Base stats'!AK176="Standard",_xlfn.XLOOKUP(_xlfn.XLOOKUP(B176,'Base stats'!B:B,'Base stats'!E:E),Groups!A:A,Groups!AU:AU)=0,
      OR(
      BN176="True"
      )
   ),
   10,
   IF(
       OR(BL176&lt;&gt;"No",_xlfn.XLOOKUP(_xlfn.XLOOKUP(B176,'Base stats'!B:B,'Base stats'!E:E),Groups!A:A,Groups!AU:AU)=1),
      1,
      "No"
   )
)</f>
        <v>1</v>
      </c>
      <c r="BQ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stats'!AS:AS) * 1.8) * 2) * 2.5 + 10 + I176 * 2,5)+IF(_xlfn.XLOOKUP(B176,'Base stats'!B:B,'Base stats'!AH:AH)=1,50,0)</f>
        <v>30</v>
      </c>
      <c r="BR176" s="8">
        <f t="shared" si="53"/>
        <v>0.35000000000000003</v>
      </c>
      <c r="BS176" s="8" t="str">
        <f>_xlfn.XLOOKUP(B176,'Base stats'!B:B,'Base stats'!AD:AD)</f>
        <v>5~15</v>
      </c>
      <c r="BT176" s="2" t="str">
        <f>IF(AND(J176&lt;=0.95,OR(_xlfn.XLOOKUP(B176,'Base stats'!B:B,'Base stats'!AH:AH)=1,_xlfn.XLOOKUP(B176,'Base stats'!B:B,'Base stats'!Y:Y)="Carnivore",_xlfn.XLOOKUP(B176,'Base stats'!B:B,'Base stats'!Y:Y)="Omnivore",BD176&gt;0.1)),"true","false")</f>
        <v>true</v>
      </c>
      <c r="BU176" s="2" t="str">
        <f>IF(_xlfn.XLOOKUP(B176,'Base stats'!B:B,'Base stats'!AF:AF)=1,"true","false")</f>
        <v>false</v>
      </c>
      <c r="BV176" s="25" t="str">
        <f>IF(E176="BaseInsect","AnimalInsect",
IF(J176&gt;0.95,"AnimalExotic",
_xlfn.TEXTJOIN(", ",TRUE,
IF(OR(_xlfn.XLOOKUP(B176,'Base stats'!B:B,'Base stats'!AJ:AJ)=1,AND(_xlfn.XLOOKUP(B176,'Base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stats'!AH:AH)=1,AND(BH176&lt;&gt;"None",BQ176&gt;=60),ISNUMBER(SEARCH("Attack target",BO176))),"AnimalFighter","")
)))</f>
        <v>AnimalUncommon</v>
      </c>
      <c r="BW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),_xlfn.XLOOKUP(B176,B:B,BW:BW))</f>
        <v>SeaIce IceSheet Tundra</v>
      </c>
      <c r="BX176" s="25" t="str">
        <f>IF(_xlfn.XLOOKUP(B176,'Base stats'!B:B,'Base stats'!AG:AG)=1,"true","false")</f>
        <v>true</v>
      </c>
      <c r="BY176" s="25">
        <f>IF(_xlfn.XLOOKUP(B176,'Base stats'!B:B,'Base stats'!N:N)=1,"No",MAX(0.01,MIN(MROUND(IF(OR(_xlfn.XLOOKUP(B176,'Base stats'!B:B,'Base stats'!AJ:AJ)=1,AND(BI176="True",CB176="False")),POWER(10,3.47*LOG10(_xlfn.XLOOKUP(B176,'Base stats'!B:B,'Base stats'!C:C)*1000)^-0.96),POWER(10,4.15*LOG10(_xlfn.XLOOKUP(B176,'Base stats'!B:B,'Base stats'!C:C)*1000)^-0.73))*IF(OR(_xlfn.XLOOKUP(B176,'Base stats'!B:B,'Base stats'!AJ:AJ)=1,_xlfn.XLOOKUP(B176,'Base stats'!B:B,'Base stats'!AH:AH)=1),0.5,1)/100,0.025),1)))</f>
        <v>0.05</v>
      </c>
      <c r="BZ176" s="25" t="str">
        <f>IF(P176="Standard","No",MAX(0.01,IF(_xlfn.XLOOKUP(B176,'Base stats'!B:B,'Base stats'!N:N)=0,MROUND(BY176*P176,0.05),MIN(1,MAX(0.025,MROUND(IF(OR(CB176="true",AND(BI176="false",BN176="false")),POWER(10,4.15*LOG10(_xlfn.XLOOKUP(B176,'Base stats'!B:B,'Base stats'!C:C)*1000)^-0.73),POWER(10,3.47*LOG10(_xlfn.XLOOKUP(B176,'Base stats'!B:B,'Base stats'!C:C)*1000)^-0.96))*IF(_xlfn.XLOOKUP(B176,'Base stats'!B:B,'Base stats'!AH:AH)=1,0.5,1)/100,0.025))))))</f>
        <v>No</v>
      </c>
      <c r="CA176" s="25" t="str">
        <f>IF(_xlfn.XLOOKUP(_xlfn.XLOOKUP(B176,'Base stats'!B:B,'Base stats'!E:E),Groups!A:A,Groups!AJ:AJ)="Mammal","True","False")</f>
        <v>False</v>
      </c>
      <c r="CB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C176" s="25" t="str">
        <f t="shared" si="54"/>
        <v>False</v>
      </c>
      <c r="CD176" s="25" t="str">
        <f>IF(_xlfn.XLOOKUP(_xlfn.XLOOKUP(B176,'Base stats'!B:B,'Base stats'!E:E),Groups!A:A,Groups!AX:AX),"True","False")</f>
        <v>False</v>
      </c>
      <c r="CE176" s="25" t="str">
        <f>IF(_xlfn.XLOOKUP(_xlfn.XLOOKUP(B176,'Base stats'!B:B,'Base stats'!E:E),Groups!A:A,Groups!AY:AY),"True","False")</f>
        <v>False</v>
      </c>
      <c r="CF176" s="25" t="str">
        <f>IF(_xlfn.XLOOKUP(_xlfn.XLOOKUP(B176,'Base stats'!B:B,'Base stats'!E:E),Groups!A:A,Groups!AW:AW),"True","False")</f>
        <v>False</v>
      </c>
      <c r="CG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H176" s="25" t="str">
        <f>IF(_xlfn.XLOOKUP(_xlfn.XLOOKUP(B176,'Base stats'!B:B,'Base stats'!E:E),Groups!A:A,Groups!BB:BB),"True","False")</f>
        <v>True</v>
      </c>
      <c r="CI176" s="25" t="str">
        <f>IF(_xlfn.XLOOKUP(_xlfn.XLOOKUP(B176,'Base stats'!B:B,'Base stats'!E:E),Groups!A:A,Groups!BA:BA),"True","False")</f>
        <v>False</v>
      </c>
    </row>
    <row r="177" spans="1:87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stats'!AI:AI)=0,BH177="None",_xlfn.XLOOKUP(_xlfn.XLOOKUP(B177,'Base stats'!B:B,'Base stats'!E:E),Groups!A:A,Groups!B:B)=0), (18 + BQ177 * 2.7) * 0.5,
    IF(AND(_xlfn.XLOOKUP(B177,'Base stats'!B:B,'Base stats'!AI:AI)=0,OR(AO177&lt;0.55,AND(BH177="Intermediate",_xlfn.XLOOKUP(_xlfn.XLOOKUP(B177,'Base stats'!B:B,'Base stats'!E:E),Groups!A:A,Groups!B:B)&lt;2))), (18 + BQ177 * 2.7),
      IF(OR(BH177="Advanced",_xlfn.XLOOKUP(B177,'Base stats'!B:B,'Base stats'!AI:AI)=1,_xlfn.XLOOKUP(_xlfn.XLOOKUP(B177,'Base stats'!B:B,'Base stats'!E:E),Groups!A:A,Groups!B:B)=2), (18 + BQ177 * 2.7) + 250, (18 + BQ177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stats'!AI:AI)=1,0.99,MIN(MROUND((1-0.6282*EXP(-0.459*AO177))*_xlfn.XLOOKUP(_xlfn.XLOOKUP(B177,'Base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W177)),ISNUMBER(SEARCH("IceSheet",BW177))),-50,IF(OR(ISNUMBER(SEARCH("GlacialPlain",BW177)),ISNUMBER(SEARCH("Tundra",BW177))),-40,IF(OR(ISNUMBER(SEARCH("Alpine",BW177)),ISNUMBER(SEARCH("BorealForest",BW177)),ISNUMBER(SEARCH("ColdBog",BW177))),-30,IF(OR(ISNUMBER(SEARCH("TemperateForest",BW177)),ISNUMBER(SEARCH("TemperateSwamp",BW177))),-20,IF(_xlfn.XLOOKUP(_xlfn.XLOOKUP(B177,'Base stats'!B:B,'Base stats'!E:E),Groups!A:A,Groups!F:F)=1,-15,IF(OR(ISNUMBER(SEARCH("Desert",BW177)),ISNUMBER(SEARCH("ExtremeDesert",BW177))),-10,IF(OR(ISNUMBER(SEARCH("Grasslands",BW177)),ISNUMBER(SEARCH("TropicalRainforest",BW177)),ISNUMBER(SEARCH("TropicalSwamp",BW177))),10,0)))))))-IF(CB177="False",MIN(IFERROR(MAX(MROUND(LOG10(_xlfn.XLOOKUP(B177,'Base stats'!B:B,'Base stats'!C:C)^(2/3))*10,5),5),5),30))-_xlfn.XLOOKUP(B177,'Base stats'!B:B,'Base stats'!P:P)+IF(CB177="True",5,0)</f>
        <v>-25</v>
      </c>
      <c r="M177" s="2">
        <f>IF(OR(_xlfn.XLOOKUP(_xlfn.XLOOKUP(B177,'Base stats'!B:B,'Base stats'!E:E),Groups!A:A,Groups!G:G)=2,ISNUMBER(SEARCH("Desert",BW177)),ISNUMBER(SEARCH("ExtremeDesert",BW177)),ISNUMBER(SEARCH("LavaField",BW177))),50,IF(ISNUMBER(SEARCH("Grasslands",BW177)),45,IF(OR(_xlfn.XLOOKUP(_xlfn.XLOOKUP(B177,'Base stats'!B:B,'Base stats'!E:E),Groups!A:A,Groups!G:G)=1,ISNUMBER(SEARCH("TropicalRainforest",BW177)),ISNUMBER(SEARCH("TropicalSwamp",BW177))),40,IF(OR(ISNUMBER(SEARCH("TemperateForest",BW177)),ISNUMBER(SEARCH("TemperateSwamp",BW177))),35,IF(OR(ISNUMBER(SEARCH("Alpine",BW177)),ISNUMBER(SEARCH("BorealForest",BW177)),ISNUMBER(SEARCH("ColdBog",BW177))),30,IF(ISNUMBER(OR(ISNUMBER(SEARCH("GlacialPlain",BW177)),SEARCH("Tundra",BW177))),25,IF(OR(ISNUMBER(SEARCH("SeaIce",BW177)),ISNUMBER(SEARCH("IceSheet",BW177)),ISNUMBER(SEARCH("TropicalSwamp",BW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stats'!AO:AO))*(AO177^0.5)+(_xlfn.XLOOKUP(B177,'Base stats'!B:B,'Base stats'!AO:AO)/1000)^(2/3)+_xlfn.XLOOKUP(B177,'Base stats'!B:B,'Base stats'!AX:AX)/2)+0.5,0.5)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stats'!AP:AP))*(AO177^0.5)+(_xlfn.XLOOKUP(B177,'Base stats'!B:B,'Base stats'!AP:AP)/1000)^(2/3)+_xlfn.XLOOKUP(B177,'Base stats'!B:B,'Base stats'!AX:AX))+_xlfn.XLOOKUP(B177,'Base stats'!B:B,'Base stats'!AV:AV)+0.5,0.5))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stats'!AR:AR))*(AO177^0.5)+(_xlfn.XLOOKUP(B177,'Base stats'!B:B,'Base stats'!AR:AR)/1000)^(2/3)+_xlfn.XLOOKUP(B177,'Base stats'!B:B,'Base stats'!AW:AW))+0.5+IF(_xlfn.XLOOKUP(_xlfn.XLOOKUP(B177,'Base stats'!B:B,'Base stats'!E:E),Groups!A:A,Groups!U:U)&lt;&gt;3,_xlfn.XLOOKUP(B177,'Base stats'!B:B,'Base stats'!AX:AX),0),0.5))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stats'!AQ:AQ)="No","No",MROUND((LOG10(_xlfn.XLOOKUP(B177,'Base stats'!B:B,'Base stats'!AQ:AQ))*(AO177^0.75)+(_xlfn.XLOOKUP(B177,'Base stats'!B:B,'Base stats'!AQ:AQ)/1000)^(2/3)+_xlfn.XLOOKUP(B177,'Base stats'!B:B,'Base stats'!AU:AU)+_xlfn.XLOOKUP(B177,'Base stats'!B:B,'Base stats'!AX:AX))+0.5,0.5))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stats'!AP:AP))*(AO177^0.75)+(_xlfn.XLOOKUP(B177,'Base stats'!B:B,'Base stats'!AP:AP)/1000)^(2/3)+_xlfn.XLOOKUP(B177,'Base stats'!B:B,'Base stats'!AV:AV)+_xlfn.XLOOKUP(B177,'Base stats'!B:B,'Base stats'!AX:AX))+0.5,0.5))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8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MAX(0.01,MROUND(IF(CB177="True",0.196*(AO177*100*1000)^0.889,IF(_xlfn.XLOOKUP(_xlfn.XLOOKUP(B177,'Base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IF(OR(A177="Queen",A177="Larva",A177="Megachicken"),"No",IFERROR(MAX(IF(_xlfn.XLOOKUP(B177,'Base stats'!B:B,'Base stats'!G:G)&lt;0.5,0.2,0.3),MROUND(_xlfn.XLOOKUP(B177,'Base stats'!B:B,'Base stats'!G:G)/(365/60),0.2)),"Unknown"))</f>
        <v>0.4</v>
      </c>
      <c r="AU177" s="8">
        <f t="shared" si="49"/>
        <v>0.2</v>
      </c>
      <c r="AV177" s="8">
        <f>IFERROR(IFERROR(MROUND(_xlfn.XLOOKUP(B177,'Base stats'!B:B,'Base stats'!J:J),0.1),"Lay eggs"),"Cannot breed")</f>
        <v>3</v>
      </c>
      <c r="AW177" s="2" t="str">
        <f t="shared" si="50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stats'!AE:AE)</f>
        <v>Leather_Light</v>
      </c>
      <c r="BB177" s="23" t="str">
        <f>_xlfn.XLOOKUP(_xlfn.XLOOKUP(B177,'Base stats'!B:B,'Base stats'!E:E),Groups!A:A,Groups!AL:AL)</f>
        <v>QuadrupedAnimalWithPawsAndTail</v>
      </c>
      <c r="BC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D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E177" s="2" t="str">
        <f>IF(J177&gt;0.3,"No",_xlfn.XLOOKUP(_xlfn.XLOOKUP(Animals!B177,'Base stats'!B:B,'Base stats'!E:E),Groups!A:A,Groups!AP:AP))</f>
        <v>No</v>
      </c>
      <c r="BF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+ 24*(1-IF(BE177="No",0,BE177)) + 16/3, 12),"No")</f>
        <v>No</v>
      </c>
      <c r="BG177" s="2">
        <f>IF(AND(_xlfn.XLOOKUP(_xlfn.XLOOKUP(B177,'Base stats'!B:B,'Base stats'!E:E),Groups!A:A,Groups!AQ:AQ)=1,AO177&lt;=0.35),8,12)</f>
        <v>12</v>
      </c>
      <c r="BH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I177" s="2" t="str">
        <f>IF(AND(_xlfn.XLOOKUP(_xlfn.XLOOKUP(B177,'Base stats'!B:B,'Base stats'!E:E),Groups!A:A,Groups!AS:AS)=1,OR('Base stats'!Y177="Carnivore",'Base stats'!Y177="Omnivore")),"true","false")</f>
        <v>true</v>
      </c>
      <c r="BJ177" s="2">
        <f>IF(BI177="true",MROUND(IF(AND(AO177&gt;0.5,OR(_xlfn.XLOOKUP(_xlfn.XLOOKUP(B177,'Base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K177" s="2">
        <f t="shared" si="51"/>
        <v>1</v>
      </c>
      <c r="BL177" s="25" t="str">
        <f>IF(_xlfn.XLOOKUP(B177,'Base stats'!B:B,'Base stats'!AK:AK)="Standard","No",MROUND((_xlfn.XLOOKUP(B177,'Base stats'!B:B,'Base stats'!AK:AK)/3.6)/I177,0.1))</f>
        <v>No</v>
      </c>
      <c r="BM177" s="25" t="str">
        <f t="shared" si="52"/>
        <v>false</v>
      </c>
      <c r="BN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O177" s="25" t="str" cm="1">
        <f t="array" ref="BO177">IF(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 = "",
  "No",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
)</f>
        <v>No</v>
      </c>
      <c r="BP177" s="25" t="str">
        <f>IF(
   AND(
      'Base stats'!AK177="Standard",_xlfn.XLOOKUP(_xlfn.XLOOKUP(B177,'Base stats'!B:B,'Base stats'!E:E),Groups!A:A,Groups!AU:AU)=0,
      OR(
      BN177="True"
      )
   ),
   10,
   IF(
       OR(BL177&lt;&gt;"No",_xlfn.XLOOKUP(_xlfn.XLOOKUP(B177,'Base stats'!B:B,'Base stats'!E:E),Groups!A:A,Groups!AU:AU)=1),
      1,
      "No"
   )
)</f>
        <v>No</v>
      </c>
      <c r="BQ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stats'!AS:AS) * 1.8) * 2) * 2.5 + 10 + I177 * 2,5)+IF(_xlfn.XLOOKUP(B177,'Base stats'!B:B,'Base stats'!AH:AH)=1,50,0)</f>
        <v>45</v>
      </c>
      <c r="BR177" s="8">
        <f t="shared" si="53"/>
        <v>0.30000000000000004</v>
      </c>
      <c r="BS177" s="8" t="str">
        <f>_xlfn.XLOOKUP(B177,'Base stats'!B:B,'Base stats'!AD:AD)</f>
        <v>No</v>
      </c>
      <c r="BT177" s="2" t="str">
        <f>IF(AND(J177&lt;=0.95,OR(_xlfn.XLOOKUP(B177,'Base stats'!B:B,'Base stats'!AH:AH)=1,_xlfn.XLOOKUP(B177,'Base stats'!B:B,'Base stats'!Y:Y)="Carnivore",_xlfn.XLOOKUP(B177,'Base stats'!B:B,'Base stats'!Y:Y)="Omnivore",BD177&gt;0.1)),"true","false")</f>
        <v>true</v>
      </c>
      <c r="BU177" s="2" t="str">
        <f>IF(_xlfn.XLOOKUP(B177,'Base stats'!B:B,'Base stats'!AF:AF)=1,"true","false")</f>
        <v>false</v>
      </c>
      <c r="BV177" s="25" t="str">
        <f>IF(E177="BaseInsect","AnimalInsect",
IF(J177&gt;0.95,"AnimalExotic",
_xlfn.TEXTJOIN(", ",TRUE,
IF(OR(_xlfn.XLOOKUP(B177,'Base stats'!B:B,'Base stats'!AJ:AJ)=1,AND(_xlfn.XLOOKUP(B177,'Base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stats'!AH:AH)=1,AND(BH177&lt;&gt;"None",BQ177&gt;=60),ISNUMBER(SEARCH("Attack target",BO177))),"AnimalFighter","")
)))</f>
        <v>AnimalUncommon</v>
      </c>
      <c r="BW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),_xlfn.XLOOKUP(B177,B:B,BW:BW))</f>
        <v>TemperateForest TemperateSwamp</v>
      </c>
      <c r="BX177" s="25" t="str">
        <f>IF(_xlfn.XLOOKUP(B177,'Base stats'!B:B,'Base stats'!AG:AG)=1,"true","false")</f>
        <v>false</v>
      </c>
      <c r="BY177" s="25">
        <f>IF(_xlfn.XLOOKUP(B177,'Base stats'!B:B,'Base stats'!N:N)=1,"No",MAX(0.01,MIN(MROUND(IF(OR(_xlfn.XLOOKUP(B177,'Base stats'!B:B,'Base stats'!AJ:AJ)=1,AND(BI177="True",CB177="False")),POWER(10,3.47*LOG10(_xlfn.XLOOKUP(B177,'Base stats'!B:B,'Base stats'!C:C)*1000)^-0.96),POWER(10,4.15*LOG10(_xlfn.XLOOKUP(B177,'Base stats'!B:B,'Base stats'!C:C)*1000)^-0.73))*IF(OR(_xlfn.XLOOKUP(B177,'Base stats'!B:B,'Base stats'!AJ:AJ)=1,_xlfn.XLOOKUP(B177,'Base stats'!B:B,'Base stats'!AH:AH)=1),0.5,1)/100,0.025),1)))</f>
        <v>0.05</v>
      </c>
      <c r="BZ177" s="25" t="str">
        <f>IF(P177="Standard","No",MAX(0.01,IF(_xlfn.XLOOKUP(B177,'Base stats'!B:B,'Base stats'!N:N)=0,MROUND(BY177*P177,0.05),MIN(1,MAX(0.025,MROUND(IF(OR(CB177="true",AND(BI177="false",BN177="false")),POWER(10,4.15*LOG10(_xlfn.XLOOKUP(B177,'Base stats'!B:B,'Base stats'!C:C)*1000)^-0.73),POWER(10,3.47*LOG10(_xlfn.XLOOKUP(B177,'Base stats'!B:B,'Base stats'!C:C)*1000)^-0.96))*IF(_xlfn.XLOOKUP(B177,'Base stats'!B:B,'Base stats'!AH:AH)=1,0.5,1)/100,0.025))))))</f>
        <v>No</v>
      </c>
      <c r="CA177" s="25" t="str">
        <f>IF(_xlfn.XLOOKUP(_xlfn.XLOOKUP(B177,'Base stats'!B:B,'Base stats'!E:E),Groups!A:A,Groups!AJ:AJ)="Mammal","True","False")</f>
        <v>True</v>
      </c>
      <c r="CB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C177" s="25" t="str">
        <f t="shared" si="54"/>
        <v>False</v>
      </c>
      <c r="CD177" s="25" t="str">
        <f>IF(_xlfn.XLOOKUP(_xlfn.XLOOKUP(B177,'Base stats'!B:B,'Base stats'!E:E),Groups!A:A,Groups!AX:AX),"True","False")</f>
        <v>False</v>
      </c>
      <c r="CE177" s="25" t="str">
        <f>IF(_xlfn.XLOOKUP(_xlfn.XLOOKUP(B177,'Base stats'!B:B,'Base stats'!E:E),Groups!A:A,Groups!AY:AY),"True","False")</f>
        <v>False</v>
      </c>
      <c r="CF177" s="25" t="str">
        <f>IF(_xlfn.XLOOKUP(_xlfn.XLOOKUP(B177,'Base stats'!B:B,'Base stats'!E:E),Groups!A:A,Groups!AW:AW),"True","False")</f>
        <v>False</v>
      </c>
      <c r="CG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H177" s="25" t="str">
        <f>IF(_xlfn.XLOOKUP(_xlfn.XLOOKUP(B177,'Base stats'!B:B,'Base stats'!E:E),Groups!A:A,Groups!BB:BB),"True","False")</f>
        <v>True</v>
      </c>
      <c r="CI177" s="25" t="str">
        <f>IF(_xlfn.XLOOKUP(_xlfn.XLOOKUP(B177,'Base stats'!B:B,'Base stats'!E:E),Groups!A:A,Groups!BA:BA),"True","False")</f>
        <v>False</v>
      </c>
    </row>
    <row r="178" spans="1:87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stats'!AI:AI)=0,BH178="None",_xlfn.XLOOKUP(_xlfn.XLOOKUP(B178,'Base stats'!B:B,'Base stats'!E:E),Groups!A:A,Groups!B:B)=0), (18 + BQ178 * 2.7) * 0.5,
    IF(AND(_xlfn.XLOOKUP(B178,'Base stats'!B:B,'Base stats'!AI:AI)=0,OR(AO178&lt;0.55,AND(BH178="Intermediate",_xlfn.XLOOKUP(_xlfn.XLOOKUP(B178,'Base stats'!B:B,'Base stats'!E:E),Groups!A:A,Groups!B:B)&lt;2))), (18 + BQ178 * 2.7),
      IF(OR(BH178="Advanced",_xlfn.XLOOKUP(B178,'Base stats'!B:B,'Base stats'!AI:AI)=1,_xlfn.XLOOKUP(_xlfn.XLOOKUP(B178,'Base stats'!B:B,'Base stats'!E:E),Groups!A:A,Groups!B:B)=2), (18 + BQ178 * 2.7) + 250, (18 + BQ178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stats'!AI:AI)=1,0.99,MIN(MROUND((1-0.6282*EXP(-0.459*AO178))*_xlfn.XLOOKUP(_xlfn.XLOOKUP(B178,'Base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W178)),ISNUMBER(SEARCH("IceSheet",BW178))),-50,IF(OR(ISNUMBER(SEARCH("GlacialPlain",BW178)),ISNUMBER(SEARCH("Tundra",BW178))),-40,IF(OR(ISNUMBER(SEARCH("Alpine",BW178)),ISNUMBER(SEARCH("BorealForest",BW178)),ISNUMBER(SEARCH("ColdBog",BW178))),-30,IF(OR(ISNUMBER(SEARCH("TemperateForest",BW178)),ISNUMBER(SEARCH("TemperateSwamp",BW178))),-20,IF(_xlfn.XLOOKUP(_xlfn.XLOOKUP(B178,'Base stats'!B:B,'Base stats'!E:E),Groups!A:A,Groups!F:F)=1,-15,IF(OR(ISNUMBER(SEARCH("Desert",BW178)),ISNUMBER(SEARCH("ExtremeDesert",BW178))),-10,IF(OR(ISNUMBER(SEARCH("Grasslands",BW178)),ISNUMBER(SEARCH("TropicalRainforest",BW178)),ISNUMBER(SEARCH("TropicalSwamp",BW178))),10,0)))))))-IF(CB178="False",MIN(IFERROR(MAX(MROUND(LOG10(_xlfn.XLOOKUP(B178,'Base stats'!B:B,'Base stats'!C:C)^(2/3))*10,5),5),5),30))-_xlfn.XLOOKUP(B178,'Base stats'!B:B,'Base stats'!P:P)+IF(CB178="True",5,0)</f>
        <v>-30</v>
      </c>
      <c r="M178" s="2">
        <f>IF(OR(_xlfn.XLOOKUP(_xlfn.XLOOKUP(B178,'Base stats'!B:B,'Base stats'!E:E),Groups!A:A,Groups!G:G)=2,ISNUMBER(SEARCH("Desert",BW178)),ISNUMBER(SEARCH("ExtremeDesert",BW178)),ISNUMBER(SEARCH("LavaField",BW178))),50,IF(ISNUMBER(SEARCH("Grasslands",BW178)),45,IF(OR(_xlfn.XLOOKUP(_xlfn.XLOOKUP(B178,'Base stats'!B:B,'Base stats'!E:E),Groups!A:A,Groups!G:G)=1,ISNUMBER(SEARCH("TropicalRainforest",BW178)),ISNUMBER(SEARCH("TropicalSwamp",BW178))),40,IF(OR(ISNUMBER(SEARCH("TemperateForest",BW178)),ISNUMBER(SEARCH("TemperateSwamp",BW178))),35,IF(OR(ISNUMBER(SEARCH("Alpine",BW178)),ISNUMBER(SEARCH("BorealForest",BW178)),ISNUMBER(SEARCH("ColdBog",BW178))),30,IF(ISNUMBER(OR(ISNUMBER(SEARCH("GlacialPlain",BW178)),SEARCH("Tundra",BW178))),25,IF(OR(ISNUMBER(SEARCH("SeaIce",BW178)),ISNUMBER(SEARCH("IceSheet",BW178)),ISNUMBER(SEARCH("TropicalSwamp",BW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stats'!AO:AO))*(AO178^0.5)+(_xlfn.XLOOKUP(B178,'Base stats'!B:B,'Base stats'!AO:AO)/1000)^(2/3)+_xlfn.XLOOKUP(B178,'Base stats'!B:B,'Base stats'!AX:AX)/2)+0.5,0.5)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stats'!AP:AP))*(AO178^0.5)+(_xlfn.XLOOKUP(B178,'Base stats'!B:B,'Base stats'!AP:AP)/1000)^(2/3)+_xlfn.XLOOKUP(B178,'Base stats'!B:B,'Base stats'!AX:AX))+_xlfn.XLOOKUP(B178,'Base stats'!B:B,'Base stats'!AV:AV)+0.5,0.5))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stats'!AR:AR))*(AO178^0.5)+(_xlfn.XLOOKUP(B178,'Base stats'!B:B,'Base stats'!AR:AR)/1000)^(2/3)+_xlfn.XLOOKUP(B178,'Base stats'!B:B,'Base stats'!AW:AW))+0.5+IF(_xlfn.XLOOKUP(_xlfn.XLOOKUP(B178,'Base stats'!B:B,'Base stats'!E:E),Groups!A:A,Groups!U:U)&lt;&gt;3,_xlfn.XLOOKUP(B178,'Base stats'!B:B,'Base stats'!AX:AX),0),0.5))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stats'!AQ:AQ)="No","No",MROUND((LOG10(_xlfn.XLOOKUP(B178,'Base stats'!B:B,'Base stats'!AQ:AQ))*(AO178^0.75)+(_xlfn.XLOOKUP(B178,'Base stats'!B:B,'Base stats'!AQ:AQ)/1000)^(2/3)+_xlfn.XLOOKUP(B178,'Base stats'!B:B,'Base stats'!AU:AU)+_xlfn.XLOOKUP(B178,'Base stats'!B:B,'Base stats'!AX:AX))+0.5,0.5))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stats'!AP:AP))*(AO178^0.75)+(_xlfn.XLOOKUP(B178,'Base stats'!B:B,'Base stats'!AP:AP)/1000)^(2/3)+_xlfn.XLOOKUP(B178,'Base stats'!B:B,'Base stats'!AV:AV)+_xlfn.XLOOKUP(B178,'Base stats'!B:B,'Base stats'!AX:AX))+0.5,0.5))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8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MAX(0.01,MROUND(IF(CB178="True",0.196*(AO178*100*1000)^0.889,IF(_xlfn.XLOOKUP(_xlfn.XLOOKUP(B178,'Base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IF(OR(A178="Queen",A178="Larva",A178="Megachicken"),"No",IFERROR(MAX(IF(_xlfn.XLOOKUP(B178,'Base stats'!B:B,'Base stats'!G:G)&lt;0.5,0.2,0.3),MROUND(_xlfn.XLOOKUP(B178,'Base stats'!B:B,'Base stats'!G:G)/(365/60),0.2)),"Unknown"))</f>
        <v>0.4</v>
      </c>
      <c r="AU178" s="8">
        <f t="shared" si="49"/>
        <v>0.2</v>
      </c>
      <c r="AV178" s="8">
        <f>IFERROR(IFERROR(MROUND(_xlfn.XLOOKUP(B178,'Base stats'!B:B,'Base stats'!J:J),0.1),"Lay eggs"),"Cannot breed")</f>
        <v>1</v>
      </c>
      <c r="AW178" s="2" t="str">
        <f t="shared" si="50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stats'!AE:AE)</f>
        <v>Leather_Dog</v>
      </c>
      <c r="BB178" s="23" t="str">
        <f>_xlfn.XLOOKUP(_xlfn.XLOOKUP(B178,'Base stats'!B:B,'Base stats'!E:E),Groups!A:A,Groups!AL:AL)</f>
        <v>QuadrupedAnimalWithPawsAndTail</v>
      </c>
      <c r="BC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D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E178" s="2" t="str">
        <f>IF(J178&gt;0.3,"No",_xlfn.XLOOKUP(_xlfn.XLOOKUP(Animals!B178,'Base stats'!B:B,'Base stats'!E:E),Groups!A:A,Groups!AP:AP))</f>
        <v>No</v>
      </c>
      <c r="BF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+ 24*(1-IF(BE178="No",0,BE178)) + 16/3, 12),"No")</f>
        <v>48</v>
      </c>
      <c r="BG178" s="2">
        <f>IF(AND(_xlfn.XLOOKUP(_xlfn.XLOOKUP(B178,'Base stats'!B:B,'Base stats'!E:E),Groups!A:A,Groups!AQ:AQ)=1,AO178&lt;=0.35),8,12)</f>
        <v>12</v>
      </c>
      <c r="BH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I178" s="2" t="str">
        <f>IF(AND(_xlfn.XLOOKUP(_xlfn.XLOOKUP(B178,'Base stats'!B:B,'Base stats'!E:E),Groups!A:A,Groups!AS:AS)=1,OR('Base stats'!Y178="Carnivore",'Base stats'!Y178="Omnivore")),"true","false")</f>
        <v>true</v>
      </c>
      <c r="BJ178" s="2">
        <f>IF(BI178="true",MROUND(IF(AND(AO178&gt;0.5,OR(_xlfn.XLOOKUP(_xlfn.XLOOKUP(B178,'Base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K178" s="2">
        <f t="shared" si="51"/>
        <v>1</v>
      </c>
      <c r="BL178" s="25" t="str">
        <f>IF(_xlfn.XLOOKUP(B178,'Base stats'!B:B,'Base stats'!AK:AK)="Standard","No",MROUND((_xlfn.XLOOKUP(B178,'Base stats'!B:B,'Base stats'!AK:AK)/3.6)/I178,0.1))</f>
        <v>No</v>
      </c>
      <c r="BM178" s="25" t="str">
        <f t="shared" si="52"/>
        <v>false</v>
      </c>
      <c r="BN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O178" s="25" t="str" cm="1">
        <f t="array" ref="BO178">IF(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 = "",
  "No",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
)</f>
        <v>AttackTarget</v>
      </c>
      <c r="BP178" s="25" t="str">
        <f>IF(
   AND(
      'Base stats'!AK178="Standard",_xlfn.XLOOKUP(_xlfn.XLOOKUP(B178,'Base stats'!B:B,'Base stats'!E:E),Groups!A:A,Groups!AU:AU)=0,
      OR(
      BN178="True"
      )
   ),
   10,
   IF(
       OR(BL178&lt;&gt;"No",_xlfn.XLOOKUP(_xlfn.XLOOKUP(B178,'Base stats'!B:B,'Base stats'!E:E),Groups!A:A,Groups!AU:AU)=1),
      1,
      "No"
   )
)</f>
        <v>No</v>
      </c>
      <c r="BQ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stats'!AS:AS) * 1.8) * 2) * 2.5 + 10 + I178 * 2,5)+IF(_xlfn.XLOOKUP(B178,'Base stats'!B:B,'Base stats'!AH:AH)=1,50,0)</f>
        <v>70</v>
      </c>
      <c r="BR178" s="8">
        <f t="shared" si="53"/>
        <v>0.45</v>
      </c>
      <c r="BS178" s="8" t="str">
        <f>_xlfn.XLOOKUP(B178,'Base stats'!B:B,'Base stats'!AD:AD)</f>
        <v>No</v>
      </c>
      <c r="BT178" s="2" t="str">
        <f>IF(AND(J178&lt;=0.95,OR(_xlfn.XLOOKUP(B178,'Base stats'!B:B,'Base stats'!AH:AH)=1,_xlfn.XLOOKUP(B178,'Base stats'!B:B,'Base stats'!Y:Y)="Carnivore",_xlfn.XLOOKUP(B178,'Base stats'!B:B,'Base stats'!Y:Y)="Omnivore",BD178&gt;0.1)),"true","false")</f>
        <v>true</v>
      </c>
      <c r="BU178" s="2" t="str">
        <f>IF(_xlfn.XLOOKUP(B178,'Base stats'!B:B,'Base stats'!AF:AF)=1,"true","false")</f>
        <v>false</v>
      </c>
      <c r="BV178" s="25" t="str">
        <f>IF(E178="BaseInsect","AnimalInsect",
IF(J178&gt;0.95,"AnimalExotic",
_xlfn.TEXTJOIN(", ",TRUE,
IF(OR(_xlfn.XLOOKUP(B178,'Base stats'!B:B,'Base stats'!AJ:AJ)=1,AND(_xlfn.XLOOKUP(B178,'Base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stats'!AH:AH)=1,AND(BH178&lt;&gt;"None",BQ178&gt;=60),ISNUMBER(SEARCH("Attack target",BO178))),"AnimalFighter","")
)))</f>
        <v>AnimalUncommon, AnimalFighter</v>
      </c>
      <c r="BW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),_xlfn.XLOOKUP(B178,B:B,BW:BW))</f>
        <v>TemperateForest TemperateSwamp AridShrubland Grasslands LavaField</v>
      </c>
      <c r="BX178" s="25" t="str">
        <f>IF(_xlfn.XLOOKUP(B178,'Base stats'!B:B,'Base stats'!AG:AG)=1,"true","false")</f>
        <v>false</v>
      </c>
      <c r="BY178" s="25">
        <f>IF(_xlfn.XLOOKUP(B178,'Base stats'!B:B,'Base stats'!N:N)=1,"No",MAX(0.01,MIN(MROUND(IF(OR(_xlfn.XLOOKUP(B178,'Base stats'!B:B,'Base stats'!AJ:AJ)=1,AND(BI178="True",CB178="False")),POWER(10,3.47*LOG10(_xlfn.XLOOKUP(B178,'Base stats'!B:B,'Base stats'!C:C)*1000)^-0.96),POWER(10,4.15*LOG10(_xlfn.XLOOKUP(B178,'Base stats'!B:B,'Base stats'!C:C)*1000)^-0.73))*IF(OR(_xlfn.XLOOKUP(B178,'Base stats'!B:B,'Base stats'!AJ:AJ)=1,_xlfn.XLOOKUP(B178,'Base stats'!B:B,'Base stats'!AH:AH)=1),0.5,1)/100,0.025),1)))</f>
        <v>2.5000000000000001E-2</v>
      </c>
      <c r="BZ178" s="25" t="str">
        <f>IF(P178="Standard","No",MAX(0.01,IF(_xlfn.XLOOKUP(B178,'Base stats'!B:B,'Base stats'!N:N)=0,MROUND(BY178*P178,0.05),MIN(1,MAX(0.025,MROUND(IF(OR(CB178="true",AND(BI178="false",BN178="false")),POWER(10,4.15*LOG10(_xlfn.XLOOKUP(B178,'Base stats'!B:B,'Base stats'!C:C)*1000)^-0.73),POWER(10,3.47*LOG10(_xlfn.XLOOKUP(B178,'Base stats'!B:B,'Base stats'!C:C)*1000)^-0.96))*IF(_xlfn.XLOOKUP(B178,'Base stats'!B:B,'Base stats'!AH:AH)=1,0.5,1)/100,0.025))))))</f>
        <v>No</v>
      </c>
      <c r="CA178" s="25" t="str">
        <f>IF(_xlfn.XLOOKUP(_xlfn.XLOOKUP(B178,'Base stats'!B:B,'Base stats'!E:E),Groups!A:A,Groups!AJ:AJ)="Mammal","True","False")</f>
        <v>True</v>
      </c>
      <c r="CB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C178" s="25" t="str">
        <f t="shared" si="54"/>
        <v>False</v>
      </c>
      <c r="CD178" s="25" t="str">
        <f>IF(_xlfn.XLOOKUP(_xlfn.XLOOKUP(B178,'Base stats'!B:B,'Base stats'!E:E),Groups!A:A,Groups!AX:AX),"True","False")</f>
        <v>False</v>
      </c>
      <c r="CE178" s="25" t="str">
        <f>IF(_xlfn.XLOOKUP(_xlfn.XLOOKUP(B178,'Base stats'!B:B,'Base stats'!E:E),Groups!A:A,Groups!AY:AY),"True","False")</f>
        <v>False</v>
      </c>
      <c r="CF178" s="25" t="str">
        <f>IF(_xlfn.XLOOKUP(_xlfn.XLOOKUP(B178,'Base stats'!B:B,'Base stats'!E:E),Groups!A:A,Groups!AW:AW),"True","False")</f>
        <v>False</v>
      </c>
      <c r="CG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H178" s="25" t="str">
        <f>IF(_xlfn.XLOOKUP(_xlfn.XLOOKUP(B178,'Base stats'!B:B,'Base stats'!E:E),Groups!A:A,Groups!BB:BB),"True","False")</f>
        <v>True</v>
      </c>
      <c r="CI178" s="25" t="str">
        <f>IF(_xlfn.XLOOKUP(_xlfn.XLOOKUP(B178,'Base stats'!B:B,'Base stats'!E:E),Groups!A:A,Groups!BA:BA),"True","False")</f>
        <v>False</v>
      </c>
    </row>
    <row r="179" spans="1:87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stats'!AI:AI)=0,BH179="None",_xlfn.XLOOKUP(_xlfn.XLOOKUP(B179,'Base stats'!B:B,'Base stats'!E:E),Groups!A:A,Groups!B:B)=0), (18 + BQ179 * 2.7) * 0.5,
    IF(AND(_xlfn.XLOOKUP(B179,'Base stats'!B:B,'Base stats'!AI:AI)=0,OR(AO179&lt;0.55,AND(BH179="Intermediate",_xlfn.XLOOKUP(_xlfn.XLOOKUP(B179,'Base stats'!B:B,'Base stats'!E:E),Groups!A:A,Groups!B:B)&lt;2))), (18 + BQ179 * 2.7),
      IF(OR(BH179="Advanced",_xlfn.XLOOKUP(B179,'Base stats'!B:B,'Base stats'!AI:AI)=1,_xlfn.XLOOKUP(_xlfn.XLOOKUP(B179,'Base stats'!B:B,'Base stats'!E:E),Groups!A:A,Groups!B:B)=2), (18 + BQ179 * 2.7) + 250, (18 + BQ179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stats'!AI:AI)=1,0.99,MIN(MROUND((1-0.6282*EXP(-0.459*AO179))*_xlfn.XLOOKUP(_xlfn.XLOOKUP(B179,'Base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W179)),ISNUMBER(SEARCH("IceSheet",BW179))),-50,IF(OR(ISNUMBER(SEARCH("GlacialPlain",BW179)),ISNUMBER(SEARCH("Tundra",BW179))),-40,IF(OR(ISNUMBER(SEARCH("Alpine",BW179)),ISNUMBER(SEARCH("BorealForest",BW179)),ISNUMBER(SEARCH("ColdBog",BW179))),-30,IF(OR(ISNUMBER(SEARCH("TemperateForest",BW179)),ISNUMBER(SEARCH("TemperateSwamp",BW179))),-20,IF(_xlfn.XLOOKUP(_xlfn.XLOOKUP(B179,'Base stats'!B:B,'Base stats'!E:E),Groups!A:A,Groups!F:F)=1,-15,IF(OR(ISNUMBER(SEARCH("Desert",BW179)),ISNUMBER(SEARCH("ExtremeDesert",BW179))),-10,IF(OR(ISNUMBER(SEARCH("Grasslands",BW179)),ISNUMBER(SEARCH("TropicalRainforest",BW179)),ISNUMBER(SEARCH("TropicalSwamp",BW179))),10,0)))))))-IF(CB179="False",MIN(IFERROR(MAX(MROUND(LOG10(_xlfn.XLOOKUP(B179,'Base stats'!B:B,'Base stats'!C:C)^(2/3))*10,5),5),5),30))-_xlfn.XLOOKUP(B179,'Base stats'!B:B,'Base stats'!P:P)+IF(CB179="True",5,0)</f>
        <v>-25</v>
      </c>
      <c r="M179" s="2">
        <f>IF(OR(_xlfn.XLOOKUP(_xlfn.XLOOKUP(B179,'Base stats'!B:B,'Base stats'!E:E),Groups!A:A,Groups!G:G)=2,ISNUMBER(SEARCH("Desert",BW179)),ISNUMBER(SEARCH("ExtremeDesert",BW179)),ISNUMBER(SEARCH("LavaField",BW179))),50,IF(ISNUMBER(SEARCH("Grasslands",BW179)),45,IF(OR(_xlfn.XLOOKUP(_xlfn.XLOOKUP(B179,'Base stats'!B:B,'Base stats'!E:E),Groups!A:A,Groups!G:G)=1,ISNUMBER(SEARCH("TropicalRainforest",BW179)),ISNUMBER(SEARCH("TropicalSwamp",BW179))),40,IF(OR(ISNUMBER(SEARCH("TemperateForest",BW179)),ISNUMBER(SEARCH("TemperateSwamp",BW179))),35,IF(OR(ISNUMBER(SEARCH("Alpine",BW179)),ISNUMBER(SEARCH("BorealForest",BW179)),ISNUMBER(SEARCH("ColdBog",BW179))),30,IF(ISNUMBER(OR(ISNUMBER(SEARCH("GlacialPlain",BW179)),SEARCH("Tundra",BW179))),25,IF(OR(ISNUMBER(SEARCH("SeaIce",BW179)),ISNUMBER(SEARCH("IceSheet",BW179)),ISNUMBER(SEARCH("TropicalSwamp",BW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stats'!AO:AO))*(AO179^0.5)+(_xlfn.XLOOKUP(B179,'Base stats'!B:B,'Base stats'!AO:AO)/1000)^(2/3)+_xlfn.XLOOKUP(B179,'Base stats'!B:B,'Base stats'!AX:AX)/2)+0.5,0.5)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stats'!AP:AP))*(AO179^0.5)+(_xlfn.XLOOKUP(B179,'Base stats'!B:B,'Base stats'!AP:AP)/1000)^(2/3)+_xlfn.XLOOKUP(B179,'Base stats'!B:B,'Base stats'!AX:AX))+_xlfn.XLOOKUP(B179,'Base stats'!B:B,'Base stats'!AV:AV)+0.5,0.5))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stats'!AR:AR))*(AO179^0.5)+(_xlfn.XLOOKUP(B179,'Base stats'!B:B,'Base stats'!AR:AR)/1000)^(2/3)+_xlfn.XLOOKUP(B179,'Base stats'!B:B,'Base stats'!AW:AW))+0.5+IF(_xlfn.XLOOKUP(_xlfn.XLOOKUP(B179,'Base stats'!B:B,'Base stats'!E:E),Groups!A:A,Groups!U:U)&lt;&gt;3,_xlfn.XLOOKUP(B179,'Base stats'!B:B,'Base stats'!AX:AX),0),0.5))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stats'!AQ:AQ)="No","No",MROUND((LOG10(_xlfn.XLOOKUP(B179,'Base stats'!B:B,'Base stats'!AQ:AQ))*(AO179^0.75)+(_xlfn.XLOOKUP(B179,'Base stats'!B:B,'Base stats'!AQ:AQ)/1000)^(2/3)+_xlfn.XLOOKUP(B179,'Base stats'!B:B,'Base stats'!AU:AU)+_xlfn.XLOOKUP(B179,'Base stats'!B:B,'Base stats'!AX:AX))+0.5,0.5))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stats'!AP:AP))*(AO179^0.75)+(_xlfn.XLOOKUP(B179,'Base stats'!B:B,'Base stats'!AP:AP)/1000)^(2/3)+_xlfn.XLOOKUP(B179,'Base stats'!B:B,'Base stats'!AV:AV)+_xlfn.XLOOKUP(B179,'Base stats'!B:B,'Base stats'!AX:AX))+0.5,0.5))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8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MAX(0.01,MROUND(IF(CB179="True",0.196*(AO179*100*1000)^0.889,IF(_xlfn.XLOOKUP(_xlfn.XLOOKUP(B179,'Base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IF(OR(A179="Queen",A179="Larva",A179="Megachicken"),"No",IFERROR(MAX(IF(_xlfn.XLOOKUP(B179,'Base stats'!B:B,'Base stats'!G:G)&lt;0.5,0.2,0.3),MROUND(_xlfn.XLOOKUP(B179,'Base stats'!B:B,'Base stats'!G:G)/(365/60),0.2)),"Unknown"))</f>
        <v>0.3</v>
      </c>
      <c r="AU179" s="8">
        <f t="shared" si="49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50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stats'!AE:AE)</f>
        <v>Leather_Dog</v>
      </c>
      <c r="BB179" s="23" t="str">
        <f>_xlfn.XLOOKUP(_xlfn.XLOOKUP(B179,'Base stats'!B:B,'Base stats'!E:E),Groups!A:A,Groups!AL:AL)</f>
        <v>QuadrupedAnimalWithPawsAndTail</v>
      </c>
      <c r="BC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D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E179" s="2" t="str">
        <f>IF(J179&gt;0.3,"No",_xlfn.XLOOKUP(_xlfn.XLOOKUP(Animals!B179,'Base stats'!B:B,'Base stats'!E:E),Groups!A:A,Groups!AP:AP))</f>
        <v>No</v>
      </c>
      <c r="BF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+ 24*(1-IF(BE179="No",0,BE179)) + 16/3, 12),"No")</f>
        <v>48</v>
      </c>
      <c r="BG179" s="2">
        <f>IF(AND(_xlfn.XLOOKUP(_xlfn.XLOOKUP(B179,'Base stats'!B:B,'Base stats'!E:E),Groups!A:A,Groups!AQ:AQ)=1,AO179&lt;=0.35),8,12)</f>
        <v>12</v>
      </c>
      <c r="BH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I179" s="2" t="str">
        <f>IF(AND(_xlfn.XLOOKUP(_xlfn.XLOOKUP(B179,'Base stats'!B:B,'Base stats'!E:E),Groups!A:A,Groups!AS:AS)=1,OR('Base stats'!Y179="Carnivore",'Base stats'!Y179="Omnivore")),"true","false")</f>
        <v>true</v>
      </c>
      <c r="BJ179" s="2">
        <f>IF(BI179="true",MROUND(IF(AND(AO179&gt;0.5,OR(_xlfn.XLOOKUP(_xlfn.XLOOKUP(B179,'Base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K179" s="2">
        <f t="shared" si="51"/>
        <v>1</v>
      </c>
      <c r="BL179" s="25" t="str">
        <f>IF(_xlfn.XLOOKUP(B179,'Base stats'!B:B,'Base stats'!AK:AK)="Standard","No",MROUND((_xlfn.XLOOKUP(B179,'Base stats'!B:B,'Base stats'!AK:AK)/3.6)/I179,0.1))</f>
        <v>No</v>
      </c>
      <c r="BM179" s="25" t="str">
        <f t="shared" si="52"/>
        <v>false</v>
      </c>
      <c r="BN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O179" s="25" t="str" cm="1">
        <f t="array" ref="BO179">IF(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 = "",
  "No",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
)</f>
        <v>AttackTarget</v>
      </c>
      <c r="BP179" s="25" t="str">
        <f>IF(
   AND(
      'Base stats'!AK179="Standard",_xlfn.XLOOKUP(_xlfn.XLOOKUP(B179,'Base stats'!B:B,'Base stats'!E:E),Groups!A:A,Groups!AU:AU)=0,
      OR(
      BN179="True"
      )
   ),
   10,
   IF(
       OR(BL179&lt;&gt;"No",_xlfn.XLOOKUP(_xlfn.XLOOKUP(B179,'Base stats'!B:B,'Base stats'!E:E),Groups!A:A,Groups!AU:AU)=1),
      1,
      "No"
   )
)</f>
        <v>No</v>
      </c>
      <c r="BQ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stats'!AS:AS) * 1.8) * 2) * 2.5 + 10 + I179 * 2,5)+IF(_xlfn.XLOOKUP(B179,'Base stats'!B:B,'Base stats'!AH:AH)=1,50,0)</f>
        <v>85</v>
      </c>
      <c r="BR179" s="8">
        <f t="shared" si="53"/>
        <v>0.5</v>
      </c>
      <c r="BS179" s="8" t="str">
        <f>_xlfn.XLOOKUP(B179,'Base stats'!B:B,'Base stats'!AD:AD)</f>
        <v>3~8</v>
      </c>
      <c r="BT179" s="2" t="str">
        <f>IF(AND(J179&lt;=0.95,OR(_xlfn.XLOOKUP(B179,'Base stats'!B:B,'Base stats'!AH:AH)=1,_xlfn.XLOOKUP(B179,'Base stats'!B:B,'Base stats'!Y:Y)="Carnivore",_xlfn.XLOOKUP(B179,'Base stats'!B:B,'Base stats'!Y:Y)="Omnivore",BD179&gt;0.1)),"true","false")</f>
        <v>true</v>
      </c>
      <c r="BU179" s="2" t="str">
        <f>IF(_xlfn.XLOOKUP(B179,'Base stats'!B:B,'Base stats'!AF:AF)=1,"true","false")</f>
        <v>false</v>
      </c>
      <c r="BV179" s="25" t="str">
        <f>IF(E179="BaseInsect","AnimalInsect",
IF(J179&gt;0.95,"AnimalExotic",
_xlfn.TEXTJOIN(", ",TRUE,
IF(OR(_xlfn.XLOOKUP(B179,'Base stats'!B:B,'Base stats'!AJ:AJ)=1,AND(_xlfn.XLOOKUP(B179,'Base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stats'!AH:AH)=1,AND(BH179&lt;&gt;"None",BQ179&gt;=60),ISNUMBER(SEARCH("Attack target",BO179))),"AnimalFighter","")
)))</f>
        <v>AnimalUncommon, AnimalFighter</v>
      </c>
      <c r="BW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),_xlfn.XLOOKUP(B179,B:B,BW:BW))</f>
        <v>AridShrubland Desert Grasslands LavaField</v>
      </c>
      <c r="BX179" s="25" t="str">
        <f>IF(_xlfn.XLOOKUP(B179,'Base stats'!B:B,'Base stats'!AG:AG)=1,"true","false")</f>
        <v>false</v>
      </c>
      <c r="BY179" s="25">
        <f>IF(_xlfn.XLOOKUP(B179,'Base stats'!B:B,'Base stats'!N:N)=1,"No",MAX(0.01,MIN(MROUND(IF(OR(_xlfn.XLOOKUP(B179,'Base stats'!B:B,'Base stats'!AJ:AJ)=1,AND(BI179="True",CB179="False")),POWER(10,3.47*LOG10(_xlfn.XLOOKUP(B179,'Base stats'!B:B,'Base stats'!C:C)*1000)^-0.96),POWER(10,4.15*LOG10(_xlfn.XLOOKUP(B179,'Base stats'!B:B,'Base stats'!C:C)*1000)^-0.73))*IF(OR(_xlfn.XLOOKUP(B179,'Base stats'!B:B,'Base stats'!AJ:AJ)=1,_xlfn.XLOOKUP(B179,'Base stats'!B:B,'Base stats'!AH:AH)=1),0.5,1)/100,0.025),1)))</f>
        <v>2.5000000000000001E-2</v>
      </c>
      <c r="BZ179" s="25" t="str">
        <f>IF(P179="Standard","No",MAX(0.01,IF(_xlfn.XLOOKUP(B179,'Base stats'!B:B,'Base stats'!N:N)=0,MROUND(BY179*P179,0.05),MIN(1,MAX(0.025,MROUND(IF(OR(CB179="true",AND(BI179="false",BN179="false")),POWER(10,4.15*LOG10(_xlfn.XLOOKUP(B179,'Base stats'!B:B,'Base stats'!C:C)*1000)^-0.73),POWER(10,3.47*LOG10(_xlfn.XLOOKUP(B179,'Base stats'!B:B,'Base stats'!C:C)*1000)^-0.96))*IF(_xlfn.XLOOKUP(B179,'Base stats'!B:B,'Base stats'!AH:AH)=1,0.5,1)/100,0.025))))))</f>
        <v>No</v>
      </c>
      <c r="CA179" s="25" t="str">
        <f>IF(_xlfn.XLOOKUP(_xlfn.XLOOKUP(B179,'Base stats'!B:B,'Base stats'!E:E),Groups!A:A,Groups!AJ:AJ)="Mammal","True","False")</f>
        <v>True</v>
      </c>
      <c r="CB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C179" s="25" t="str">
        <f t="shared" si="54"/>
        <v>False</v>
      </c>
      <c r="CD179" s="25" t="str">
        <f>IF(_xlfn.XLOOKUP(_xlfn.XLOOKUP(B179,'Base stats'!B:B,'Base stats'!E:E),Groups!A:A,Groups!AX:AX),"True","False")</f>
        <v>False</v>
      </c>
      <c r="CE179" s="25" t="str">
        <f>IF(_xlfn.XLOOKUP(_xlfn.XLOOKUP(B179,'Base stats'!B:B,'Base stats'!E:E),Groups!A:A,Groups!AY:AY),"True","False")</f>
        <v>False</v>
      </c>
      <c r="CF179" s="25" t="str">
        <f>IF(_xlfn.XLOOKUP(_xlfn.XLOOKUP(B179,'Base stats'!B:B,'Base stats'!E:E),Groups!A:A,Groups!AW:AW),"True","False")</f>
        <v>False</v>
      </c>
      <c r="CG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H179" s="25" t="str">
        <f>IF(_xlfn.XLOOKUP(_xlfn.XLOOKUP(B179,'Base stats'!B:B,'Base stats'!E:E),Groups!A:A,Groups!BB:BB),"True","False")</f>
        <v>True</v>
      </c>
      <c r="CI179" s="25" t="str">
        <f>IF(_xlfn.XLOOKUP(_xlfn.XLOOKUP(B179,'Base stats'!B:B,'Base stats'!E:E),Groups!A:A,Groups!BA:BA),"True","False")</f>
        <v>False</v>
      </c>
    </row>
    <row r="180" spans="1:87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stats'!AI:AI)=0,BH180="None",_xlfn.XLOOKUP(_xlfn.XLOOKUP(B180,'Base stats'!B:B,'Base stats'!E:E),Groups!A:A,Groups!B:B)=0), (18 + BQ180 * 2.7) * 0.5,
    IF(AND(_xlfn.XLOOKUP(B180,'Base stats'!B:B,'Base stats'!AI:AI)=0,OR(AO180&lt;0.55,AND(BH180="Intermediate",_xlfn.XLOOKUP(_xlfn.XLOOKUP(B180,'Base stats'!B:B,'Base stats'!E:E),Groups!A:A,Groups!B:B)&lt;2))), (18 + BQ180 * 2.7),
      IF(OR(BH180="Advanced",_xlfn.XLOOKUP(B180,'Base stats'!B:B,'Base stats'!AI:AI)=1,_xlfn.XLOOKUP(_xlfn.XLOOKUP(B180,'Base stats'!B:B,'Base stats'!E:E),Groups!A:A,Groups!B:B)=2), (18 + BQ180 * 2.7) + 250, (18 + BQ180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stats'!AI:AI)=1,0.99,MIN(MROUND((1-0.6282*EXP(-0.459*AO180))*_xlfn.XLOOKUP(_xlfn.XLOOKUP(B180,'Base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W180)),ISNUMBER(SEARCH("IceSheet",BW180))),-50,IF(OR(ISNUMBER(SEARCH("GlacialPlain",BW180)),ISNUMBER(SEARCH("Tundra",BW180))),-40,IF(OR(ISNUMBER(SEARCH("Alpine",BW180)),ISNUMBER(SEARCH("BorealForest",BW180)),ISNUMBER(SEARCH("ColdBog",BW180))),-30,IF(OR(ISNUMBER(SEARCH("TemperateForest",BW180)),ISNUMBER(SEARCH("TemperateSwamp",BW180))),-20,IF(_xlfn.XLOOKUP(_xlfn.XLOOKUP(B180,'Base stats'!B:B,'Base stats'!E:E),Groups!A:A,Groups!F:F)=1,-15,IF(OR(ISNUMBER(SEARCH("Desert",BW180)),ISNUMBER(SEARCH("ExtremeDesert",BW180))),-10,IF(OR(ISNUMBER(SEARCH("Grasslands",BW180)),ISNUMBER(SEARCH("TropicalRainforest",BW180)),ISNUMBER(SEARCH("TropicalSwamp",BW180))),10,0)))))))-IF(CB180="False",MIN(IFERROR(MAX(MROUND(LOG10(_xlfn.XLOOKUP(B180,'Base stats'!B:B,'Base stats'!C:C)^(2/3))*10,5),5),5),30))-_xlfn.XLOOKUP(B180,'Base stats'!B:B,'Base stats'!P:P)+IF(CB180="True",5,0)</f>
        <v>5</v>
      </c>
      <c r="M180" s="2">
        <f>IF(OR(_xlfn.XLOOKUP(_xlfn.XLOOKUP(B180,'Base stats'!B:B,'Base stats'!E:E),Groups!A:A,Groups!G:G)=2,ISNUMBER(SEARCH("Desert",BW180)),ISNUMBER(SEARCH("ExtremeDesert",BW180)),ISNUMBER(SEARCH("LavaField",BW180))),50,IF(ISNUMBER(SEARCH("Grasslands",BW180)),45,IF(OR(_xlfn.XLOOKUP(_xlfn.XLOOKUP(B180,'Base stats'!B:B,'Base stats'!E:E),Groups!A:A,Groups!G:G)=1,ISNUMBER(SEARCH("TropicalRainforest",BW180)),ISNUMBER(SEARCH("TropicalSwamp",BW180))),40,IF(OR(ISNUMBER(SEARCH("TemperateForest",BW180)),ISNUMBER(SEARCH("TemperateSwamp",BW180))),35,IF(OR(ISNUMBER(SEARCH("Alpine",BW180)),ISNUMBER(SEARCH("BorealForest",BW180)),ISNUMBER(SEARCH("ColdBog",BW180))),30,IF(ISNUMBER(OR(ISNUMBER(SEARCH("GlacialPlain",BW180)),SEARCH("Tundra",BW180))),25,IF(OR(ISNUMBER(SEARCH("SeaIce",BW180)),ISNUMBER(SEARCH("IceSheet",BW180)),ISNUMBER(SEARCH("TropicalSwamp",BW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stats'!AO:AO))*(AO180^0.5)+(_xlfn.XLOOKUP(B180,'Base stats'!B:B,'Base stats'!AO:AO)/1000)^(2/3)+_xlfn.XLOOKUP(B180,'Base stats'!B:B,'Base stats'!AX:AX)/2)+0.5,0.5)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stats'!AP:AP))*(AO180^0.5)+(_xlfn.XLOOKUP(B180,'Base stats'!B:B,'Base stats'!AP:AP)/1000)^(2/3)+_xlfn.XLOOKUP(B180,'Base stats'!B:B,'Base stats'!AX:AX))+_xlfn.XLOOKUP(B180,'Base stats'!B:B,'Base stats'!AV:AV)+0.5,0.5))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stats'!AR:AR))*(AO180^0.5)+(_xlfn.XLOOKUP(B180,'Base stats'!B:B,'Base stats'!AR:AR)/1000)^(2/3)+_xlfn.XLOOKUP(B180,'Base stats'!B:B,'Base stats'!AW:AW))+0.5+IF(_xlfn.XLOOKUP(_xlfn.XLOOKUP(B180,'Base stats'!B:B,'Base stats'!E:E),Groups!A:A,Groups!U:U)&lt;&gt;3,_xlfn.XLOOKUP(B180,'Base stats'!B:B,'Base stats'!AX:AX),0),0.5))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stats'!AQ:AQ)="No","No",MROUND((LOG10(_xlfn.XLOOKUP(B180,'Base stats'!B:B,'Base stats'!AQ:AQ))*(AO180^0.75)+(_xlfn.XLOOKUP(B180,'Base stats'!B:B,'Base stats'!AQ:AQ)/1000)^(2/3)+_xlfn.XLOOKUP(B180,'Base stats'!B:B,'Base stats'!AU:AU)+_xlfn.XLOOKUP(B180,'Base stats'!B:B,'Base stats'!AX:AX))+0.5,0.5))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stats'!AP:AP))*(AO180^0.75)+(_xlfn.XLOOKUP(B180,'Base stats'!B:B,'Base stats'!AP:AP)/1000)^(2/3)+_xlfn.XLOOKUP(B180,'Base stats'!B:B,'Base stats'!AV:AV)+_xlfn.XLOOKUP(B180,'Base stats'!B:B,'Base stats'!AX:AX))+0.5,0.5))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8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MAX(0.01,MROUND(IF(CB180="True",0.196*(AO180*100*1000)^0.889,IF(_xlfn.XLOOKUP(_xlfn.XLOOKUP(B180,'Base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IF(OR(A180="Queen",A180="Larva",A180="Megachicken"),"No",IFERROR(MAX(IF(_xlfn.XLOOKUP(B180,'Base stats'!B:B,'Base stats'!G:G)&lt;0.5,0.2,0.3),MROUND(_xlfn.XLOOKUP(B180,'Base stats'!B:B,'Base stats'!G:G)/(365/60),0.2)),"Unknown"))</f>
        <v>0.4</v>
      </c>
      <c r="AU180" s="8">
        <f t="shared" si="49"/>
        <v>0.2</v>
      </c>
      <c r="AV180" s="8">
        <f>IFERROR(IFERROR(MROUND(_xlfn.XLOOKUP(B180,'Base stats'!B:B,'Base stats'!J:J),0.1),"Lay eggs"),"Cannot breed")</f>
        <v>1</v>
      </c>
      <c r="AW180" s="2" t="str">
        <f t="shared" si="50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stats'!AE:AE)</f>
        <v>Leather_Armadillo</v>
      </c>
      <c r="BB180" s="23" t="str">
        <f>_xlfn.XLOOKUP(_xlfn.XLOOKUP(B180,'Base stats'!B:B,'Base stats'!E:E),Groups!A:A,Groups!AL:AL)</f>
        <v>QuadrupedAnimalWithPawsAndTail</v>
      </c>
      <c r="BC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D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E180" s="2" t="str">
        <f>IF(J180&gt;0.3,"No",_xlfn.XLOOKUP(_xlfn.XLOOKUP(Animals!B180,'Base stats'!B:B,'Base stats'!E:E),Groups!A:A,Groups!AP:AP))</f>
        <v>No</v>
      </c>
      <c r="BF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+ 24*(1-IF(BE180="No",0,BE180)) + 16/3, 12),"No")</f>
        <v>No</v>
      </c>
      <c r="BG180" s="2">
        <f>IF(AND(_xlfn.XLOOKUP(_xlfn.XLOOKUP(B180,'Base stats'!B:B,'Base stats'!E:E),Groups!A:A,Groups!AQ:AQ)=1,AO180&lt;=0.35),8,12)</f>
        <v>12</v>
      </c>
      <c r="BH180" s="2" t="str">
        <f>IF(_xlfn.XLOOKUP(_xlfn.XLOOKUP(B180,'Base stats'!B:B,'Base stats'!E:E),Groups!A:A,Groups!D:D)=0,_xlfn.XLOOKUP(_xlfn.XLOOKUP(B180,'Base stats'!B:B,'Base stats'!E:E),Groups!A:A,Groups!AR:AR),"None")</f>
        <v>None</v>
      </c>
      <c r="BI180" s="2" t="str">
        <f>IF(AND(_xlfn.XLOOKUP(_xlfn.XLOOKUP(B180,'Base stats'!B:B,'Base stats'!E:E),Groups!A:A,Groups!AS:AS)=1,OR('Base stats'!Y180="Carnivore",'Base stats'!Y180="Omnivore")),"true","false")</f>
        <v>false</v>
      </c>
      <c r="BJ180" s="2" t="str">
        <f>IF(BI180="true",MROUND(IF(AND(AO180&gt;0.5,OR(_xlfn.XLOOKUP(_xlfn.XLOOKUP(B180,'Base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K180" s="2">
        <f t="shared" si="51"/>
        <v>0</v>
      </c>
      <c r="BL180" s="25" t="str">
        <f>IF(_xlfn.XLOOKUP(B180,'Base stats'!B:B,'Base stats'!AK:AK)="Standard","No",MROUND((_xlfn.XLOOKUP(B180,'Base stats'!B:B,'Base stats'!AK:AK)/3.6)/I180,0.1))</f>
        <v>No</v>
      </c>
      <c r="BM180" s="25" t="str">
        <f t="shared" si="52"/>
        <v>false</v>
      </c>
      <c r="BN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O180" s="25" t="str" cm="1">
        <f t="array" ref="BO180">IF(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 = "",
  "No",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
)</f>
        <v>No</v>
      </c>
      <c r="BP180" s="25" t="str">
        <f>IF(
   AND(
      'Base stats'!AK180="Standard",_xlfn.XLOOKUP(_xlfn.XLOOKUP(B180,'Base stats'!B:B,'Base stats'!E:E),Groups!A:A,Groups!AU:AU)=0,
      OR(
      BN180="True"
      )
   ),
   10,
   IF(
       OR(BL180&lt;&gt;"No",_xlfn.XLOOKUP(_xlfn.XLOOKUP(B180,'Base stats'!B:B,'Base stats'!E:E),Groups!A:A,Groups!AU:AU)=1),
      1,
      "No"
   )
)</f>
        <v>No</v>
      </c>
      <c r="BQ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stats'!AS:AS) * 1.8) * 2) * 2.5 + 10 + I180 * 2,5)+IF(_xlfn.XLOOKUP(B180,'Base stats'!B:B,'Base stats'!AH:AH)=1,50,0)</f>
        <v>65</v>
      </c>
      <c r="BR180" s="8">
        <f t="shared" si="53"/>
        <v>0.35000000000000003</v>
      </c>
      <c r="BS180" s="8" t="str">
        <f>_xlfn.XLOOKUP(B180,'Base stats'!B:B,'Base stats'!AD:AD)</f>
        <v>No</v>
      </c>
      <c r="BT180" s="2" t="str">
        <f>IF(AND(J180&lt;=0.95,OR(_xlfn.XLOOKUP(B180,'Base stats'!B:B,'Base stats'!AH:AH)=1,_xlfn.XLOOKUP(B180,'Base stats'!B:B,'Base stats'!Y:Y)="Carnivore",_xlfn.XLOOKUP(B180,'Base stats'!B:B,'Base stats'!Y:Y)="Omnivore",BD180&gt;0.1)),"true","false")</f>
        <v>true</v>
      </c>
      <c r="BU180" s="2" t="str">
        <f>IF(_xlfn.XLOOKUP(B180,'Base stats'!B:B,'Base stats'!AF:AF)=1,"true","false")</f>
        <v>false</v>
      </c>
      <c r="BV180" s="25" t="str">
        <f>IF(E180="BaseInsect","AnimalInsect",
IF(J180&gt;0.95,"AnimalExotic",
_xlfn.TEXTJOIN(", ",TRUE,
IF(OR(_xlfn.XLOOKUP(B180,'Base stats'!B:B,'Base stats'!AJ:AJ)=1,AND(_xlfn.XLOOKUP(B180,'Base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stats'!AH:AH)=1,AND(BH180&lt;&gt;"None",BQ180&gt;=60),ISNUMBER(SEARCH("Attack target",BO180))),"AnimalFighter","")
)))</f>
        <v>AnimalUncommon</v>
      </c>
      <c r="BW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),_xlfn.XLOOKUP(B180,B:B,BW:BW))</f>
        <v>AridShrubland Grasslands LavaField</v>
      </c>
      <c r="BX180" s="25" t="str">
        <f>IF(_xlfn.XLOOKUP(B180,'Base stats'!B:B,'Base stats'!AG:AG)=1,"true","false")</f>
        <v>false</v>
      </c>
      <c r="BY180" s="25">
        <f>IF(_xlfn.XLOOKUP(B180,'Base stats'!B:B,'Base stats'!N:N)=1,"No",MAX(0.01,MIN(MROUND(IF(OR(_xlfn.XLOOKUP(B180,'Base stats'!B:B,'Base stats'!AJ:AJ)=1,AND(BI180="True",CB180="False")),POWER(10,3.47*LOG10(_xlfn.XLOOKUP(B180,'Base stats'!B:B,'Base stats'!C:C)*1000)^-0.96),POWER(10,4.15*LOG10(_xlfn.XLOOKUP(B180,'Base stats'!B:B,'Base stats'!C:C)*1000)^-0.73))*IF(OR(_xlfn.XLOOKUP(B180,'Base stats'!B:B,'Base stats'!AJ:AJ)=1,_xlfn.XLOOKUP(B180,'Base stats'!B:B,'Base stats'!AH:AH)=1),0.5,1)/100,0.025),1)))</f>
        <v>0.05</v>
      </c>
      <c r="BZ180" s="25" t="str">
        <f>IF(P180="Standard","No",MAX(0.01,IF(_xlfn.XLOOKUP(B180,'Base stats'!B:B,'Base stats'!N:N)=0,MROUND(BY180*P180,0.05),MIN(1,MAX(0.025,MROUND(IF(OR(CB180="true",AND(BI180="false",BN180="false")),POWER(10,4.15*LOG10(_xlfn.XLOOKUP(B180,'Base stats'!B:B,'Base stats'!C:C)*1000)^-0.73),POWER(10,3.47*LOG10(_xlfn.XLOOKUP(B180,'Base stats'!B:B,'Base stats'!C:C)*1000)^-0.96))*IF(_xlfn.XLOOKUP(B180,'Base stats'!B:B,'Base stats'!AH:AH)=1,0.5,1)/100,0.025))))))</f>
        <v>No</v>
      </c>
      <c r="CA180" s="25" t="str">
        <f>IF(_xlfn.XLOOKUP(_xlfn.XLOOKUP(B180,'Base stats'!B:B,'Base stats'!E:E),Groups!A:A,Groups!AJ:AJ)="Mammal","True","False")</f>
        <v>True</v>
      </c>
      <c r="CB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C180" s="25" t="str">
        <f t="shared" si="54"/>
        <v>False</v>
      </c>
      <c r="CD180" s="25" t="str">
        <f>IF(_xlfn.XLOOKUP(_xlfn.XLOOKUP(B180,'Base stats'!B:B,'Base stats'!E:E),Groups!A:A,Groups!AX:AX),"True","False")</f>
        <v>False</v>
      </c>
      <c r="CE180" s="25" t="str">
        <f>IF(_xlfn.XLOOKUP(_xlfn.XLOOKUP(B180,'Base stats'!B:B,'Base stats'!E:E),Groups!A:A,Groups!AY:AY),"True","False")</f>
        <v>False</v>
      </c>
      <c r="CF180" s="25" t="str">
        <f>IF(_xlfn.XLOOKUP(_xlfn.XLOOKUP(B180,'Base stats'!B:B,'Base stats'!E:E),Groups!A:A,Groups!AW:AW),"True","False")</f>
        <v>False</v>
      </c>
      <c r="CG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H180" s="25" t="str">
        <f>IF(_xlfn.XLOOKUP(_xlfn.XLOOKUP(B180,'Base stats'!B:B,'Base stats'!E:E),Groups!A:A,Groups!BB:BB),"True","False")</f>
        <v>True</v>
      </c>
      <c r="CI180" s="25" t="str">
        <f>IF(_xlfn.XLOOKUP(_xlfn.XLOOKUP(B180,'Base stats'!B:B,'Base stats'!E:E),Groups!A:A,Groups!BA:BA),"True","False")</f>
        <v>False</v>
      </c>
    </row>
    <row r="181" spans="1:87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1290</v>
      </c>
      <c r="D181" s="28" t="s">
        <v>1245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stats'!AI:AI)=0,BH181="None",_xlfn.XLOOKUP(_xlfn.XLOOKUP(B181,'Base stats'!B:B,'Base stats'!E:E),Groups!A:A,Groups!B:B)=0), (18 + BQ181 * 2.7) * 0.5,
    IF(AND(_xlfn.XLOOKUP(B181,'Base stats'!B:B,'Base stats'!AI:AI)=0,OR(AO181&lt;0.55,AND(BH181="Intermediate",_xlfn.XLOOKUP(_xlfn.XLOOKUP(B181,'Base stats'!B:B,'Base stats'!E:E),Groups!A:A,Groups!B:B)&lt;2))), (18 + BQ181 * 2.7),
      IF(OR(BH181="Advanced",_xlfn.XLOOKUP(B181,'Base stats'!B:B,'Base stats'!AI:AI)=1,_xlfn.XLOOKUP(_xlfn.XLOOKUP(B181,'Base stats'!B:B,'Base stats'!E:E),Groups!A:A,Groups!B:B)=2), (18 + BQ181 * 2.7) + 250, (18 + BQ181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IF(_xlfn.XLOOKUP(B181,'Base stats'!B:B,'Base stats'!AI:AI)=1,0.99,MIN(MROUND((1-0.6282*EXP(-0.459*AO181))*_xlfn.XLOOKUP(_xlfn.XLOOKUP(B181,'Base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W181)),ISNUMBER(SEARCH("IceSheet",BW181))),-50,IF(OR(ISNUMBER(SEARCH("GlacialPlain",BW181)),ISNUMBER(SEARCH("Tundra",BW181))),-40,IF(OR(ISNUMBER(SEARCH("Alpine",BW181)),ISNUMBER(SEARCH("BorealForest",BW181)),ISNUMBER(SEARCH("ColdBog",BW181))),-30,IF(OR(ISNUMBER(SEARCH("TemperateForest",BW181)),ISNUMBER(SEARCH("TemperateSwamp",BW181))),-20,IF(_xlfn.XLOOKUP(_xlfn.XLOOKUP(B181,'Base stats'!B:B,'Base stats'!E:E),Groups!A:A,Groups!F:F)=1,-15,IF(OR(ISNUMBER(SEARCH("Desert",BW181)),ISNUMBER(SEARCH("ExtremeDesert",BW181))),-10,IF(OR(ISNUMBER(SEARCH("Grasslands",BW181)),ISNUMBER(SEARCH("TropicalRainforest",BW181)),ISNUMBER(SEARCH("TropicalSwamp",BW181))),10,0)))))))-IF(CB181="False",MIN(IFERROR(MAX(MROUND(LOG10(_xlfn.XLOOKUP(B181,'Base stats'!B:B,'Base stats'!C:C)^(2/3))*10,5),5),5),30))-_xlfn.XLOOKUP(B181,'Base stats'!B:B,'Base stats'!P:P)+IF(CB181="True",5,0)</f>
        <v>-35</v>
      </c>
      <c r="M181" s="2">
        <f>IF(OR(_xlfn.XLOOKUP(_xlfn.XLOOKUP(B181,'Base stats'!B:B,'Base stats'!E:E),Groups!A:A,Groups!G:G)=2,ISNUMBER(SEARCH("Desert",BW181)),ISNUMBER(SEARCH("ExtremeDesert",BW181)),ISNUMBER(SEARCH("LavaField",BW181))),50,IF(ISNUMBER(SEARCH("Grasslands",BW181)),45,IF(OR(_xlfn.XLOOKUP(_xlfn.XLOOKUP(B181,'Base stats'!B:B,'Base stats'!E:E),Groups!A:A,Groups!G:G)=1,ISNUMBER(SEARCH("TropicalRainforest",BW181)),ISNUMBER(SEARCH("TropicalSwamp",BW181))),40,IF(OR(ISNUMBER(SEARCH("TemperateForest",BW181)),ISNUMBER(SEARCH("TemperateSwamp",BW181))),35,IF(OR(ISNUMBER(SEARCH("Alpine",BW181)),ISNUMBER(SEARCH("BorealForest",BW181)),ISNUMBER(SEARCH("ColdBog",BW181))),30,IF(ISNUMBER(OR(ISNUMBER(SEARCH("GlacialPlain",BW181)),SEARCH("Tundra",BW181))),25,IF(OR(ISNUMBER(SEARCH("SeaIce",BW181)),ISNUMBER(SEARCH("IceSheet",BW181)),ISNUMBER(SEARCH("TropicalSwamp",BW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stats'!AO:AO))*(AO181^0.5)+(_xlfn.XLOOKUP(B181,'Base stats'!B:B,'Base stats'!AO:AO)/1000)^(2/3)+_xlfn.XLOOKUP(B181,'Base stats'!B:B,'Base stats'!AX:AX)/2)+0.5,0.5)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stats'!AP:AP))*(AO181^0.5)+(_xlfn.XLOOKUP(B181,'Base stats'!B:B,'Base stats'!AP:AP)/1000)^(2/3)+_xlfn.XLOOKUP(B181,'Base stats'!B:B,'Base stats'!AX:AX))+_xlfn.XLOOKUP(B181,'Base stats'!B:B,'Base stats'!AV:AV)+0.5,0.5))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stats'!AR:AR))*(AO181^0.5)+(_xlfn.XLOOKUP(B181,'Base stats'!B:B,'Base stats'!AR:AR)/1000)^(2/3)+_xlfn.XLOOKUP(B181,'Base stats'!B:B,'Base stats'!AW:AW))+0.5+IF(_xlfn.XLOOKUP(_xlfn.XLOOKUP(B181,'Base stats'!B:B,'Base stats'!E:E),Groups!A:A,Groups!U:U)&lt;&gt;3,_xlfn.XLOOKUP(B181,'Base stats'!B:B,'Base stats'!AX:AX),0),0.5))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stats'!AQ:AQ)="No","No",MROUND((LOG10(_xlfn.XLOOKUP(B181,'Base stats'!B:B,'Base stats'!AQ:AQ))*(AO181^0.75)+(_xlfn.XLOOKUP(B181,'Base stats'!B:B,'Base stats'!AQ:AQ)/1000)^(2/3)+_xlfn.XLOOKUP(B181,'Base stats'!B:B,'Base stats'!AU:AU)+_xlfn.XLOOKUP(B181,'Base stats'!B:B,'Base stats'!AX:AX))+0.5,0.5))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stats'!AP:AP))*(AO181^0.75)+(_xlfn.XLOOKUP(B181,'Base stats'!B:B,'Base stats'!AP:AP)/1000)^(2/3)+_xlfn.XLOOKUP(B181,'Base stats'!B:B,'Base stats'!AV:AV)+_xlfn.XLOOKUP(B181,'Base stats'!B:B,'Base stats'!AX:AX))+0.5,0.5))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5">IF(BI181="false","No",MROUND(AO181*5+15*1,5))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MAX(0.01,MROUND(IF(CB181="True",0.196*(AO181*100*1000)^0.889,IF(_xlfn.XLOOKUP(_xlfn.XLOOKUP(B181,'Base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IF(OR(A181="Queen",A181="Larva",A181="Megachicken"),"No",IFERROR(MAX(IF(_xlfn.XLOOKUP(B181,'Base stats'!B:B,'Base stats'!G:G)&lt;0.5,0.2,0.3),MROUND(_xlfn.XLOOKUP(B181,'Base stats'!B:B,'Base stats'!G:G)/(365/60),0.2)),"Unknown"))</f>
        <v>1</v>
      </c>
      <c r="AU181" s="8">
        <f t="shared" ref="AU181:AU191" si="56">IF(OR(A181="Queen",A181="Larva",A181="Megachicken"),"No",IFERROR(MROUND(AT181/2,0.05),"Unknown"))</f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7">IF(BS181="No","false","true")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stats'!AE:AE)</f>
        <v>Leather_Bear</v>
      </c>
      <c r="BB181" s="23" t="str">
        <f>_xlfn.XLOOKUP(_xlfn.XLOOKUP(B181,'Base stats'!B:B,'Base stats'!E:E),Groups!A:A,Groups!AL:AL)</f>
        <v>QuadrupedAnimalWithPaws</v>
      </c>
      <c r="BC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D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E181" s="2" t="str">
        <f>IF(J181&gt;0.3,"No",_xlfn.XLOOKUP(_xlfn.XLOOKUP(Animals!B181,'Base stats'!B:B,'Base stats'!E:E),Groups!A:A,Groups!AP:AP))</f>
        <v>No</v>
      </c>
      <c r="BF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+ 24*(1-IF(BE181="No",0,BE181)) + 16/3, 12),"No")</f>
        <v>No</v>
      </c>
      <c r="BG181" s="2">
        <f>IF(AND(_xlfn.XLOOKUP(_xlfn.XLOOKUP(B181,'Base stats'!B:B,'Base stats'!E:E),Groups!A:A,Groups!AQ:AQ)=1,AO181&lt;=0.35),8,12)</f>
        <v>12</v>
      </c>
      <c r="BH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I181" s="2" t="str">
        <f>IF(AND(_xlfn.XLOOKUP(_xlfn.XLOOKUP(B181,'Base stats'!B:B,'Base stats'!E:E),Groups!A:A,Groups!AS:AS)=1,OR('Base stats'!Y187="Carnivore",'Base stats'!Y187="Omnivore")),"true","false")</f>
        <v>false</v>
      </c>
      <c r="BJ181" s="2" t="str">
        <f>IF(BI181="true",MROUND(IF(AND(AO181&gt;0.5,OR(_xlfn.XLOOKUP(_xlfn.XLOOKUP(B181,'Base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K181" s="2">
        <f t="shared" ref="BK181:BK191" si="58">IF(BH181&lt;&gt;"None",1,0)</f>
        <v>1</v>
      </c>
      <c r="BL181" s="25" t="str">
        <f>IF(_xlfn.XLOOKUP(B181,'Base stats'!B:B,'Base stats'!AK:AK)="Standard","No",MROUND((_xlfn.XLOOKUP(B181,'Base stats'!B:B,'Base stats'!AK:AK)/3.6)/I181,0.1))</f>
        <v>No</v>
      </c>
      <c r="BM181" s="25" t="str">
        <f t="shared" ref="BM181:BM191" si="59">IF(OR(BL181&lt;&gt;"No",BP181=1),"true","false")</f>
        <v>false</v>
      </c>
      <c r="BN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O181" s="25" t="str" cm="1">
        <f t="array" ref="BO181">IF(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 = "",
  "No",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
)</f>
        <v>No</v>
      </c>
      <c r="BP181" s="25" t="str">
        <f>IF(
   AND(
      'Base stats'!AK187="Standard",_xlfn.XLOOKUP(_xlfn.XLOOKUP(B181,'Base stats'!B:B,'Base stats'!E:E),Groups!A:A,Groups!AU:AU)=0,
      OR(
      BN181="True"
      )
   ),
   10,
   IF(
       OR(BL181&lt;&gt;"No",_xlfn.XLOOKUP(_xlfn.XLOOKUP(B181,'Base stats'!B:B,'Base stats'!E:E),Groups!A:A,Groups!AU:AU)=1),
      1,
      "No"
   )
)</f>
        <v>No</v>
      </c>
      <c r="BQ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stats'!AS:AS) * 1.8) * 2) * 2.5 + 10 + I181 * 2,5)+IF(_xlfn.XLOOKUP(B181,'Base stats'!B:B,'Base stats'!AH:AH)=1,50,0)</f>
        <v>140</v>
      </c>
      <c r="BR181" s="8">
        <f t="shared" ref="BR181:BR191" si="60">MROUND(AO181 * 0.2 + AQ181 * 0.8,0.05)</f>
        <v>0.8</v>
      </c>
      <c r="BS181" s="8" t="str">
        <f>_xlfn.XLOOKUP(B181,'Base stats'!B:B,'Base stats'!AD:AD)</f>
        <v>No</v>
      </c>
      <c r="BT181" s="2" t="str">
        <f>IF(AND(J181&lt;=0.95,OR(_xlfn.XLOOKUP(B181,'Base stats'!B:B,'Base stats'!AH:AH)=1,_xlfn.XLOOKUP(B181,'Base stats'!B:B,'Base stats'!Y:Y)="Carnivore",_xlfn.XLOOKUP(B181,'Base stats'!B:B,'Base stats'!Y:Y)="Omnivore",BD181&gt;0.1)),"true","false")</f>
        <v>false</v>
      </c>
      <c r="BU181" s="2" t="str">
        <f>IF(_xlfn.XLOOKUP(B181,'Base stats'!B:B,'Base stats'!AF:AF)=1,"true","false")</f>
        <v>false</v>
      </c>
      <c r="BV181" s="25" t="str">
        <f>IF(E181="BaseInsect","AnimalInsect",
IF(J181&gt;0.95,"AnimalExotic",
_xlfn.TEXTJOIN(", ",TRUE,
IF(OR(_xlfn.XLOOKUP(B181,'Base stats'!B:B,'Base stats'!AJ:AJ)=1,AND(_xlfn.XLOOKUP(B181,'Base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stats'!AH:AH)=1,AND(BH181&lt;&gt;"None",BQ181&gt;=60),ISNUMBER(SEARCH("Attack target",BO181))),"AnimalFighter","")
)))</f>
        <v>AnimalUncommon, AnimalFighter</v>
      </c>
      <c r="BW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),_xlfn.XLOOKUP(B181,B:B,BW:BW))</f>
        <v>TemperateForest TemperateSwamp</v>
      </c>
      <c r="BX181" s="25" t="str">
        <f>IF(_xlfn.XLOOKUP(B181,'Base stats'!B:B,'Base stats'!AG:AG)=1,"true","false")</f>
        <v>false</v>
      </c>
      <c r="BY181" s="25">
        <f>IF(_xlfn.XLOOKUP(B181,'Base stats'!B:B,'Base stats'!N:N)=1,"No",MAX(0.01,MIN(MROUND(IF(OR(_xlfn.XLOOKUP(B181,'Base stats'!B:B,'Base stats'!AJ:AJ)=1,AND(BI181="True",CB181="False")),POWER(10,3.47*LOG10(_xlfn.XLOOKUP(B181,'Base stats'!B:B,'Base stats'!C:C)*1000)^-0.96),POWER(10,4.15*LOG10(_xlfn.XLOOKUP(B181,'Base stats'!B:B,'Base stats'!C:C)*1000)^-0.73))*IF(OR(_xlfn.XLOOKUP(B181,'Base stats'!B:B,'Base stats'!AJ:AJ)=1,_xlfn.XLOOKUP(B181,'Base stats'!B:B,'Base stats'!AH:AH)=1),0.5,1)/100,0.025),1)))</f>
        <v>2.5000000000000001E-2</v>
      </c>
      <c r="BZ181" s="25" t="str">
        <f>IF(P181="Standard","No",MAX(0.01,IF(_xlfn.XLOOKUP(B181,'Base stats'!B:B,'Base stats'!N:N)=0,MROUND(BY181*P181,0.05),MIN(1,MAX(0.025,MROUND(IF(OR(CB181="true",AND(BI181="false",BN181="false")),POWER(10,4.15*LOG10(_xlfn.XLOOKUP(B181,'Base stats'!B:B,'Base stats'!C:C)*1000)^-0.73),POWER(10,3.47*LOG10(_xlfn.XLOOKUP(B181,'Base stats'!B:B,'Base stats'!C:C)*1000)^-0.96))*IF(_xlfn.XLOOKUP(B181,'Base stats'!B:B,'Base stats'!AH:AH)=1,0.5,1)/100,0.025))))))</f>
        <v>No</v>
      </c>
      <c r="CA181" s="25" t="str">
        <f>IF(_xlfn.XLOOKUP(_xlfn.XLOOKUP(B181,'Base stats'!B:B,'Base stats'!E:E),Groups!A:A,Groups!AJ:AJ)="Mammal","True","False")</f>
        <v>True</v>
      </c>
      <c r="CB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C181" s="25" t="str">
        <f t="shared" ref="CC181:CC191" si="61">IF(J181&gt;0.95,"True","False")</f>
        <v>False</v>
      </c>
      <c r="CD181" s="25" t="str">
        <f>IF(_xlfn.XLOOKUP(_xlfn.XLOOKUP(B181,'Base stats'!B:B,'Base stats'!E:E),Groups!A:A,Groups!AX:AX),"True","False")</f>
        <v>False</v>
      </c>
      <c r="CE181" s="25" t="str">
        <f>IF(_xlfn.XLOOKUP(_xlfn.XLOOKUP(B181,'Base stats'!B:B,'Base stats'!E:E),Groups!A:A,Groups!AY:AY),"True","False")</f>
        <v>False</v>
      </c>
      <c r="CF181" s="25" t="str">
        <f>IF(_xlfn.XLOOKUP(_xlfn.XLOOKUP(B181,'Base stats'!B:B,'Base stats'!E:E),Groups!A:A,Groups!AW:AW),"True","False")</f>
        <v>False</v>
      </c>
      <c r="CG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H181" s="25" t="str">
        <f>IF(_xlfn.XLOOKUP(_xlfn.XLOOKUP(B181,'Base stats'!B:B,'Base stats'!E:E),Groups!A:A,Groups!BB:BB),"True","False")</f>
        <v>True</v>
      </c>
      <c r="CI181" s="25" t="str">
        <f>IF(_xlfn.XLOOKUP(_xlfn.XLOOKUP(B181,'Base stats'!B:B,'Base stats'!E:E),Groups!A:A,Groups!BA:BA),"True","False")</f>
        <v>False</v>
      </c>
    </row>
    <row r="182" spans="1:87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1292</v>
      </c>
      <c r="D182" s="28" t="s">
        <v>1163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stats'!AI:AI)=0,BH182="None",_xlfn.XLOOKUP(_xlfn.XLOOKUP(B182,'Base stats'!B:B,'Base stats'!E:E),Groups!A:A,Groups!B:B)=0), (18 + BQ182 * 2.7) * 0.5,
    IF(AND(_xlfn.XLOOKUP(B182,'Base stats'!B:B,'Base stats'!AI:AI)=0,OR(AO182&lt;0.55,AND(BH182="Intermediate",_xlfn.XLOOKUP(_xlfn.XLOOKUP(B182,'Base stats'!B:B,'Base stats'!E:E),Groups!A:A,Groups!B:B)&lt;2))), (18 + BQ182 * 2.7),
      IF(OR(BH182="Advanced",_xlfn.XLOOKUP(B182,'Base stats'!B:B,'Base stats'!AI:AI)=1,_xlfn.XLOOKUP(_xlfn.XLOOKUP(B182,'Base stats'!B:B,'Base stats'!E:E),Groups!A:A,Groups!B:B)=2), (18 + BQ182 * 2.7) + 250, (18 + BQ182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IF(_xlfn.XLOOKUP(B182,'Base stats'!B:B,'Base stats'!AI:AI)=1,0.99,MIN(MROUND((1-0.6282*EXP(-0.459*AO182))*_xlfn.XLOOKUP(_xlfn.XLOOKUP(B182,'Base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W182)),ISNUMBER(SEARCH("IceSheet",BW182))),-50,IF(OR(ISNUMBER(SEARCH("GlacialPlain",BW182)),ISNUMBER(SEARCH("Tundra",BW182))),-40,IF(OR(ISNUMBER(SEARCH("Alpine",BW182)),ISNUMBER(SEARCH("BorealForest",BW182)),ISNUMBER(SEARCH("ColdBog",BW182))),-30,IF(OR(ISNUMBER(SEARCH("TemperateForest",BW182)),ISNUMBER(SEARCH("TemperateSwamp",BW182))),-20,IF(_xlfn.XLOOKUP(_xlfn.XLOOKUP(B182,'Base stats'!B:B,'Base stats'!E:E),Groups!A:A,Groups!F:F)=1,-15,IF(OR(ISNUMBER(SEARCH("Desert",BW182)),ISNUMBER(SEARCH("ExtremeDesert",BW182))),-10,IF(OR(ISNUMBER(SEARCH("Grasslands",BW182)),ISNUMBER(SEARCH("TropicalRainforest",BW182)),ISNUMBER(SEARCH("TropicalSwamp",BW182))),10,0)))))))-IF(CB182="False",MIN(IFERROR(MAX(MROUND(LOG10(_xlfn.XLOOKUP(B182,'Base stats'!B:B,'Base stats'!C:C)^(2/3))*10,5),5),5),30))-_xlfn.XLOOKUP(B182,'Base stats'!B:B,'Base stats'!P:P)+IF(CB182="True",5,0)</f>
        <v>-25</v>
      </c>
      <c r="M182" s="2">
        <f>IF(OR(_xlfn.XLOOKUP(_xlfn.XLOOKUP(B182,'Base stats'!B:B,'Base stats'!E:E),Groups!A:A,Groups!G:G)=2,ISNUMBER(SEARCH("Desert",BW182)),ISNUMBER(SEARCH("ExtremeDesert",BW182)),ISNUMBER(SEARCH("LavaField",BW182))),50,IF(ISNUMBER(SEARCH("Grasslands",BW182)),45,IF(OR(_xlfn.XLOOKUP(_xlfn.XLOOKUP(B182,'Base stats'!B:B,'Base stats'!E:E),Groups!A:A,Groups!G:G)=1,ISNUMBER(SEARCH("TropicalRainforest",BW182)),ISNUMBER(SEARCH("TropicalSwamp",BW182))),40,IF(OR(ISNUMBER(SEARCH("TemperateForest",BW182)),ISNUMBER(SEARCH("TemperateSwamp",BW182))),35,IF(OR(ISNUMBER(SEARCH("Alpine",BW182)),ISNUMBER(SEARCH("BorealForest",BW182)),ISNUMBER(SEARCH("ColdBog",BW182))),30,IF(ISNUMBER(OR(ISNUMBER(SEARCH("GlacialPlain",BW182)),SEARCH("Tundra",BW182))),25,IF(OR(ISNUMBER(SEARCH("SeaIce",BW182)),ISNUMBER(SEARCH("IceSheet",BW182)),ISNUMBER(SEARCH("TropicalSwamp",BW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stats'!AO:AO))*(AO182^0.5)+(_xlfn.XLOOKUP(B182,'Base stats'!B:B,'Base stats'!AO:AO)/1000)^(2/3)+_xlfn.XLOOKUP(B182,'Base stats'!B:B,'Base stats'!AX:AX)/2)+0.5,0.5)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stats'!AP:AP))*(AO182^0.5)+(_xlfn.XLOOKUP(B182,'Base stats'!B:B,'Base stats'!AP:AP)/1000)^(2/3)+_xlfn.XLOOKUP(B182,'Base stats'!B:B,'Base stats'!AX:AX))+_xlfn.XLOOKUP(B182,'Base stats'!B:B,'Base stats'!AV:AV)+0.5,0.5))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stats'!AR:AR))*(AO182^0.5)+(_xlfn.XLOOKUP(B182,'Base stats'!B:B,'Base stats'!AR:AR)/1000)^(2/3)+_xlfn.XLOOKUP(B182,'Base stats'!B:B,'Base stats'!AW:AW))+0.5+IF(_xlfn.XLOOKUP(_xlfn.XLOOKUP(B182,'Base stats'!B:B,'Base stats'!E:E),Groups!A:A,Groups!U:U)&lt;&gt;3,_xlfn.XLOOKUP(B182,'Base stats'!B:B,'Base stats'!AX:AX),0),0.5))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stats'!AQ:AQ)="No","No",MROUND((LOG10(_xlfn.XLOOKUP(B182,'Base stats'!B:B,'Base stats'!AQ:AQ))*(AO182^0.75)+(_xlfn.XLOOKUP(B182,'Base stats'!B:B,'Base stats'!AQ:AQ)/1000)^(2/3)+_xlfn.XLOOKUP(B182,'Base stats'!B:B,'Base stats'!AU:AU)+_xlfn.XLOOKUP(B182,'Base stats'!B:B,'Base stats'!AX:AX))+0.5,0.5))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stats'!AP:AP))*(AO182^0.75)+(_xlfn.XLOOKUP(B182,'Base stats'!B:B,'Base stats'!AP:AP)/1000)^(2/3)+_xlfn.XLOOKUP(B182,'Base stats'!B:B,'Base stats'!AV:AV)+_xlfn.XLOOKUP(B182,'Base stats'!B:B,'Base stats'!AX:AX))+0.5,0.5))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5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MAX(0.01,MROUND(IF(CB182="True",0.196*(AO182*100*1000)^0.889,IF(_xlfn.XLOOKUP(_xlfn.XLOOKUP(B182,'Base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IF(OR(A182="Queen",A182="Larva",A182="Megachicken"),"No",IFERROR(MAX(IF(_xlfn.XLOOKUP(B182,'Base stats'!B:B,'Base stats'!G:G)&lt;0.5,0.2,0.3),MROUND(_xlfn.XLOOKUP(B182,'Base stats'!B:B,'Base stats'!G:G)/(365/60),0.2)),"Unknown"))</f>
        <v>0.3</v>
      </c>
      <c r="AU182" s="8">
        <f t="shared" si="56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7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stats'!AE:AE)</f>
        <v>No</v>
      </c>
      <c r="BB182" s="23" t="str">
        <f>_xlfn.XLOOKUP(_xlfn.XLOOKUP(B182,'Base stats'!B:B,'Base stats'!E:E),Groups!A:A,Groups!AL:AL)</f>
        <v>Bird</v>
      </c>
      <c r="BC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D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E182" s="2" t="str">
        <f>IF(J182&gt;0.3,"No",_xlfn.XLOOKUP(_xlfn.XLOOKUP(Animals!B182,'Base stats'!B:B,'Base stats'!E:E),Groups!A:A,Groups!AP:AP))</f>
        <v>No</v>
      </c>
      <c r="BF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+ 24*(1-IF(BE182="No",0,BE182)) + 16/3, 12),"No")</f>
        <v>No</v>
      </c>
      <c r="BG182" s="2">
        <f>IF(AND(_xlfn.XLOOKUP(_xlfn.XLOOKUP(B182,'Base stats'!B:B,'Base stats'!E:E),Groups!A:A,Groups!AQ:AQ)=1,AO182&lt;=0.35),8,12)</f>
        <v>8</v>
      </c>
      <c r="BH182" s="2" t="str">
        <f>IF(_xlfn.XLOOKUP(_xlfn.XLOOKUP(B182,'Base stats'!B:B,'Base stats'!E:E),Groups!A:A,Groups!D:D)=0,_xlfn.XLOOKUP(_xlfn.XLOOKUP(B182,'Base stats'!B:B,'Base stats'!E:E),Groups!A:A,Groups!AR:AR),"None")</f>
        <v>None</v>
      </c>
      <c r="BI182" s="2" t="str">
        <f>IF(AND(_xlfn.XLOOKUP(_xlfn.XLOOKUP(B182,'Base stats'!B:B,'Base stats'!E:E),Groups!A:A,Groups!AS:AS)=1,OR('Base stats'!Y188="Carnivore",'Base stats'!Y188="Omnivore")),"true","false")</f>
        <v>false</v>
      </c>
      <c r="BJ182" s="2" t="str">
        <f>IF(BI182="true",MROUND(IF(AND(AO182&gt;0.5,OR(_xlfn.XLOOKUP(_xlfn.XLOOKUP(B182,'Base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K182" s="2">
        <f t="shared" si="58"/>
        <v>0</v>
      </c>
      <c r="BL182" s="25" t="str">
        <f>IF(_xlfn.XLOOKUP(B182,'Base stats'!B:B,'Base stats'!AK:AK)="Standard","No",MROUND((_xlfn.XLOOKUP(B182,'Base stats'!B:B,'Base stats'!AK:AK)/3.6)/I182,0.1))</f>
        <v>No</v>
      </c>
      <c r="BM182" s="25" t="str">
        <f t="shared" si="59"/>
        <v>false</v>
      </c>
      <c r="BN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O182" s="25" t="str" cm="1">
        <f t="array" ref="BO182">IF(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 = "",
  "No",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
)</f>
        <v>No</v>
      </c>
      <c r="BP182" s="25" t="str">
        <f>IF(
   AND(
      'Base stats'!AK188="Standard",_xlfn.XLOOKUP(_xlfn.XLOOKUP(B182,'Base stats'!B:B,'Base stats'!E:E),Groups!A:A,Groups!AU:AU)=0,
      OR(
      BN182="True"
      )
   ),
   10,
   IF(
       OR(BL182&lt;&gt;"No",_xlfn.XLOOKUP(_xlfn.XLOOKUP(B182,'Base stats'!B:B,'Base stats'!E:E),Groups!A:A,Groups!AU:AU)=1),
      1,
      "No"
   )
)</f>
        <v>No</v>
      </c>
      <c r="BQ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stats'!AS:AS) * 1.8) * 2) * 2.5 + 10 + I182 * 2,5)+IF(_xlfn.XLOOKUP(B182,'Base stats'!B:B,'Base stats'!AH:AH)=1,50,0)</f>
        <v>20</v>
      </c>
      <c r="BR182" s="8">
        <f t="shared" si="60"/>
        <v>0.2</v>
      </c>
      <c r="BS182" s="8" t="str">
        <f>_xlfn.XLOOKUP(B182,'Base stats'!B:B,'Base stats'!AD:AD)</f>
        <v>3~8</v>
      </c>
      <c r="BT182" s="2" t="str">
        <f>IF(AND(J182&lt;=0.95,OR(_xlfn.XLOOKUP(B182,'Base stats'!B:B,'Base stats'!AH:AH)=1,_xlfn.XLOOKUP(B182,'Base stats'!B:B,'Base stats'!Y:Y)="Carnivore",_xlfn.XLOOKUP(B182,'Base stats'!B:B,'Base stats'!Y:Y)="Omnivore",BD182&gt;0.1)),"true","false")</f>
        <v>false</v>
      </c>
      <c r="BU182" s="2" t="str">
        <f>IF(_xlfn.XLOOKUP(B182,'Base stats'!B:B,'Base stats'!AF:AF)=1,"true","false")</f>
        <v>false</v>
      </c>
      <c r="BV182" s="25" t="str">
        <f>IF(E182="BaseInsect","AnimalInsect",
IF(J182&gt;0.95,"AnimalExotic",
_xlfn.TEXTJOIN(", ",TRUE,
IF(OR(_xlfn.XLOOKUP(B182,'Base stats'!B:B,'Base stats'!AJ:AJ)=1,AND(_xlfn.XLOOKUP(B182,'Base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stats'!AH:AH)=1,AND(BH182&lt;&gt;"None",BQ182&gt;=60),ISNUMBER(SEARCH("Attack target",BO182))),"AnimalFighter","")
)))</f>
        <v>AnimalCommon</v>
      </c>
      <c r="BW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),_xlfn.XLOOKUP(B182,B:B,BW:BW))</f>
        <v>TemperateForest TemperateSwamp AridShrubland Grasslands LavaField</v>
      </c>
      <c r="BX182" s="25" t="str">
        <f>IF(_xlfn.XLOOKUP(B182,'Base stats'!B:B,'Base stats'!AG:AG)=1,"true","false")</f>
        <v>false</v>
      </c>
      <c r="BY182" s="25">
        <f>IF(_xlfn.XLOOKUP(B182,'Base stats'!B:B,'Base stats'!N:N)=1,"No",MAX(0.01,MIN(MROUND(IF(OR(_xlfn.XLOOKUP(B182,'Base stats'!B:B,'Base stats'!AJ:AJ)=1,AND(BI182="True",CB182="False")),POWER(10,3.47*LOG10(_xlfn.XLOOKUP(B182,'Base stats'!B:B,'Base stats'!C:C)*1000)^-0.96),POWER(10,4.15*LOG10(_xlfn.XLOOKUP(B182,'Base stats'!B:B,'Base stats'!C:C)*1000)^-0.73))*IF(OR(_xlfn.XLOOKUP(B182,'Base stats'!B:B,'Base stats'!AJ:AJ)=1,_xlfn.XLOOKUP(B182,'Base stats'!B:B,'Base stats'!AH:AH)=1),0.5,1)/100,0.025),1)))</f>
        <v>1</v>
      </c>
      <c r="BZ182" s="25" t="str">
        <f>IF(P182="Standard","No",MAX(0.01,IF(_xlfn.XLOOKUP(B182,'Base stats'!B:B,'Base stats'!N:N)=0,MROUND(BY182*P182,0.05),MIN(1,MAX(0.025,MROUND(IF(OR(CB182="true",AND(BI182="false",BN182="false")),POWER(10,4.15*LOG10(_xlfn.XLOOKUP(B182,'Base stats'!B:B,'Base stats'!C:C)*1000)^-0.73),POWER(10,3.47*LOG10(_xlfn.XLOOKUP(B182,'Base stats'!B:B,'Base stats'!C:C)*1000)^-0.96))*IF(_xlfn.XLOOKUP(B182,'Base stats'!B:B,'Base stats'!AH:AH)=1,0.5,1)/100,0.025))))))</f>
        <v>No</v>
      </c>
      <c r="CA182" s="25" t="str">
        <f>IF(_xlfn.XLOOKUP(_xlfn.XLOOKUP(B182,'Base stats'!B:B,'Base stats'!E:E),Groups!A:A,Groups!AJ:AJ)="Mammal","True","False")</f>
        <v>False</v>
      </c>
      <c r="CB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C182" s="25" t="str">
        <f t="shared" si="61"/>
        <v>False</v>
      </c>
      <c r="CD182" s="25" t="str">
        <f>IF(_xlfn.XLOOKUP(_xlfn.XLOOKUP(B182,'Base stats'!B:B,'Base stats'!E:E),Groups!A:A,Groups!AX:AX),"True","False")</f>
        <v>False</v>
      </c>
      <c r="CE182" s="25" t="str">
        <f>IF(_xlfn.XLOOKUP(_xlfn.XLOOKUP(B182,'Base stats'!B:B,'Base stats'!E:E),Groups!A:A,Groups!AY:AY),"True","False")</f>
        <v>False</v>
      </c>
      <c r="CF182" s="25" t="str">
        <f>IF(_xlfn.XLOOKUP(_xlfn.XLOOKUP(B182,'Base stats'!B:B,'Base stats'!E:E),Groups!A:A,Groups!AW:AW),"True","False")</f>
        <v>False</v>
      </c>
      <c r="CG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H182" s="25" t="str">
        <f>IF(_xlfn.XLOOKUP(_xlfn.XLOOKUP(B182,'Base stats'!B:B,'Base stats'!E:E),Groups!A:A,Groups!BB:BB),"True","False")</f>
        <v>True</v>
      </c>
      <c r="CI182" s="25" t="str">
        <f>IF(_xlfn.XLOOKUP(_xlfn.XLOOKUP(B182,'Base stats'!B:B,'Base stats'!E:E),Groups!A:A,Groups!BA:BA),"True","False")</f>
        <v>False</v>
      </c>
    </row>
    <row r="183" spans="1:87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1291</v>
      </c>
      <c r="D183" s="28" t="s">
        <v>1163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stats'!AI:AI)=0,BH183="None",_xlfn.XLOOKUP(_xlfn.XLOOKUP(B183,'Base stats'!B:B,'Base stats'!E:E),Groups!A:A,Groups!B:B)=0), (18 + BQ183 * 2.7) * 0.5,
    IF(AND(_xlfn.XLOOKUP(B183,'Base stats'!B:B,'Base stats'!AI:AI)=0,OR(AO183&lt;0.55,AND(BH183="Intermediate",_xlfn.XLOOKUP(_xlfn.XLOOKUP(B183,'Base stats'!B:B,'Base stats'!E:E),Groups!A:A,Groups!B:B)&lt;2))), (18 + BQ183 * 2.7),
      IF(OR(BH183="Advanced",_xlfn.XLOOKUP(B183,'Base stats'!B:B,'Base stats'!AI:AI)=1,_xlfn.XLOOKUP(_xlfn.XLOOKUP(B183,'Base stats'!B:B,'Base stats'!E:E),Groups!A:A,Groups!B:B)=2), (18 + BQ183 * 2.7) + 250, (18 + BQ183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IF(_xlfn.XLOOKUP(B183,'Base stats'!B:B,'Base stats'!AI:AI)=1,0.99,MIN(MROUND((1-0.6282*EXP(-0.459*AO183))*_xlfn.XLOOKUP(_xlfn.XLOOKUP(B183,'Base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W183)),ISNUMBER(SEARCH("IceSheet",BW183))),-50,IF(OR(ISNUMBER(SEARCH("GlacialPlain",BW183)),ISNUMBER(SEARCH("Tundra",BW183))),-40,IF(OR(ISNUMBER(SEARCH("Alpine",BW183)),ISNUMBER(SEARCH("BorealForest",BW183)),ISNUMBER(SEARCH("ColdBog",BW183))),-30,IF(OR(ISNUMBER(SEARCH("TemperateForest",BW183)),ISNUMBER(SEARCH("TemperateSwamp",BW183))),-20,IF(_xlfn.XLOOKUP(_xlfn.XLOOKUP(B183,'Base stats'!B:B,'Base stats'!E:E),Groups!A:A,Groups!F:F)=1,-15,IF(OR(ISNUMBER(SEARCH("Desert",BW183)),ISNUMBER(SEARCH("ExtremeDesert",BW183))),-10,IF(OR(ISNUMBER(SEARCH("Grasslands",BW183)),ISNUMBER(SEARCH("TropicalRainforest",BW183)),ISNUMBER(SEARCH("TropicalSwamp",BW183))),10,0)))))))-IF(CB183="False",MIN(IFERROR(MAX(MROUND(LOG10(_xlfn.XLOOKUP(B183,'Base stats'!B:B,'Base stats'!C:C)^(2/3))*10,5),5),5),30))-_xlfn.XLOOKUP(B183,'Base stats'!B:B,'Base stats'!P:P)+IF(CB183="True",5,0)</f>
        <v>-35</v>
      </c>
      <c r="M183" s="2">
        <f>IF(OR(_xlfn.XLOOKUP(_xlfn.XLOOKUP(B183,'Base stats'!B:B,'Base stats'!E:E),Groups!A:A,Groups!G:G)=2,ISNUMBER(SEARCH("Desert",BW183)),ISNUMBER(SEARCH("ExtremeDesert",BW183)),ISNUMBER(SEARCH("LavaField",BW183))),50,IF(ISNUMBER(SEARCH("Grasslands",BW183)),45,IF(OR(_xlfn.XLOOKUP(_xlfn.XLOOKUP(B183,'Base stats'!B:B,'Base stats'!E:E),Groups!A:A,Groups!G:G)=1,ISNUMBER(SEARCH("TropicalRainforest",BW183)),ISNUMBER(SEARCH("TropicalSwamp",BW183))),40,IF(OR(ISNUMBER(SEARCH("TemperateForest",BW183)),ISNUMBER(SEARCH("TemperateSwamp",BW183))),35,IF(OR(ISNUMBER(SEARCH("Alpine",BW183)),ISNUMBER(SEARCH("BorealForest",BW183)),ISNUMBER(SEARCH("ColdBog",BW183))),30,IF(ISNUMBER(OR(ISNUMBER(SEARCH("GlacialPlain",BW183)),SEARCH("Tundra",BW183))),25,IF(OR(ISNUMBER(SEARCH("SeaIce",BW183)),ISNUMBER(SEARCH("IceSheet",BW183)),ISNUMBER(SEARCH("TropicalSwamp",BW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stats'!AO:AO))*(AO183^0.5)+(_xlfn.XLOOKUP(B183,'Base stats'!B:B,'Base stats'!AO:AO)/1000)^(2/3)+_xlfn.XLOOKUP(B183,'Base stats'!B:B,'Base stats'!AX:AX)/2)+0.5,0.5)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stats'!AP:AP))*(AO183^0.5)+(_xlfn.XLOOKUP(B183,'Base stats'!B:B,'Base stats'!AP:AP)/1000)^(2/3)+_xlfn.XLOOKUP(B183,'Base stats'!B:B,'Base stats'!AX:AX))+_xlfn.XLOOKUP(B183,'Base stats'!B:B,'Base stats'!AV:AV)+0.5,0.5))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stats'!AR:AR))*(AO183^0.5)+(_xlfn.XLOOKUP(B183,'Base stats'!B:B,'Base stats'!AR:AR)/1000)^(2/3)+_xlfn.XLOOKUP(B183,'Base stats'!B:B,'Base stats'!AW:AW))+0.5+IF(_xlfn.XLOOKUP(_xlfn.XLOOKUP(B183,'Base stats'!B:B,'Base stats'!E:E),Groups!A:A,Groups!U:U)&lt;&gt;3,_xlfn.XLOOKUP(B183,'Base stats'!B:B,'Base stats'!AX:AX),0),0.5))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stats'!AQ:AQ)="No","No",MROUND((LOG10(_xlfn.XLOOKUP(B183,'Base stats'!B:B,'Base stats'!AQ:AQ))*(AO183^0.75)+(_xlfn.XLOOKUP(B183,'Base stats'!B:B,'Base stats'!AQ:AQ)/1000)^(2/3)+_xlfn.XLOOKUP(B183,'Base stats'!B:B,'Base stats'!AU:AU)+_xlfn.XLOOKUP(B183,'Base stats'!B:B,'Base stats'!AX:AX))+0.5,0.5))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stats'!AP:AP))*(AO183^0.75)+(_xlfn.XLOOKUP(B183,'Base stats'!B:B,'Base stats'!AP:AP)/1000)^(2/3)+_xlfn.XLOOKUP(B183,'Base stats'!B:B,'Base stats'!AV:AV)+_xlfn.XLOOKUP(B183,'Base stats'!B:B,'Base stats'!AX:AX))+0.5,0.5))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5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MAX(0.01,MROUND(IF(CB183="True",0.196*(AO183*100*1000)^0.889,IF(_xlfn.XLOOKUP(_xlfn.XLOOKUP(B183,'Base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IF(OR(A183="Queen",A183="Larva",A183="Megachicken"),"No",IFERROR(MAX(IF(_xlfn.XLOOKUP(B183,'Base stats'!B:B,'Base stats'!G:G)&lt;0.5,0.2,0.3),MROUND(_xlfn.XLOOKUP(B183,'Base stats'!B:B,'Base stats'!G:G)/(365/60),0.2)),"Unknown"))</f>
        <v>0.4</v>
      </c>
      <c r="AU183" s="8">
        <f t="shared" si="56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7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stats'!AE:AE)</f>
        <v>No</v>
      </c>
      <c r="BB183" s="23" t="str">
        <f>_xlfn.XLOOKUP(_xlfn.XLOOKUP(B183,'Base stats'!B:B,'Base stats'!E:E),Groups!A:A,Groups!AL:AL)</f>
        <v>Bird</v>
      </c>
      <c r="BC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D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E183" s="2" t="str">
        <f>IF(J183&gt;0.3,"No",_xlfn.XLOOKUP(_xlfn.XLOOKUP(Animals!B183,'Base stats'!B:B,'Base stats'!E:E),Groups!A:A,Groups!AP:AP))</f>
        <v>No</v>
      </c>
      <c r="BF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+ 24*(1-IF(BE183="No",0,BE183)) + 16/3, 12),"No")</f>
        <v>No</v>
      </c>
      <c r="BG183" s="2">
        <f>IF(AND(_xlfn.XLOOKUP(_xlfn.XLOOKUP(B183,'Base stats'!B:B,'Base stats'!E:E),Groups!A:A,Groups!AQ:AQ)=1,AO183&lt;=0.35),8,12)</f>
        <v>12</v>
      </c>
      <c r="BH183" s="2" t="str">
        <f>IF(_xlfn.XLOOKUP(_xlfn.XLOOKUP(B183,'Base stats'!B:B,'Base stats'!E:E),Groups!A:A,Groups!D:D)=0,_xlfn.XLOOKUP(_xlfn.XLOOKUP(B183,'Base stats'!B:B,'Base stats'!E:E),Groups!A:A,Groups!AR:AR),"None")</f>
        <v>None</v>
      </c>
      <c r="BI183" s="2" t="str">
        <f>IF(AND(_xlfn.XLOOKUP(_xlfn.XLOOKUP(B183,'Base stats'!B:B,'Base stats'!E:E),Groups!A:A,Groups!AS:AS)=1,OR('Base stats'!Y189="Carnivore",'Base stats'!Y189="Omnivore")),"true","false")</f>
        <v>false</v>
      </c>
      <c r="BJ183" s="2" t="str">
        <f>IF(BI183="true",MROUND(IF(AND(AO183&gt;0.5,OR(_xlfn.XLOOKUP(_xlfn.XLOOKUP(B183,'Base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K183" s="2">
        <f t="shared" si="58"/>
        <v>0</v>
      </c>
      <c r="BL183" s="25" t="str">
        <f>IF(_xlfn.XLOOKUP(B183,'Base stats'!B:B,'Base stats'!AK:AK)="Standard","No",MROUND((_xlfn.XLOOKUP(B183,'Base stats'!B:B,'Base stats'!AK:AK)/3.6)/I183,0.1))</f>
        <v>No</v>
      </c>
      <c r="BM183" s="25" t="str">
        <f t="shared" si="59"/>
        <v>true</v>
      </c>
      <c r="BN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O183" s="25" t="str" cm="1">
        <f t="array" ref="BO183">IF(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 = "",
  "No",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
)</f>
        <v>No</v>
      </c>
      <c r="BP183" s="25">
        <f>IF(
   AND(
      'Base stats'!AK189="Standard",_xlfn.XLOOKUP(_xlfn.XLOOKUP(B183,'Base stats'!B:B,'Base stats'!E:E),Groups!A:A,Groups!AU:AU)=0,
      OR(
      BN183="True"
      )
   ),
   10,
   IF(
       OR(BL183&lt;&gt;"No",_xlfn.XLOOKUP(_xlfn.XLOOKUP(B183,'Base stats'!B:B,'Base stats'!E:E),Groups!A:A,Groups!AU:AU)=1),
      1,
      "No"
   )
)</f>
        <v>1</v>
      </c>
      <c r="BQ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stats'!AS:AS) * 1.8) * 2) * 2.5 + 10 + I183 * 2,5)+IF(_xlfn.XLOOKUP(B183,'Base stats'!B:B,'Base stats'!AH:AH)=1,50,0)</f>
        <v>35</v>
      </c>
      <c r="BR183" s="8">
        <f t="shared" si="60"/>
        <v>0.4</v>
      </c>
      <c r="BS183" s="8" t="str">
        <f>_xlfn.XLOOKUP(B183,'Base stats'!B:B,'Base stats'!AD:AD)</f>
        <v>No</v>
      </c>
      <c r="BT183" s="2" t="str">
        <f>IF(AND(J183&lt;=0.95,OR(_xlfn.XLOOKUP(B183,'Base stats'!B:B,'Base stats'!AH:AH)=1,_xlfn.XLOOKUP(B183,'Base stats'!B:B,'Base stats'!Y:Y)="Carnivore",_xlfn.XLOOKUP(B183,'Base stats'!B:B,'Base stats'!Y:Y)="Omnivore",BD183&gt;0.1)),"true","false")</f>
        <v>false</v>
      </c>
      <c r="BU183" s="2" t="str">
        <f>IF(_xlfn.XLOOKUP(B183,'Base stats'!B:B,'Base stats'!AF:AF)=1,"true","false")</f>
        <v>false</v>
      </c>
      <c r="BV183" s="25" t="str">
        <f>IF(E183="BaseInsect","AnimalInsect",
IF(J183&gt;0.95,"AnimalExotic",
_xlfn.TEXTJOIN(", ",TRUE,
IF(OR(_xlfn.XLOOKUP(B183,'Base stats'!B:B,'Base stats'!AJ:AJ)=1,AND(_xlfn.XLOOKUP(B183,'Base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stats'!AH:AH)=1,AND(BH183&lt;&gt;"None",BQ183&gt;=60),ISNUMBER(SEARCH("Attack target",BO183))),"AnimalFighter","")
)))</f>
        <v>AnimalUncommon</v>
      </c>
      <c r="BW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),_xlfn.XLOOKUP(B183,B:B,BW:BW))</f>
        <v>ColdBog TemperateSwamp</v>
      </c>
      <c r="BX183" s="25" t="str">
        <f>IF(_xlfn.XLOOKUP(B183,'Base stats'!B:B,'Base stats'!AG:AG)=1,"true","false")</f>
        <v>false</v>
      </c>
      <c r="BY183" s="25">
        <f>IF(_xlfn.XLOOKUP(B183,'Base stats'!B:B,'Base stats'!N:N)=1,"No",MAX(0.01,MIN(MROUND(IF(OR(_xlfn.XLOOKUP(B183,'Base stats'!B:B,'Base stats'!AJ:AJ)=1,AND(BI183="True",CB183="False")),POWER(10,3.47*LOG10(_xlfn.XLOOKUP(B183,'Base stats'!B:B,'Base stats'!C:C)*1000)^-0.96),POWER(10,4.15*LOG10(_xlfn.XLOOKUP(B183,'Base stats'!B:B,'Base stats'!C:C)*1000)^-0.73))*IF(OR(_xlfn.XLOOKUP(B183,'Base stats'!B:B,'Base stats'!AJ:AJ)=1,_xlfn.XLOOKUP(B183,'Base stats'!B:B,'Base stats'!AH:AH)=1),0.5,1)/100,0.025),1)))</f>
        <v>0.32500000000000001</v>
      </c>
      <c r="BZ183" s="25" t="str">
        <f>IF(P183="Standard","No",MAX(0.01,IF(_xlfn.XLOOKUP(B183,'Base stats'!B:B,'Base stats'!N:N)=0,MROUND(BY183*P183,0.05),MIN(1,MAX(0.025,MROUND(IF(OR(CB183="true",AND(BI183="false",BN183="false")),POWER(10,4.15*LOG10(_xlfn.XLOOKUP(B183,'Base stats'!B:B,'Base stats'!C:C)*1000)^-0.73),POWER(10,3.47*LOG10(_xlfn.XLOOKUP(B183,'Base stats'!B:B,'Base stats'!C:C)*1000)^-0.96))*IF(_xlfn.XLOOKUP(B183,'Base stats'!B:B,'Base stats'!AH:AH)=1,0.5,1)/100,0.025))))))</f>
        <v>No</v>
      </c>
      <c r="CA183" s="25" t="str">
        <f>IF(_xlfn.XLOOKUP(_xlfn.XLOOKUP(B183,'Base stats'!B:B,'Base stats'!E:E),Groups!A:A,Groups!AJ:AJ)="Mammal","True","False")</f>
        <v>False</v>
      </c>
      <c r="CB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C183" s="25" t="str">
        <f t="shared" si="61"/>
        <v>False</v>
      </c>
      <c r="CD183" s="25" t="str">
        <f>IF(_xlfn.XLOOKUP(_xlfn.XLOOKUP(B183,'Base stats'!B:B,'Base stats'!E:E),Groups!A:A,Groups!AX:AX),"True","False")</f>
        <v>False</v>
      </c>
      <c r="CE183" s="25" t="str">
        <f>IF(_xlfn.XLOOKUP(_xlfn.XLOOKUP(B183,'Base stats'!B:B,'Base stats'!E:E),Groups!A:A,Groups!AY:AY),"True","False")</f>
        <v>False</v>
      </c>
      <c r="CF183" s="25" t="str">
        <f>IF(_xlfn.XLOOKUP(_xlfn.XLOOKUP(B183,'Base stats'!B:B,'Base stats'!E:E),Groups!A:A,Groups!AW:AW),"True","False")</f>
        <v>False</v>
      </c>
      <c r="CG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H183" s="25" t="str">
        <f>IF(_xlfn.XLOOKUP(_xlfn.XLOOKUP(B183,'Base stats'!B:B,'Base stats'!E:E),Groups!A:A,Groups!BB:BB),"True","False")</f>
        <v>True</v>
      </c>
      <c r="CI183" s="25" t="str">
        <f>IF(_xlfn.XLOOKUP(_xlfn.XLOOKUP(B183,'Base stats'!B:B,'Base stats'!E:E),Groups!A:A,Groups!BA:BA),"True","False")</f>
        <v>False</v>
      </c>
    </row>
    <row r="184" spans="1:87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1293</v>
      </c>
      <c r="D184" s="28" t="s">
        <v>1163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stats'!AI:AI)=0,BH184="None",_xlfn.XLOOKUP(_xlfn.XLOOKUP(B184,'Base stats'!B:B,'Base stats'!E:E),Groups!A:A,Groups!B:B)=0), (18 + BQ184 * 2.7) * 0.5,
    IF(AND(_xlfn.XLOOKUP(B184,'Base stats'!B:B,'Base stats'!AI:AI)=0,OR(AO184&lt;0.55,AND(BH184="Intermediate",_xlfn.XLOOKUP(_xlfn.XLOOKUP(B184,'Base stats'!B:B,'Base stats'!E:E),Groups!A:A,Groups!B:B)&lt;2))), (18 + BQ184 * 2.7),
      IF(OR(BH184="Advanced",_xlfn.XLOOKUP(B184,'Base stats'!B:B,'Base stats'!AI:AI)=1,_xlfn.XLOOKUP(_xlfn.XLOOKUP(B184,'Base stats'!B:B,'Base stats'!E:E),Groups!A:A,Groups!B:B)=2), (18 + BQ184 * 2.7) + 250, (18 + BQ184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IF(_xlfn.XLOOKUP(B184,'Base stats'!B:B,'Base stats'!AI:AI)=1,0.99,MIN(MROUND((1-0.6282*EXP(-0.459*AO184))*_xlfn.XLOOKUP(_xlfn.XLOOKUP(B184,'Base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W184)),ISNUMBER(SEARCH("IceSheet",BW184))),-50,IF(OR(ISNUMBER(SEARCH("GlacialPlain",BW184)),ISNUMBER(SEARCH("Tundra",BW184))),-40,IF(OR(ISNUMBER(SEARCH("Alpine",BW184)),ISNUMBER(SEARCH("BorealForest",BW184)),ISNUMBER(SEARCH("ColdBog",BW184))),-30,IF(OR(ISNUMBER(SEARCH("TemperateForest",BW184)),ISNUMBER(SEARCH("TemperateSwamp",BW184))),-20,IF(_xlfn.XLOOKUP(_xlfn.XLOOKUP(B184,'Base stats'!B:B,'Base stats'!E:E),Groups!A:A,Groups!F:F)=1,-15,IF(OR(ISNUMBER(SEARCH("Desert",BW184)),ISNUMBER(SEARCH("ExtremeDesert",BW184))),-10,IF(OR(ISNUMBER(SEARCH("Grasslands",BW184)),ISNUMBER(SEARCH("TropicalRainforest",BW184)),ISNUMBER(SEARCH("TropicalSwamp",BW184))),10,0)))))))-IF(CB184="False",MIN(IFERROR(MAX(MROUND(LOG10(_xlfn.XLOOKUP(B184,'Base stats'!B:B,'Base stats'!C:C)^(2/3))*10,5),5),5),30))-_xlfn.XLOOKUP(B184,'Base stats'!B:B,'Base stats'!P:P)+IF(CB184="True",5,0)</f>
        <v>5</v>
      </c>
      <c r="M184" s="2">
        <f>IF(OR(_xlfn.XLOOKUP(_xlfn.XLOOKUP(B184,'Base stats'!B:B,'Base stats'!E:E),Groups!A:A,Groups!G:G)=2,ISNUMBER(SEARCH("Desert",BW184)),ISNUMBER(SEARCH("ExtremeDesert",BW184)),ISNUMBER(SEARCH("LavaField",BW184))),50,IF(ISNUMBER(SEARCH("Grasslands",BW184)),45,IF(OR(_xlfn.XLOOKUP(_xlfn.XLOOKUP(B184,'Base stats'!B:B,'Base stats'!E:E),Groups!A:A,Groups!G:G)=1,ISNUMBER(SEARCH("TropicalRainforest",BW184)),ISNUMBER(SEARCH("TropicalSwamp",BW184))),40,IF(OR(ISNUMBER(SEARCH("TemperateForest",BW184)),ISNUMBER(SEARCH("TemperateSwamp",BW184))),35,IF(OR(ISNUMBER(SEARCH("Alpine",BW184)),ISNUMBER(SEARCH("BorealForest",BW184)),ISNUMBER(SEARCH("ColdBog",BW184))),30,IF(ISNUMBER(OR(ISNUMBER(SEARCH("GlacialPlain",BW184)),SEARCH("Tundra",BW184))),25,IF(OR(ISNUMBER(SEARCH("SeaIce",BW184)),ISNUMBER(SEARCH("IceSheet",BW184)),ISNUMBER(SEARCH("TropicalSwamp",BW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stats'!AO:AO))*(AO184^0.5)+(_xlfn.XLOOKUP(B184,'Base stats'!B:B,'Base stats'!AO:AO)/1000)^(2/3)+_xlfn.XLOOKUP(B184,'Base stats'!B:B,'Base stats'!AX:AX)/2)+0.5,0.5)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stats'!AP:AP))*(AO184^0.5)+(_xlfn.XLOOKUP(B184,'Base stats'!B:B,'Base stats'!AP:AP)/1000)^(2/3)+_xlfn.XLOOKUP(B184,'Base stats'!B:B,'Base stats'!AX:AX))+_xlfn.XLOOKUP(B184,'Base stats'!B:B,'Base stats'!AV:AV)+0.5,0.5))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stats'!AR:AR))*(AO184^0.5)+(_xlfn.XLOOKUP(B184,'Base stats'!B:B,'Base stats'!AR:AR)/1000)^(2/3)+_xlfn.XLOOKUP(B184,'Base stats'!B:B,'Base stats'!AW:AW))+0.5+IF(_xlfn.XLOOKUP(_xlfn.XLOOKUP(B184,'Base stats'!B:B,'Base stats'!E:E),Groups!A:A,Groups!U:U)&lt;&gt;3,_xlfn.XLOOKUP(B184,'Base stats'!B:B,'Base stats'!AX:AX),0),0.5))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stats'!AQ:AQ)="No","No",MROUND((LOG10(_xlfn.XLOOKUP(B184,'Base stats'!B:B,'Base stats'!AQ:AQ))*(AO184^0.75)+(_xlfn.XLOOKUP(B184,'Base stats'!B:B,'Base stats'!AQ:AQ)/1000)^(2/3)+_xlfn.XLOOKUP(B184,'Base stats'!B:B,'Base stats'!AU:AU)+_xlfn.XLOOKUP(B184,'Base stats'!B:B,'Base stats'!AX:AX))+0.5,0.5))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stats'!AP:AP))*(AO184^0.75)+(_xlfn.XLOOKUP(B184,'Base stats'!B:B,'Base stats'!AP:AP)/1000)^(2/3)+_xlfn.XLOOKUP(B184,'Base stats'!B:B,'Base stats'!AV:AV)+_xlfn.XLOOKUP(B184,'Base stats'!B:B,'Base stats'!AX:AX))+0.5,0.5))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5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MAX(0.01,MROUND(IF(CB184="True",0.196*(AO184*100*1000)^0.889,IF(_xlfn.XLOOKUP(_xlfn.XLOOKUP(B184,'Base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IF(OR(A184="Queen",A184="Larva",A184="Megachicken"),"No",IFERROR(MAX(IF(_xlfn.XLOOKUP(B184,'Base stats'!B:B,'Base stats'!G:G)&lt;0.5,0.2,0.3),MROUND(_xlfn.XLOOKUP(B184,'Base stats'!B:B,'Base stats'!G:G)/(365/60),0.2)),"Unknown"))</f>
        <v>0.4</v>
      </c>
      <c r="AU184" s="8">
        <f t="shared" si="56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7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stats'!AE:AE)</f>
        <v>No</v>
      </c>
      <c r="BB184" s="23" t="str">
        <f>_xlfn.XLOOKUP(_xlfn.XLOOKUP(B184,'Base stats'!B:B,'Base stats'!E:E),Groups!A:A,Groups!AL:AL)</f>
        <v>Bird</v>
      </c>
      <c r="BC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D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E184" s="2" t="str">
        <f>IF(J184&gt;0.3,"No",_xlfn.XLOOKUP(_xlfn.XLOOKUP(Animals!B184,'Base stats'!B:B,'Base stats'!E:E),Groups!A:A,Groups!AP:AP))</f>
        <v>No</v>
      </c>
      <c r="BF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+ 24*(1-IF(BE184="No",0,BE184)) + 16/3, 12),"No")</f>
        <v>No</v>
      </c>
      <c r="BG184" s="2">
        <f>IF(AND(_xlfn.XLOOKUP(_xlfn.XLOOKUP(B184,'Base stats'!B:B,'Base stats'!E:E),Groups!A:A,Groups!AQ:AQ)=1,AO184&lt;=0.35),8,12)</f>
        <v>8</v>
      </c>
      <c r="BH184" s="2" t="str">
        <f>IF(_xlfn.XLOOKUP(_xlfn.XLOOKUP(B184,'Base stats'!B:B,'Base stats'!E:E),Groups!A:A,Groups!D:D)=0,_xlfn.XLOOKUP(_xlfn.XLOOKUP(B184,'Base stats'!B:B,'Base stats'!E:E),Groups!A:A,Groups!AR:AR),"None")</f>
        <v>None</v>
      </c>
      <c r="BI184" s="2" t="str">
        <f>IF(AND(_xlfn.XLOOKUP(_xlfn.XLOOKUP(B184,'Base stats'!B:B,'Base stats'!E:E),Groups!A:A,Groups!AS:AS)=1,OR('Base stats'!Y193="Carnivore",'Base stats'!Y193="Omnivore")),"true","false")</f>
        <v>false</v>
      </c>
      <c r="BJ184" s="2" t="str">
        <f>IF(BI184="true",MROUND(IF(AND(AO184&gt;0.5,OR(_xlfn.XLOOKUP(_xlfn.XLOOKUP(B184,'Base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K184" s="2">
        <f t="shared" si="58"/>
        <v>0</v>
      </c>
      <c r="BL184" s="25" t="str">
        <f>IF(_xlfn.XLOOKUP(B184,'Base stats'!B:B,'Base stats'!AK:AK)="Standard","No",MROUND((_xlfn.XLOOKUP(B184,'Base stats'!B:B,'Base stats'!AK:AK)/3.6)/I184,0.1))</f>
        <v>No</v>
      </c>
      <c r="BM184" s="25" t="str">
        <f t="shared" si="59"/>
        <v>false</v>
      </c>
      <c r="BN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O184" s="25" t="str" cm="1">
        <f t="array" ref="BO184">IF(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 = "",
  "No",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
)</f>
        <v>No</v>
      </c>
      <c r="BP184" s="25" t="str">
        <f>IF(
   AND(
      'Base stats'!AK193="Standard",_xlfn.XLOOKUP(_xlfn.XLOOKUP(B184,'Base stats'!B:B,'Base stats'!E:E),Groups!A:A,Groups!AU:AU)=0,
      OR(
      BN184="True"
      )
   ),
   10,
   IF(
       OR(BL184&lt;&gt;"No",_xlfn.XLOOKUP(_xlfn.XLOOKUP(B184,'Base stats'!B:B,'Base stats'!E:E),Groups!A:A,Groups!AU:AU)=1),
      1,
      "No"
   )
)</f>
        <v>No</v>
      </c>
      <c r="BQ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stats'!AS:AS) * 1.8) * 2) * 2.5 + 10 + I184 * 2,5)+IF(_xlfn.XLOOKUP(B184,'Base stats'!B:B,'Base stats'!AH:AH)=1,50,0)</f>
        <v>30</v>
      </c>
      <c r="BR184" s="8">
        <f t="shared" si="60"/>
        <v>0.35000000000000003</v>
      </c>
      <c r="BS184" s="8" t="str">
        <f>_xlfn.XLOOKUP(B184,'Base stats'!B:B,'Base stats'!AD:AD)</f>
        <v>2~6</v>
      </c>
      <c r="BT184" s="2" t="str">
        <f>IF(AND(J184&lt;=0.95,OR(_xlfn.XLOOKUP(B184,'Base stats'!B:B,'Base stats'!AH:AH)=1,_xlfn.XLOOKUP(B184,'Base stats'!B:B,'Base stats'!Y:Y)="Carnivore",_xlfn.XLOOKUP(B184,'Base stats'!B:B,'Base stats'!Y:Y)="Omnivore",BD184&gt;0.1)),"true","false")</f>
        <v>false</v>
      </c>
      <c r="BU184" s="2" t="str">
        <f>IF(_xlfn.XLOOKUP(B184,'Base stats'!B:B,'Base stats'!AF:AF)=1,"true","false")</f>
        <v>false</v>
      </c>
      <c r="BV184" s="25" t="str">
        <f>IF(E184="BaseInsect","AnimalInsect",
IF(J184&gt;0.95,"AnimalExotic",
_xlfn.TEXTJOIN(", ",TRUE,
IF(OR(_xlfn.XLOOKUP(B184,'Base stats'!B:B,'Base stats'!AJ:AJ)=1,AND(_xlfn.XLOOKUP(B184,'Base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stats'!AH:AH)=1,AND(BH184&lt;&gt;"None",BQ184&gt;=60),ISNUMBER(SEARCH("Attack target",BO184))),"AnimalFighter","")
)))</f>
        <v>AnimalCommon</v>
      </c>
      <c r="BW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),_xlfn.XLOOKUP(B184,B:B,BW:BW))</f>
        <v>TropicalRainforest TropicalSwamp Glowforest</v>
      </c>
      <c r="BX184" s="25" t="str">
        <f>IF(_xlfn.XLOOKUP(B184,'Base stats'!B:B,'Base stats'!AG:AG)=1,"true","false")</f>
        <v>false</v>
      </c>
      <c r="BY184" s="25">
        <f>IF(_xlfn.XLOOKUP(B184,'Base stats'!B:B,'Base stats'!N:N)=1,"No",MAX(0.01,MIN(MROUND(IF(OR(_xlfn.XLOOKUP(B184,'Base stats'!B:B,'Base stats'!AJ:AJ)=1,AND(BI184="True",CB184="False")),POWER(10,3.47*LOG10(_xlfn.XLOOKUP(B184,'Base stats'!B:B,'Base stats'!C:C)*1000)^-0.96),POWER(10,4.15*LOG10(_xlfn.XLOOKUP(B184,'Base stats'!B:B,'Base stats'!C:C)*1000)^-0.73))*IF(OR(_xlfn.XLOOKUP(B184,'Base stats'!B:B,'Base stats'!AJ:AJ)=1,_xlfn.XLOOKUP(B184,'Base stats'!B:B,'Base stats'!AH:AH)=1),0.5,1)/100,0.025),1)))</f>
        <v>0.42500000000000004</v>
      </c>
      <c r="BZ184" s="25" t="str">
        <f>IF(P184="Standard","No",MAX(0.01,IF(_xlfn.XLOOKUP(B184,'Base stats'!B:B,'Base stats'!N:N)=0,MROUND(BY184*P184,0.05),MIN(1,MAX(0.025,MROUND(IF(OR(CB184="true",AND(BI184="false",BN184="false")),POWER(10,4.15*LOG10(_xlfn.XLOOKUP(B184,'Base stats'!B:B,'Base stats'!C:C)*1000)^-0.73),POWER(10,3.47*LOG10(_xlfn.XLOOKUP(B184,'Base stats'!B:B,'Base stats'!C:C)*1000)^-0.96))*IF(_xlfn.XLOOKUP(B184,'Base stats'!B:B,'Base stats'!AH:AH)=1,0.5,1)/100,0.025))))))</f>
        <v>No</v>
      </c>
      <c r="CA184" s="25" t="str">
        <f>IF(_xlfn.XLOOKUP(_xlfn.XLOOKUP(B184,'Base stats'!B:B,'Base stats'!E:E),Groups!A:A,Groups!AJ:AJ)="Mammal","True","False")</f>
        <v>False</v>
      </c>
      <c r="CB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C184" s="25" t="str">
        <f t="shared" si="61"/>
        <v>False</v>
      </c>
      <c r="CD184" s="25" t="str">
        <f>IF(_xlfn.XLOOKUP(_xlfn.XLOOKUP(B184,'Base stats'!B:B,'Base stats'!E:E),Groups!A:A,Groups!AX:AX),"True","False")</f>
        <v>False</v>
      </c>
      <c r="CE184" s="25" t="str">
        <f>IF(_xlfn.XLOOKUP(_xlfn.XLOOKUP(B184,'Base stats'!B:B,'Base stats'!E:E),Groups!A:A,Groups!AY:AY),"True","False")</f>
        <v>False</v>
      </c>
      <c r="CF184" s="25" t="str">
        <f>IF(_xlfn.XLOOKUP(_xlfn.XLOOKUP(B184,'Base stats'!B:B,'Base stats'!E:E),Groups!A:A,Groups!AW:AW),"True","False")</f>
        <v>False</v>
      </c>
      <c r="CG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H184" s="25" t="str">
        <f>IF(_xlfn.XLOOKUP(_xlfn.XLOOKUP(B184,'Base stats'!B:B,'Base stats'!E:E),Groups!A:A,Groups!BB:BB),"True","False")</f>
        <v>True</v>
      </c>
      <c r="CI184" s="25" t="str">
        <f>IF(_xlfn.XLOOKUP(_xlfn.XLOOKUP(B184,'Base stats'!B:B,'Base stats'!E:E),Groups!A:A,Groups!BA:BA),"True","False")</f>
        <v>False</v>
      </c>
    </row>
    <row r="185" spans="1:87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1283</v>
      </c>
      <c r="D185" s="28" t="s">
        <v>884</v>
      </c>
      <c r="E185" s="28" t="s">
        <v>685</v>
      </c>
      <c r="F185" s="28" t="s">
        <v>702</v>
      </c>
      <c r="G185" s="28" t="s">
        <v>1284</v>
      </c>
      <c r="H185" s="2">
        <f>MROUND((
  (IF(AND(_xlfn.XLOOKUP(B185,'Base stats'!B:B,'Base stats'!AI:AI)=0,BH185="None",_xlfn.XLOOKUP(_xlfn.XLOOKUP(B185,'Base stats'!B:B,'Base stats'!E:E),Groups!A:A,Groups!B:B)=0), (18 + BQ185 * 2.7) * 0.5,
    IF(AND(_xlfn.XLOOKUP(B185,'Base stats'!B:B,'Base stats'!AI:AI)=0,OR(AO185&lt;0.55,AND(BH185="Intermediate",_xlfn.XLOOKUP(_xlfn.XLOOKUP(B185,'Base stats'!B:B,'Base stats'!E:E),Groups!A:A,Groups!B:B)&lt;2))), (18 + BQ185 * 2.7),
      IF(OR(BH185="Advanced",_xlfn.XLOOKUP(B185,'Base stats'!B:B,'Base stats'!AI:AI)=1,_xlfn.XLOOKUP(_xlfn.XLOOKUP(B185,'Base stats'!B:B,'Base stats'!E:E),Groups!A:A,Groups!B:B)=2), (18 + BQ185 * 2.7) + 250, (18 + BQ185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IF(_xlfn.XLOOKUP(B185,'Base stats'!B:B,'Base stats'!AI:AI)=1,0.99,MIN(MROUND((1-0.6282*EXP(-0.459*AO185))*_xlfn.XLOOKUP(_xlfn.XLOOKUP(B185,'Base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W185)),ISNUMBER(SEARCH("IceSheet",BW185))),-50,IF(OR(ISNUMBER(SEARCH("GlacialPlain",BW185)),ISNUMBER(SEARCH("Tundra",BW185))),-40,IF(OR(ISNUMBER(SEARCH("Alpine",BW185)),ISNUMBER(SEARCH("BorealForest",BW185)),ISNUMBER(SEARCH("ColdBog",BW185))),-30,IF(OR(ISNUMBER(SEARCH("TemperateForest",BW185)),ISNUMBER(SEARCH("TemperateSwamp",BW185))),-20,IF(_xlfn.XLOOKUP(_xlfn.XLOOKUP(B185,'Base stats'!B:B,'Base stats'!E:E),Groups!A:A,Groups!F:F)=1,-15,IF(OR(ISNUMBER(SEARCH("Desert",BW185)),ISNUMBER(SEARCH("ExtremeDesert",BW185))),-10,IF(OR(ISNUMBER(SEARCH("Grasslands",BW185)),ISNUMBER(SEARCH("TropicalRainforest",BW185)),ISNUMBER(SEARCH("TropicalSwamp",BW185))),10,0)))))))-IF(CB185="False",MIN(IFERROR(MAX(MROUND(LOG10(_xlfn.XLOOKUP(B185,'Base stats'!B:B,'Base stats'!C:C)^(2/3))*10,5),5),5),30))-_xlfn.XLOOKUP(B185,'Base stats'!B:B,'Base stats'!P:P)+IF(CB185="True",5,0)</f>
        <v>-30</v>
      </c>
      <c r="M185" s="2">
        <f>IF(OR(_xlfn.XLOOKUP(_xlfn.XLOOKUP(B185,'Base stats'!B:B,'Base stats'!E:E),Groups!A:A,Groups!G:G)=2,ISNUMBER(SEARCH("Desert",BW185)),ISNUMBER(SEARCH("ExtremeDesert",BW185)),ISNUMBER(SEARCH("LavaField",BW185))),50,IF(ISNUMBER(SEARCH("Grasslands",BW185)),45,IF(OR(_xlfn.XLOOKUP(_xlfn.XLOOKUP(B185,'Base stats'!B:B,'Base stats'!E:E),Groups!A:A,Groups!G:G)=1,ISNUMBER(SEARCH("TropicalRainforest",BW185)),ISNUMBER(SEARCH("TropicalSwamp",BW185))),40,IF(OR(ISNUMBER(SEARCH("TemperateForest",BW185)),ISNUMBER(SEARCH("TemperateSwamp",BW185))),35,IF(OR(ISNUMBER(SEARCH("Alpine",BW185)),ISNUMBER(SEARCH("BorealForest",BW185)),ISNUMBER(SEARCH("ColdBog",BW185))),30,IF(ISNUMBER(OR(ISNUMBER(SEARCH("GlacialPlain",BW185)),SEARCH("Tundra",BW185))),25,IF(OR(ISNUMBER(SEARCH("SeaIce",BW185)),ISNUMBER(SEARCH("IceSheet",BW185)),ISNUMBER(SEARCH("TropicalSwamp",BW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stats'!AO:AO))*(AO185^0.5)+(_xlfn.XLOOKUP(B185,'Base stats'!B:B,'Base stats'!AO:AO)/1000)^(2/3)+_xlfn.XLOOKUP(B185,'Base stats'!B:B,'Base stats'!AX:AX)/2)+0.5,0.5)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stats'!AP:AP))*(AO185^0.5)+(_xlfn.XLOOKUP(B185,'Base stats'!B:B,'Base stats'!AP:AP)/1000)^(2/3)+_xlfn.XLOOKUP(B185,'Base stats'!B:B,'Base stats'!AX:AX))+_xlfn.XLOOKUP(B185,'Base stats'!B:B,'Base stats'!AV:AV)+0.5,0.5))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stats'!AR:AR))*(AO185^0.5)+(_xlfn.XLOOKUP(B185,'Base stats'!B:B,'Base stats'!AR:AR)/1000)^(2/3)+_xlfn.XLOOKUP(B185,'Base stats'!B:B,'Base stats'!AW:AW))+0.5+IF(_xlfn.XLOOKUP(_xlfn.XLOOKUP(B185,'Base stats'!B:B,'Base stats'!E:E),Groups!A:A,Groups!U:U)&lt;&gt;3,_xlfn.XLOOKUP(B185,'Base stats'!B:B,'Base stats'!AX:AX),0),0.5))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stats'!AQ:AQ)="No","No",MROUND((LOG10(_xlfn.XLOOKUP(B185,'Base stats'!B:B,'Base stats'!AQ:AQ))*(AO185^0.75)+(_xlfn.XLOOKUP(B185,'Base stats'!B:B,'Base stats'!AQ:AQ)/1000)^(2/3)+_xlfn.XLOOKUP(B185,'Base stats'!B:B,'Base stats'!AU:AU)+_xlfn.XLOOKUP(B185,'Base stats'!B:B,'Base stats'!AX:AX))+0.5,0.5))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stats'!AP:AP))*(AO185^0.75)+(_xlfn.XLOOKUP(B185,'Base stats'!B:B,'Base stats'!AP:AP)/1000)^(2/3)+_xlfn.XLOOKUP(B185,'Base stats'!B:B,'Base stats'!AV:AV)+_xlfn.XLOOKUP(B185,'Base stats'!B:B,'Base stats'!AX:AX))+0.5,0.5))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 t="str">
        <f t="shared" si="55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MAX(0.01,MROUND(IF(CB185="True",0.196*(AO185*100*1000)^0.889,IF(_xlfn.XLOOKUP(_xlfn.XLOOKUP(B185,'Base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56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7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stats'!AE:AE)</f>
        <v>Leather_Panthera</v>
      </c>
      <c r="BB185" s="23" t="str">
        <f>_xlfn.XLOOKUP(_xlfn.XLOOKUP(B185,'Base stats'!B:B,'Base stats'!E:E),Groups!A:A,Groups!AL:AL)</f>
        <v>QuadrupedAnimalWithPawsAndTail</v>
      </c>
      <c r="BC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D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E185" s="2" t="str">
        <f>IF(J185&gt;0.3,"No",_xlfn.XLOOKUP(_xlfn.XLOOKUP(Animals!B185,'Base stats'!B:B,'Base stats'!E:E),Groups!A:A,Groups!AP:AP))</f>
        <v>No</v>
      </c>
      <c r="BF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+ 24*(1-IF(BE185="No",0,BE185)) + 16/3, 12),"No")</f>
        <v>No</v>
      </c>
      <c r="BG185" s="2">
        <f>IF(AND(_xlfn.XLOOKUP(_xlfn.XLOOKUP(B185,'Base stats'!B:B,'Base stats'!E:E),Groups!A:A,Groups!AQ:AQ)=1,AO185&lt;=0.35),8,12)</f>
        <v>12</v>
      </c>
      <c r="BH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I185" s="2" t="str">
        <f>IF(AND(_xlfn.XLOOKUP(_xlfn.XLOOKUP(B185,'Base stats'!B:B,'Base stats'!E:E),Groups!A:A,Groups!AS:AS)=1,OR('Base stats'!Y181="Carnivore",'Base stats'!Y181="Omnivore")),"true","false")</f>
        <v>false</v>
      </c>
      <c r="BJ185" s="2" t="str">
        <f>IF(BI185="true",MROUND(IF(AND(AO185&gt;0.5,OR(_xlfn.XLOOKUP(_xlfn.XLOOKUP(B185,'Base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K185" s="2">
        <f t="shared" si="58"/>
        <v>1</v>
      </c>
      <c r="BL185" s="25" t="str">
        <f>IF(_xlfn.XLOOKUP(B185,'Base stats'!B:B,'Base stats'!AK:AK)="Standard","No",MROUND((_xlfn.XLOOKUP(B185,'Base stats'!B:B,'Base stats'!AK:AK)/3.6)/I185,0.1))</f>
        <v>No</v>
      </c>
      <c r="BM185" s="25" t="str">
        <f t="shared" si="59"/>
        <v>false</v>
      </c>
      <c r="BN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O185" s="25" t="str" cm="1">
        <f t="array" ref="BO185">IF(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 = "",
  "No",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
)</f>
        <v>No</v>
      </c>
      <c r="BP185" s="25" t="str">
        <f>IF(
   AND(
      'Base stats'!AK181="Standard",_xlfn.XLOOKUP(_xlfn.XLOOKUP(B185,'Base stats'!B:B,'Base stats'!E:E),Groups!A:A,Groups!AU:AU)=0,
      OR(
      BN185="True"
      )
   ),
   10,
   IF(
       OR(BL185&lt;&gt;"No",_xlfn.XLOOKUP(_xlfn.XLOOKUP(B185,'Base stats'!B:B,'Base stats'!E:E),Groups!A:A,Groups!AU:AU)=1),
      1,
      "No"
   )
)</f>
        <v>No</v>
      </c>
      <c r="BQ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stats'!AS:AS) * 1.8) * 2) * 2.5 + 10 + I185 * 2,5)+IF(_xlfn.XLOOKUP(B185,'Base stats'!B:B,'Base stats'!AH:AH)=1,50,0)</f>
        <v>210</v>
      </c>
      <c r="BR185" s="8">
        <f t="shared" si="60"/>
        <v>1</v>
      </c>
      <c r="BS185" s="8" t="str">
        <f>_xlfn.XLOOKUP(B185,'Base stats'!B:B,'Base stats'!AD:AD)</f>
        <v>No</v>
      </c>
      <c r="BT185" s="2" t="str">
        <f>IF(AND(J185&lt;=0.95,OR(_xlfn.XLOOKUP(B185,'Base stats'!B:B,'Base stats'!AH:AH)=1,_xlfn.XLOOKUP(B185,'Base stats'!B:B,'Base stats'!Y:Y)="Carnivore",_xlfn.XLOOKUP(B185,'Base stats'!B:B,'Base stats'!Y:Y)="Omnivore",BD185&gt;0.1)),"true","false")</f>
        <v>true</v>
      </c>
      <c r="BU185" s="2" t="str">
        <f>IF(_xlfn.XLOOKUP(B185,'Base stats'!B:B,'Base stats'!AF:AF)=1,"true","false")</f>
        <v>false</v>
      </c>
      <c r="BV185" s="25" t="str">
        <f>IF(E185="BaseInsect","AnimalInsect",
IF(J185&gt;0.95,"AnimalExotic",
_xlfn.TEXTJOIN(", ",TRUE,
IF(OR(_xlfn.XLOOKUP(B185,'Base stats'!B:B,'Base stats'!AJ:AJ)=1,AND(_xlfn.XLOOKUP(B185,'Base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stats'!AH:AH)=1,AND(BH185&lt;&gt;"None",BQ185&gt;=60),ISNUMBER(SEARCH("Attack target",BO185))),"AnimalFighter","")
)))</f>
        <v>AnimalUncommon, AnimalFighter</v>
      </c>
      <c r="BW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),_xlfn.XLOOKUP(B185,B:B,BW:BW))</f>
        <v>TropicalRainforest TropicalSwamp Glowforest</v>
      </c>
      <c r="BX185" s="25" t="str">
        <f>IF(_xlfn.XLOOKUP(B185,'Base stats'!B:B,'Base stats'!AG:AG)=1,"true","false")</f>
        <v>false</v>
      </c>
      <c r="BY185" s="25">
        <f>IF(_xlfn.XLOOKUP(B185,'Base stats'!B:B,'Base stats'!N:N)=1,"No",MAX(0.01,MIN(MROUND(IF(OR(_xlfn.XLOOKUP(B185,'Base stats'!B:B,'Base stats'!AJ:AJ)=1,AND(BI185="True",CB185="False")),POWER(10,3.47*LOG10(_xlfn.XLOOKUP(B185,'Base stats'!B:B,'Base stats'!C:C)*1000)^-0.96),POWER(10,4.15*LOG10(_xlfn.XLOOKUP(B185,'Base stats'!B:B,'Base stats'!C:C)*1000)^-0.73))*IF(OR(_xlfn.XLOOKUP(B185,'Base stats'!B:B,'Base stats'!AJ:AJ)=1,_xlfn.XLOOKUP(B185,'Base stats'!B:B,'Base stats'!AH:AH)=1),0.5,1)/100,0.025),1)))</f>
        <v>0.17500000000000002</v>
      </c>
      <c r="BZ185" s="25" t="str">
        <f>IF(P185="Standard","No",MAX(0.01,IF(_xlfn.XLOOKUP(B185,'Base stats'!B:B,'Base stats'!N:N)=0,MROUND(BY185*P185,0.05),MIN(1,MAX(0.025,MROUND(IF(OR(CB185="true",AND(BI185="false",BN185="false")),POWER(10,4.15*LOG10(_xlfn.XLOOKUP(B185,'Base stats'!B:B,'Base stats'!C:C)*1000)^-0.73),POWER(10,3.47*LOG10(_xlfn.XLOOKUP(B185,'Base stats'!B:B,'Base stats'!C:C)*1000)^-0.96))*IF(_xlfn.XLOOKUP(B185,'Base stats'!B:B,'Base stats'!AH:AH)=1,0.5,1)/100,0.025))))))</f>
        <v>No</v>
      </c>
      <c r="CA185" s="25" t="str">
        <f>IF(_xlfn.XLOOKUP(_xlfn.XLOOKUP(B185,'Base stats'!B:B,'Base stats'!E:E),Groups!A:A,Groups!AJ:AJ)="Mammal","True","False")</f>
        <v>True</v>
      </c>
      <c r="CB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C185" s="25" t="str">
        <f t="shared" si="61"/>
        <v>False</v>
      </c>
      <c r="CD185" s="25" t="str">
        <f>IF(_xlfn.XLOOKUP(_xlfn.XLOOKUP(B185,'Base stats'!B:B,'Base stats'!E:E),Groups!A:A,Groups!AX:AX),"True","False")</f>
        <v>False</v>
      </c>
      <c r="CE185" s="25" t="str">
        <f>IF(_xlfn.XLOOKUP(_xlfn.XLOOKUP(B185,'Base stats'!B:B,'Base stats'!E:E),Groups!A:A,Groups!AY:AY),"True","False")</f>
        <v>False</v>
      </c>
      <c r="CF185" s="25" t="str">
        <f>IF(_xlfn.XLOOKUP(_xlfn.XLOOKUP(B185,'Base stats'!B:B,'Base stats'!E:E),Groups!A:A,Groups!AW:AW),"True","False")</f>
        <v>False</v>
      </c>
      <c r="CG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H185" s="25" t="str">
        <f>IF(_xlfn.XLOOKUP(_xlfn.XLOOKUP(B185,'Base stats'!B:B,'Base stats'!E:E),Groups!A:A,Groups!BB:BB),"True","False")</f>
        <v>True</v>
      </c>
      <c r="CI185" s="25" t="str">
        <f>IF(_xlfn.XLOOKUP(_xlfn.XLOOKUP(B185,'Base stats'!B:B,'Base stats'!E:E),Groups!A:A,Groups!BA:BA),"True","False")</f>
        <v>False</v>
      </c>
    </row>
    <row r="186" spans="1:87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1285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stats'!AI:AI)=0,BH186="None",_xlfn.XLOOKUP(_xlfn.XLOOKUP(B186,'Base stats'!B:B,'Base stats'!E:E),Groups!A:A,Groups!B:B)=0), (18 + BQ186 * 2.7) * 0.5,
    IF(AND(_xlfn.XLOOKUP(B186,'Base stats'!B:B,'Base stats'!AI:AI)=0,OR(AO186&lt;0.55,AND(BH186="Intermediate",_xlfn.XLOOKUP(_xlfn.XLOOKUP(B186,'Base stats'!B:B,'Base stats'!E:E),Groups!A:A,Groups!B:B)&lt;2))), (18 + BQ186 * 2.7),
      IF(OR(BH186="Advanced",_xlfn.XLOOKUP(B186,'Base stats'!B:B,'Base stats'!AI:AI)=1,_xlfn.XLOOKUP(_xlfn.XLOOKUP(B186,'Base stats'!B:B,'Base stats'!E:E),Groups!A:A,Groups!B:B)=2), (18 + BQ186 * 2.7) + 250, (18 + BQ186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IF(_xlfn.XLOOKUP(B186,'Base stats'!B:B,'Base stats'!AI:AI)=1,0.99,MIN(MROUND((1-0.6282*EXP(-0.459*AO186))*_xlfn.XLOOKUP(_xlfn.XLOOKUP(B186,'Base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W186)),ISNUMBER(SEARCH("IceSheet",BW186))),-50,IF(OR(ISNUMBER(SEARCH("GlacialPlain",BW186)),ISNUMBER(SEARCH("Tundra",BW186))),-40,IF(OR(ISNUMBER(SEARCH("Alpine",BW186)),ISNUMBER(SEARCH("BorealForest",BW186)),ISNUMBER(SEARCH("ColdBog",BW186))),-30,IF(OR(ISNUMBER(SEARCH("TemperateForest",BW186)),ISNUMBER(SEARCH("TemperateSwamp",BW186))),-20,IF(_xlfn.XLOOKUP(_xlfn.XLOOKUP(B186,'Base stats'!B:B,'Base stats'!E:E),Groups!A:A,Groups!F:F)=1,-15,IF(OR(ISNUMBER(SEARCH("Desert",BW186)),ISNUMBER(SEARCH("ExtremeDesert",BW186))),-10,IF(OR(ISNUMBER(SEARCH("Grasslands",BW186)),ISNUMBER(SEARCH("TropicalRainforest",BW186)),ISNUMBER(SEARCH("TropicalSwamp",BW186))),10,0)))))))-IF(CB186="False",MIN(IFERROR(MAX(MROUND(LOG10(_xlfn.XLOOKUP(B186,'Base stats'!B:B,'Base stats'!C:C)^(2/3))*10,5),5),5),30))-_xlfn.XLOOKUP(B186,'Base stats'!B:B,'Base stats'!P:P)+IF(CB186="True",5,0)</f>
        <v>-5</v>
      </c>
      <c r="M186" s="2">
        <f>IF(OR(_xlfn.XLOOKUP(_xlfn.XLOOKUP(B186,'Base stats'!B:B,'Base stats'!E:E),Groups!A:A,Groups!G:G)=2,ISNUMBER(SEARCH("Desert",BW186)),ISNUMBER(SEARCH("ExtremeDesert",BW186)),ISNUMBER(SEARCH("LavaField",BW186))),50,IF(ISNUMBER(SEARCH("Grasslands",BW186)),45,IF(OR(_xlfn.XLOOKUP(_xlfn.XLOOKUP(B186,'Base stats'!B:B,'Base stats'!E:E),Groups!A:A,Groups!G:G)=1,ISNUMBER(SEARCH("TropicalRainforest",BW186)),ISNUMBER(SEARCH("TropicalSwamp",BW186))),40,IF(OR(ISNUMBER(SEARCH("TemperateForest",BW186)),ISNUMBER(SEARCH("TemperateSwamp",BW186))),35,IF(OR(ISNUMBER(SEARCH("Alpine",BW186)),ISNUMBER(SEARCH("BorealForest",BW186)),ISNUMBER(SEARCH("ColdBog",BW186))),30,IF(ISNUMBER(OR(ISNUMBER(SEARCH("GlacialPlain",BW186)),SEARCH("Tundra",BW186))),25,IF(OR(ISNUMBER(SEARCH("SeaIce",BW186)),ISNUMBER(SEARCH("IceSheet",BW186)),ISNUMBER(SEARCH("TropicalSwamp",BW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stats'!AO:AO))*(AO186^0.5)+(_xlfn.XLOOKUP(B186,'Base stats'!B:B,'Base stats'!AO:AO)/1000)^(2/3)+_xlfn.XLOOKUP(B186,'Base stats'!B:B,'Base stats'!AX:AX)/2)+0.5,0.5)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stats'!AP:AP))*(AO186^0.5)+(_xlfn.XLOOKUP(B186,'Base stats'!B:B,'Base stats'!AP:AP)/1000)^(2/3)+_xlfn.XLOOKUP(B186,'Base stats'!B:B,'Base stats'!AX:AX))+_xlfn.XLOOKUP(B186,'Base stats'!B:B,'Base stats'!AV:AV)+0.5,0.5))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stats'!AR:AR))*(AO186^0.5)+(_xlfn.XLOOKUP(B186,'Base stats'!B:B,'Base stats'!AR:AR)/1000)^(2/3)+_xlfn.XLOOKUP(B186,'Base stats'!B:B,'Base stats'!AW:AW))+0.5+IF(_xlfn.XLOOKUP(_xlfn.XLOOKUP(B186,'Base stats'!B:B,'Base stats'!E:E),Groups!A:A,Groups!U:U)&lt;&gt;3,_xlfn.XLOOKUP(B186,'Base stats'!B:B,'Base stats'!AX:AX),0),0.5))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stats'!AQ:AQ)="No","No",MROUND((LOG10(_xlfn.XLOOKUP(B186,'Base stats'!B:B,'Base stats'!AQ:AQ))*(AO186^0.75)+(_xlfn.XLOOKUP(B186,'Base stats'!B:B,'Base stats'!AQ:AQ)/1000)^(2/3)+_xlfn.XLOOKUP(B186,'Base stats'!B:B,'Base stats'!AU:AU)+_xlfn.XLOOKUP(B186,'Base stats'!B:B,'Base stats'!AX:AX))+0.5,0.5))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stats'!AP:AP))*(AO186^0.75)+(_xlfn.XLOOKUP(B186,'Base stats'!B:B,'Base stats'!AP:AP)/1000)^(2/3)+_xlfn.XLOOKUP(B186,'Base stats'!B:B,'Base stats'!AV:AV)+_xlfn.XLOOKUP(B186,'Base stats'!B:B,'Base stats'!AX:AX))+0.5,0.5))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55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MAX(0.01,MROUND(IF(CB186="True",0.196*(AO186*100*1000)^0.889,IF(_xlfn.XLOOKUP(_xlfn.XLOOKUP(B186,'Base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IF(OR(A186="Queen",A186="Larva",A186="Megachicken"),"No",IFERROR(MAX(IF(_xlfn.XLOOKUP(B186,'Base stats'!B:B,'Base stats'!G:G)&lt;0.5,0.2,0.3),MROUND(_xlfn.XLOOKUP(B186,'Base stats'!B:B,'Base stats'!G:G)/(365/60),0.2)),"Unknown"))</f>
        <v>2</v>
      </c>
      <c r="AU186" s="8">
        <f t="shared" si="56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7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stats'!AE:AE)</f>
        <v>Leather_Lizard</v>
      </c>
      <c r="BB186" s="23" t="str">
        <f>_xlfn.XLOOKUP(_xlfn.XLOOKUP(B186,'Base stats'!B:B,'Base stats'!E:E),Groups!A:A,Groups!AL:AL)</f>
        <v>QuadrupedAnimalWithClawsTailAndJowl</v>
      </c>
      <c r="BC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D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E186" s="2" t="str">
        <f>IF(J186&gt;0.3,"No",_xlfn.XLOOKUP(_xlfn.XLOOKUP(Animals!B186,'Base stats'!B:B,'Base stats'!E:E),Groups!A:A,Groups!AP:AP))</f>
        <v>No</v>
      </c>
      <c r="BF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+ 24*(1-IF(BE186="No",0,BE186)) + 16/3, 12),"No")</f>
        <v>No</v>
      </c>
      <c r="BG186" s="2">
        <f>IF(AND(_xlfn.XLOOKUP(_xlfn.XLOOKUP(B186,'Base stats'!B:B,'Base stats'!E:E),Groups!A:A,Groups!AQ:AQ)=1,AO186&lt;=0.35),8,12)</f>
        <v>12</v>
      </c>
      <c r="BH186" s="2" t="str">
        <f>IF(_xlfn.XLOOKUP(_xlfn.XLOOKUP(B186,'Base stats'!B:B,'Base stats'!E:E),Groups!A:A,Groups!D:D)=0,_xlfn.XLOOKUP(_xlfn.XLOOKUP(B186,'Base stats'!B:B,'Base stats'!E:E),Groups!A:A,Groups!AR:AR),"None")</f>
        <v>None</v>
      </c>
      <c r="BI186" s="2" t="str">
        <f>IF(AND(_xlfn.XLOOKUP(_xlfn.XLOOKUP(B186,'Base stats'!B:B,'Base stats'!E:E),Groups!A:A,Groups!AS:AS)=1,OR('Base stats'!Y182="Carnivore",'Base stats'!Y182="Omnivore")),"true","false")</f>
        <v>false</v>
      </c>
      <c r="BJ186" s="2" t="str">
        <f>IF(BI186="true",MROUND(IF(AND(AO186&gt;0.5,OR(_xlfn.XLOOKUP(_xlfn.XLOOKUP(B186,'Base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K186" s="2">
        <f t="shared" si="58"/>
        <v>0</v>
      </c>
      <c r="BL186" s="25">
        <f>IF(_xlfn.XLOOKUP(B186,'Base stats'!B:B,'Base stats'!AK:AK)="Standard","No",MROUND((_xlfn.XLOOKUP(B186,'Base stats'!B:B,'Base stats'!AK:AK)/3.6)/I186,0.1))</f>
        <v>2.8000000000000003</v>
      </c>
      <c r="BM186" s="25" t="str">
        <f t="shared" si="59"/>
        <v>true</v>
      </c>
      <c r="BN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O186" s="25" t="str" cm="1">
        <f t="array" ref="BO186">IF(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 = "",
  "No",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
)</f>
        <v>No</v>
      </c>
      <c r="BP186" s="25">
        <f>IF(
   AND(
      'Base stats'!AK182="Standard",_xlfn.XLOOKUP(_xlfn.XLOOKUP(B186,'Base stats'!B:B,'Base stats'!E:E),Groups!A:A,Groups!AU:AU)=0,
      OR(
      BN186="True"
      )
   ),
   10,
   IF(
       OR(BL186&lt;&gt;"No",_xlfn.XLOOKUP(_xlfn.XLOOKUP(B186,'Base stats'!B:B,'Base stats'!E:E),Groups!A:A,Groups!AU:AU)=1),
      1,
      "No"
   )
)</f>
        <v>1</v>
      </c>
      <c r="BQ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stats'!AS:AS) * 1.8) * 2) * 2.5 + 10 + I186 * 2,5)+IF(_xlfn.XLOOKUP(B186,'Base stats'!B:B,'Base stats'!AH:AH)=1,50,0)</f>
        <v>150</v>
      </c>
      <c r="BR186" s="8">
        <f t="shared" si="60"/>
        <v>0.5</v>
      </c>
      <c r="BS186" s="8" t="str">
        <f>_xlfn.XLOOKUP(B186,'Base stats'!B:B,'Base stats'!AD:AD)</f>
        <v>No</v>
      </c>
      <c r="BT186" s="2" t="str">
        <f>IF(AND(J186&lt;=0.95,OR(_xlfn.XLOOKUP(B186,'Base stats'!B:B,'Base stats'!AH:AH)=1,_xlfn.XLOOKUP(B186,'Base stats'!B:B,'Base stats'!Y:Y)="Carnivore",_xlfn.XLOOKUP(B186,'Base stats'!B:B,'Base stats'!Y:Y)="Omnivore",BD186&gt;0.1)),"true","false")</f>
        <v>true</v>
      </c>
      <c r="BU186" s="2" t="str">
        <f>IF(_xlfn.XLOOKUP(B186,'Base stats'!B:B,'Base stats'!AF:AF)=1,"true","false")</f>
        <v>false</v>
      </c>
      <c r="BV186" s="25" t="str">
        <f>IF(E186="BaseInsect","AnimalInsect",
IF(J186&gt;0.95,"AnimalExotic",
_xlfn.TEXTJOIN(", ",TRUE,
IF(OR(_xlfn.XLOOKUP(B186,'Base stats'!B:B,'Base stats'!AJ:AJ)=1,AND(_xlfn.XLOOKUP(B186,'Base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stats'!AH:AH)=1,AND(BH186&lt;&gt;"None",BQ186&gt;=60),ISNUMBER(SEARCH("Attack target",BO186))),"AnimalFighter","")
)))</f>
        <v>AnimalUncommon</v>
      </c>
      <c r="BW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),_xlfn.XLOOKUP(B186,B:B,BW:BW))</f>
        <v>TemperateSwamp TropicalSwamp Glowforest</v>
      </c>
      <c r="BX186" s="25" t="str">
        <f>IF(_xlfn.XLOOKUP(B186,'Base stats'!B:B,'Base stats'!AG:AG)=1,"true","false")</f>
        <v>false</v>
      </c>
      <c r="BY186" s="25">
        <f>IF(_xlfn.XLOOKUP(B186,'Base stats'!B:B,'Base stats'!N:N)=1,"No",MAX(0.01,MIN(MROUND(IF(OR(_xlfn.XLOOKUP(B186,'Base stats'!B:B,'Base stats'!AJ:AJ)=1,AND(BI186="True",CB186="False")),POWER(10,3.47*LOG10(_xlfn.XLOOKUP(B186,'Base stats'!B:B,'Base stats'!C:C)*1000)^-0.96),POWER(10,4.15*LOG10(_xlfn.XLOOKUP(B186,'Base stats'!B:B,'Base stats'!C:C)*1000)^-0.73))*IF(OR(_xlfn.XLOOKUP(B186,'Base stats'!B:B,'Base stats'!AJ:AJ)=1,_xlfn.XLOOKUP(B186,'Base stats'!B:B,'Base stats'!AH:AH)=1),0.5,1)/100,0.025),1)))</f>
        <v>0.17500000000000002</v>
      </c>
      <c r="BZ186" s="25" t="str">
        <f>IF(P186="Standard","No",MAX(0.01,IF(_xlfn.XLOOKUP(B186,'Base stats'!B:B,'Base stats'!N:N)=0,MROUND(BY186*P186,0.05),MIN(1,MAX(0.025,MROUND(IF(OR(CB186="true",AND(BI186="false",BN186="false")),POWER(10,4.15*LOG10(_xlfn.XLOOKUP(B186,'Base stats'!B:B,'Base stats'!C:C)*1000)^-0.73),POWER(10,3.47*LOG10(_xlfn.XLOOKUP(B186,'Base stats'!B:B,'Base stats'!C:C)*1000)^-0.96))*IF(_xlfn.XLOOKUP(B186,'Base stats'!B:B,'Base stats'!AH:AH)=1,0.5,1)/100,0.025))))))</f>
        <v>No</v>
      </c>
      <c r="CA186" s="25" t="str">
        <f>IF(_xlfn.XLOOKUP(_xlfn.XLOOKUP(B186,'Base stats'!B:B,'Base stats'!E:E),Groups!A:A,Groups!AJ:AJ)="Mammal","True","False")</f>
        <v>False</v>
      </c>
      <c r="CB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C186" s="25" t="str">
        <f t="shared" si="61"/>
        <v>False</v>
      </c>
      <c r="CD186" s="25" t="str">
        <f>IF(_xlfn.XLOOKUP(_xlfn.XLOOKUP(B186,'Base stats'!B:B,'Base stats'!E:E),Groups!A:A,Groups!AX:AX),"True","False")</f>
        <v>False</v>
      </c>
      <c r="CE186" s="25" t="str">
        <f>IF(_xlfn.XLOOKUP(_xlfn.XLOOKUP(B186,'Base stats'!B:B,'Base stats'!E:E),Groups!A:A,Groups!AY:AY),"True","False")</f>
        <v>False</v>
      </c>
      <c r="CF186" s="25" t="str">
        <f>IF(_xlfn.XLOOKUP(_xlfn.XLOOKUP(B186,'Base stats'!B:B,'Base stats'!E:E),Groups!A:A,Groups!AW:AW),"True","False")</f>
        <v>False</v>
      </c>
      <c r="CG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H186" s="25" t="str">
        <f>IF(_xlfn.XLOOKUP(_xlfn.XLOOKUP(B186,'Base stats'!B:B,'Base stats'!E:E),Groups!A:A,Groups!BB:BB),"True","False")</f>
        <v>False</v>
      </c>
      <c r="CI186" s="25" t="str">
        <f>IF(_xlfn.XLOOKUP(_xlfn.XLOOKUP(B186,'Base stats'!B:B,'Base stats'!E:E),Groups!A:A,Groups!BA:BA),"True","False")</f>
        <v>False</v>
      </c>
    </row>
    <row r="187" spans="1:87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1286</v>
      </c>
      <c r="D187" s="28" t="s">
        <v>884</v>
      </c>
      <c r="E187" s="28" t="s">
        <v>685</v>
      </c>
      <c r="F187" s="28" t="s">
        <v>685</v>
      </c>
      <c r="G187" s="28" t="s">
        <v>1284</v>
      </c>
      <c r="H187" s="2">
        <f>MROUND((
  (IF(AND(_xlfn.XLOOKUP(B187,'Base stats'!B:B,'Base stats'!AI:AI)=0,BH187="None",_xlfn.XLOOKUP(_xlfn.XLOOKUP(B187,'Base stats'!B:B,'Base stats'!E:E),Groups!A:A,Groups!B:B)=0), (18 + BQ187 * 2.7) * 0.5,
    IF(AND(_xlfn.XLOOKUP(B187,'Base stats'!B:B,'Base stats'!AI:AI)=0,OR(AO187&lt;0.55,AND(BH187="Intermediate",_xlfn.XLOOKUP(_xlfn.XLOOKUP(B187,'Base stats'!B:B,'Base stats'!E:E),Groups!A:A,Groups!B:B)&lt;2))), (18 + BQ187 * 2.7),
      IF(OR(BH187="Advanced",_xlfn.XLOOKUP(B187,'Base stats'!B:B,'Base stats'!AI:AI)=1,_xlfn.XLOOKUP(_xlfn.XLOOKUP(B187,'Base stats'!B:B,'Base stats'!E:E),Groups!A:A,Groups!B:B)=2), (18 + BQ187 * 2.7) + 250, (18 + BQ187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IF(_xlfn.XLOOKUP(B187,'Base stats'!B:B,'Base stats'!AI:AI)=1,0.99,MIN(MROUND((1-0.6282*EXP(-0.459*AO187))*_xlfn.XLOOKUP(_xlfn.XLOOKUP(B187,'Base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W187)),ISNUMBER(SEARCH("IceSheet",BW187))),-50,IF(OR(ISNUMBER(SEARCH("GlacialPlain",BW187)),ISNUMBER(SEARCH("Tundra",BW187))),-40,IF(OR(ISNUMBER(SEARCH("Alpine",BW187)),ISNUMBER(SEARCH("BorealForest",BW187)),ISNUMBER(SEARCH("ColdBog",BW187))),-30,IF(OR(ISNUMBER(SEARCH("TemperateForest",BW187)),ISNUMBER(SEARCH("TemperateSwamp",BW187))),-20,IF(_xlfn.XLOOKUP(_xlfn.XLOOKUP(B187,'Base stats'!B:B,'Base stats'!E:E),Groups!A:A,Groups!F:F)=1,-15,IF(OR(ISNUMBER(SEARCH("Desert",BW187)),ISNUMBER(SEARCH("ExtremeDesert",BW187))),-10,IF(OR(ISNUMBER(SEARCH("Grasslands",BW187)),ISNUMBER(SEARCH("TropicalRainforest",BW187)),ISNUMBER(SEARCH("TropicalSwamp",BW187))),10,0)))))))-IF(CB187="False",MIN(IFERROR(MAX(MROUND(LOG10(_xlfn.XLOOKUP(B187,'Base stats'!B:B,'Base stats'!C:C)^(2/3))*10,5),5),5),30))-_xlfn.XLOOKUP(B187,'Base stats'!B:B,'Base stats'!P:P)+IF(CB187="True",5,0)</f>
        <v>-55</v>
      </c>
      <c r="M187" s="2">
        <f>IF(OR(_xlfn.XLOOKUP(_xlfn.XLOOKUP(B187,'Base stats'!B:B,'Base stats'!E:E),Groups!A:A,Groups!G:G)=2,ISNUMBER(SEARCH("Desert",BW187)),ISNUMBER(SEARCH("ExtremeDesert",BW187)),ISNUMBER(SEARCH("LavaField",BW187))),50,IF(ISNUMBER(SEARCH("Grasslands",BW187)),45,IF(OR(_xlfn.XLOOKUP(_xlfn.XLOOKUP(B187,'Base stats'!B:B,'Base stats'!E:E),Groups!A:A,Groups!G:G)=1,ISNUMBER(SEARCH("TropicalRainforest",BW187)),ISNUMBER(SEARCH("TropicalSwamp",BW187))),40,IF(OR(ISNUMBER(SEARCH("TemperateForest",BW187)),ISNUMBER(SEARCH("TemperateSwamp",BW187))),35,IF(OR(ISNUMBER(SEARCH("Alpine",BW187)),ISNUMBER(SEARCH("BorealForest",BW187)),ISNUMBER(SEARCH("ColdBog",BW187))),30,IF(ISNUMBER(OR(ISNUMBER(SEARCH("GlacialPlain",BW187)),SEARCH("Tundra",BW187))),25,IF(OR(ISNUMBER(SEARCH("SeaIce",BW187)),ISNUMBER(SEARCH("IceSheet",BW187)),ISNUMBER(SEARCH("TropicalSwamp",BW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stats'!AO:AO))*(AO187^0.5)+(_xlfn.XLOOKUP(B187,'Base stats'!B:B,'Base stats'!AO:AO)/1000)^(2/3)+_xlfn.XLOOKUP(B187,'Base stats'!B:B,'Base stats'!AX:AX)/2)+0.5,0.5)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stats'!AP:AP))*(AO187^0.5)+(_xlfn.XLOOKUP(B187,'Base stats'!B:B,'Base stats'!AP:AP)/1000)^(2/3)+_xlfn.XLOOKUP(B187,'Base stats'!B:B,'Base stats'!AX:AX))+_xlfn.XLOOKUP(B187,'Base stats'!B:B,'Base stats'!AV:AV)+0.5,0.5))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stats'!AR:AR))*(AO187^0.5)+(_xlfn.XLOOKUP(B187,'Base stats'!B:B,'Base stats'!AR:AR)/1000)^(2/3)+_xlfn.XLOOKUP(B187,'Base stats'!B:B,'Base stats'!AW:AW))+0.5+IF(_xlfn.XLOOKUP(_xlfn.XLOOKUP(B187,'Base stats'!B:B,'Base stats'!E:E),Groups!A:A,Groups!U:U)&lt;&gt;3,_xlfn.XLOOKUP(B187,'Base stats'!B:B,'Base stats'!AX:AX),0),0.5))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stats'!AQ:AQ)="No","No",MROUND((LOG10(_xlfn.XLOOKUP(B187,'Base stats'!B:B,'Base stats'!AQ:AQ))*(AO187^0.75)+(_xlfn.XLOOKUP(B187,'Base stats'!B:B,'Base stats'!AQ:AQ)/1000)^(2/3)+_xlfn.XLOOKUP(B187,'Base stats'!B:B,'Base stats'!AU:AU)+_xlfn.XLOOKUP(B187,'Base stats'!B:B,'Base stats'!AX:AX))+0.5,0.5))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stats'!AP:AP))*(AO187^0.75)+(_xlfn.XLOOKUP(B187,'Base stats'!B:B,'Base stats'!AP:AP)/1000)^(2/3)+_xlfn.XLOOKUP(B187,'Base stats'!B:B,'Base stats'!AV:AV)+_xlfn.XLOOKUP(B187,'Base stats'!B:B,'Base stats'!AX:AX))+0.5,0.5))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5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MAX(0.01,MROUND(IF(CB187="True",0.196*(AO187*100*1000)^0.889,IF(_xlfn.XLOOKUP(_xlfn.XLOOKUP(B187,'Base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IF(OR(A187="Queen",A187="Larva",A187="Megachicken"),"No",IFERROR(MAX(IF(_xlfn.XLOOKUP(B187,'Base stats'!B:B,'Base stats'!G:G)&lt;0.5,0.2,0.3),MROUND(_xlfn.XLOOKUP(B187,'Base stats'!B:B,'Base stats'!G:G)/(365/60),0.2)),"Unknown"))</f>
        <v>0.4</v>
      </c>
      <c r="AU187" s="8">
        <f t="shared" si="56"/>
        <v>0.2</v>
      </c>
      <c r="AV187" s="8">
        <f>IFERROR(IFERROR(MROUND(_xlfn.XLOOKUP(B187,'Base stats'!B:B,'Base stats'!J:J),0.1),"Lay eggs"),"Cannot breed")</f>
        <v>1.3</v>
      </c>
      <c r="AW187" s="2" t="str">
        <f t="shared" si="57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stats'!AE:AE)</f>
        <v>Leather_Plain</v>
      </c>
      <c r="BB187" s="23" t="str">
        <f>_xlfn.XLOOKUP(_xlfn.XLOOKUP(B187,'Base stats'!B:B,'Base stats'!E:E),Groups!A:A,Groups!AL:AL)</f>
        <v>QuadrupedAnimalWithHooves</v>
      </c>
      <c r="BC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D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E187" s="2" t="str">
        <f>IF(J187&gt;0.3,"No",_xlfn.XLOOKUP(_xlfn.XLOOKUP(Animals!B187,'Base stats'!B:B,'Base stats'!E:E),Groups!A:A,Groups!AP:AP))</f>
        <v>No</v>
      </c>
      <c r="BF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+ 24*(1-IF(BE187="No",0,BE187)) + 16/3, 12),"No")</f>
        <v>No</v>
      </c>
      <c r="BG187" s="2">
        <f>IF(AND(_xlfn.XLOOKUP(_xlfn.XLOOKUP(B187,'Base stats'!B:B,'Base stats'!E:E),Groups!A:A,Groups!AQ:AQ)=1,AO187&lt;=0.35),8,12)</f>
        <v>12</v>
      </c>
      <c r="BH187" s="2" t="str">
        <f>IF(_xlfn.XLOOKUP(_xlfn.XLOOKUP(B187,'Base stats'!B:B,'Base stats'!E:E),Groups!A:A,Groups!D:D)=0,_xlfn.XLOOKUP(_xlfn.XLOOKUP(B187,'Base stats'!B:B,'Base stats'!E:E),Groups!A:A,Groups!AR:AR),"None")</f>
        <v>None</v>
      </c>
      <c r="BI187" s="2" t="str">
        <f>IF(AND(_xlfn.XLOOKUP(_xlfn.XLOOKUP(B187,'Base stats'!B:B,'Base stats'!E:E),Groups!A:A,Groups!AS:AS)=1,OR('Base stats'!Y183="Carnivore",'Base stats'!Y183="Omnivore")),"true","false")</f>
        <v>false</v>
      </c>
      <c r="BJ187" s="2" t="str">
        <f>IF(BI187="true",MROUND(IF(AND(AO187&gt;0.5,OR(_xlfn.XLOOKUP(_xlfn.XLOOKUP(B187,'Base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K187" s="2">
        <f t="shared" si="58"/>
        <v>0</v>
      </c>
      <c r="BL187" s="25" t="str">
        <f>IF(_xlfn.XLOOKUP(B187,'Base stats'!B:B,'Base stats'!AK:AK)="Standard","No",MROUND((_xlfn.XLOOKUP(B187,'Base stats'!B:B,'Base stats'!AK:AK)/3.6)/I187,0.1))</f>
        <v>No</v>
      </c>
      <c r="BM187" s="25" t="str">
        <f t="shared" si="59"/>
        <v>false</v>
      </c>
      <c r="BN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O187" s="25" t="str" cm="1">
        <f t="array" ref="BO187">IF(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 = "",
  "No",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
)</f>
        <v>No</v>
      </c>
      <c r="BP187" s="25" t="str">
        <f>IF(
   AND(
      'Base stats'!AK183="Standard",_xlfn.XLOOKUP(_xlfn.XLOOKUP(B187,'Base stats'!B:B,'Base stats'!E:E),Groups!A:A,Groups!AU:AU)=0,
      OR(
      BN187="True"
      )
   ),
   10,
   IF(
       OR(BL187&lt;&gt;"No",_xlfn.XLOOKUP(_xlfn.XLOOKUP(B187,'Base stats'!B:B,'Base stats'!E:E),Groups!A:A,Groups!AU:AU)=1),
      1,
      "No"
   )
)</f>
        <v>No</v>
      </c>
      <c r="BQ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stats'!AS:AS) * 1.8) * 2) * 2.5 + 10 + I187 * 2,5)+IF(_xlfn.XLOOKUP(B187,'Base stats'!B:B,'Base stats'!AH:AH)=1,50,0)</f>
        <v>190</v>
      </c>
      <c r="BR187" s="8">
        <f t="shared" si="60"/>
        <v>1.4500000000000002</v>
      </c>
      <c r="BS187" s="8" t="str">
        <f>_xlfn.XLOOKUP(B187,'Base stats'!B:B,'Base stats'!AD:AD)</f>
        <v>No</v>
      </c>
      <c r="BT187" s="2" t="str">
        <f>IF(AND(J187&lt;=0.95,OR(_xlfn.XLOOKUP(B187,'Base stats'!B:B,'Base stats'!AH:AH)=1,_xlfn.XLOOKUP(B187,'Base stats'!B:B,'Base stats'!Y:Y)="Carnivore",_xlfn.XLOOKUP(B187,'Base stats'!B:B,'Base stats'!Y:Y)="Omnivore",BD187&gt;0.1)),"true","false")</f>
        <v>false</v>
      </c>
      <c r="BU187" s="2" t="str">
        <f>IF(_xlfn.XLOOKUP(B187,'Base stats'!B:B,'Base stats'!AF:AF)=1,"true","false")</f>
        <v>false</v>
      </c>
      <c r="BV187" s="25" t="str">
        <f>IF(E187="BaseInsect","AnimalInsect",
IF(J187&gt;0.95,"AnimalExotic",
_xlfn.TEXTJOIN(", ",TRUE,
IF(OR(_xlfn.XLOOKUP(B187,'Base stats'!B:B,'Base stats'!AJ:AJ)=1,AND(_xlfn.XLOOKUP(B187,'Base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stats'!AH:AH)=1,AND(BH187&lt;&gt;"None",BQ187&gt;=60),ISNUMBER(SEARCH("Attack target",BO187))),"AnimalFighter","")
)))</f>
        <v>AnimalCommon</v>
      </c>
      <c r="BW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),_xlfn.XLOOKUP(B187,B:B,BW:BW))</f>
        <v>Tundra BorealForest ColdBog TemperateForest TemperateSwamp GlacialPlain</v>
      </c>
      <c r="BX187" s="25" t="str">
        <f>IF(_xlfn.XLOOKUP(B187,'Base stats'!B:B,'Base stats'!AG:AG)=1,"true","false")</f>
        <v>false</v>
      </c>
      <c r="BY187" s="25">
        <f>IF(_xlfn.XLOOKUP(B187,'Base stats'!B:B,'Base stats'!N:N)=1,"No",MAX(0.01,MIN(MROUND(IF(OR(_xlfn.XLOOKUP(B187,'Base stats'!B:B,'Base stats'!AJ:AJ)=1,AND(BI187="True",CB187="False")),POWER(10,3.47*LOG10(_xlfn.XLOOKUP(B187,'Base stats'!B:B,'Base stats'!C:C)*1000)^-0.96),POWER(10,4.15*LOG10(_xlfn.XLOOKUP(B187,'Base stats'!B:B,'Base stats'!C:C)*1000)^-0.73))*IF(OR(_xlfn.XLOOKUP(B187,'Base stats'!B:B,'Base stats'!AJ:AJ)=1,_xlfn.XLOOKUP(B187,'Base stats'!B:B,'Base stats'!AH:AH)=1),0.5,1)/100,0.025),1)))</f>
        <v>0.15000000000000002</v>
      </c>
      <c r="BZ187" s="25" t="str">
        <f>IF(P187="Standard","No",MAX(0.01,IF(_xlfn.XLOOKUP(B187,'Base stats'!B:B,'Base stats'!N:N)=0,MROUND(BY187*P187,0.05),MIN(1,MAX(0.025,MROUND(IF(OR(CB187="true",AND(BI187="false",BN187="false")),POWER(10,4.15*LOG10(_xlfn.XLOOKUP(B187,'Base stats'!B:B,'Base stats'!C:C)*1000)^-0.73),POWER(10,3.47*LOG10(_xlfn.XLOOKUP(B187,'Base stats'!B:B,'Base stats'!C:C)*1000)^-0.96))*IF(_xlfn.XLOOKUP(B187,'Base stats'!B:B,'Base stats'!AH:AH)=1,0.5,1)/100,0.025))))))</f>
        <v>No</v>
      </c>
      <c r="CA187" s="25" t="str">
        <f>IF(_xlfn.XLOOKUP(_xlfn.XLOOKUP(B187,'Base stats'!B:B,'Base stats'!E:E),Groups!A:A,Groups!AJ:AJ)="Mammal","True","False")</f>
        <v>True</v>
      </c>
      <c r="CB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C187" s="25" t="str">
        <f t="shared" si="61"/>
        <v>False</v>
      </c>
      <c r="CD187" s="25" t="str">
        <f>IF(_xlfn.XLOOKUP(_xlfn.XLOOKUP(B187,'Base stats'!B:B,'Base stats'!E:E),Groups!A:A,Groups!AX:AX),"True","False")</f>
        <v>False</v>
      </c>
      <c r="CE187" s="25" t="str">
        <f>IF(_xlfn.XLOOKUP(_xlfn.XLOOKUP(B187,'Base stats'!B:B,'Base stats'!E:E),Groups!A:A,Groups!AY:AY),"True","False")</f>
        <v>False</v>
      </c>
      <c r="CF187" s="25" t="str">
        <f>IF(_xlfn.XLOOKUP(_xlfn.XLOOKUP(B187,'Base stats'!B:B,'Base stats'!E:E),Groups!A:A,Groups!AW:AW),"True","False")</f>
        <v>False</v>
      </c>
      <c r="CG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H187" s="25" t="str">
        <f>IF(_xlfn.XLOOKUP(_xlfn.XLOOKUP(B187,'Base stats'!B:B,'Base stats'!E:E),Groups!A:A,Groups!BB:BB),"True","False")</f>
        <v>True</v>
      </c>
      <c r="CI187" s="25" t="str">
        <f>IF(_xlfn.XLOOKUP(_xlfn.XLOOKUP(B187,'Base stats'!B:B,'Base stats'!E:E),Groups!A:A,Groups!BA:BA),"True","False")</f>
        <v>False</v>
      </c>
    </row>
    <row r="188" spans="1:87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1287</v>
      </c>
      <c r="D188" s="28" t="s">
        <v>884</v>
      </c>
      <c r="E188" s="28" t="s">
        <v>685</v>
      </c>
      <c r="F188" s="28" t="s">
        <v>685</v>
      </c>
      <c r="G188" s="28" t="s">
        <v>1284</v>
      </c>
      <c r="H188" s="2">
        <f>MROUND((
  (IF(AND(_xlfn.XLOOKUP(B188,'Base stats'!B:B,'Base stats'!AI:AI)=0,BH188="None",_xlfn.XLOOKUP(_xlfn.XLOOKUP(B188,'Base stats'!B:B,'Base stats'!E:E),Groups!A:A,Groups!B:B)=0), (18 + BQ188 * 2.7) * 0.5,
    IF(AND(_xlfn.XLOOKUP(B188,'Base stats'!B:B,'Base stats'!AI:AI)=0,OR(AO188&lt;0.55,AND(BH188="Intermediate",_xlfn.XLOOKUP(_xlfn.XLOOKUP(B188,'Base stats'!B:B,'Base stats'!E:E),Groups!A:A,Groups!B:B)&lt;2))), (18 + BQ188 * 2.7),
      IF(OR(BH188="Advanced",_xlfn.XLOOKUP(B188,'Base stats'!B:B,'Base stats'!AI:AI)=1,_xlfn.XLOOKUP(_xlfn.XLOOKUP(B188,'Base stats'!B:B,'Base stats'!E:E),Groups!A:A,Groups!B:B)=2), (18 + BQ188 * 2.7) + 250, (18 + BQ188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IF(_xlfn.XLOOKUP(B188,'Base stats'!B:B,'Base stats'!AI:AI)=1,0.99,MIN(MROUND((1-0.6282*EXP(-0.459*AO188))*_xlfn.XLOOKUP(_xlfn.XLOOKUP(B188,'Base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W188)),ISNUMBER(SEARCH("IceSheet",BW188))),-50,IF(OR(ISNUMBER(SEARCH("GlacialPlain",BW188)),ISNUMBER(SEARCH("Tundra",BW188))),-40,IF(OR(ISNUMBER(SEARCH("Alpine",BW188)),ISNUMBER(SEARCH("BorealForest",BW188)),ISNUMBER(SEARCH("ColdBog",BW188))),-30,IF(OR(ISNUMBER(SEARCH("TemperateForest",BW188)),ISNUMBER(SEARCH("TemperateSwamp",BW188))),-20,IF(_xlfn.XLOOKUP(_xlfn.XLOOKUP(B188,'Base stats'!B:B,'Base stats'!E:E),Groups!A:A,Groups!F:F)=1,-15,IF(OR(ISNUMBER(SEARCH("Desert",BW188)),ISNUMBER(SEARCH("ExtremeDesert",BW188))),-10,IF(OR(ISNUMBER(SEARCH("Grasslands",BW188)),ISNUMBER(SEARCH("TropicalRainforest",BW188)),ISNUMBER(SEARCH("TropicalSwamp",BW188))),10,0)))))))-IF(CB188="False",MIN(IFERROR(MAX(MROUND(LOG10(_xlfn.XLOOKUP(B188,'Base stats'!B:B,'Base stats'!C:C)^(2/3))*10,5),5),5),30))-_xlfn.XLOOKUP(B188,'Base stats'!B:B,'Base stats'!P:P)+IF(CB188="True",5,0)</f>
        <v>-55</v>
      </c>
      <c r="M188" s="2">
        <f>IF(OR(_xlfn.XLOOKUP(_xlfn.XLOOKUP(B188,'Base stats'!B:B,'Base stats'!E:E),Groups!A:A,Groups!G:G)=2,ISNUMBER(SEARCH("Desert",BW188)),ISNUMBER(SEARCH("ExtremeDesert",BW188)),ISNUMBER(SEARCH("LavaField",BW188))),50,IF(ISNUMBER(SEARCH("Grasslands",BW188)),45,IF(OR(_xlfn.XLOOKUP(_xlfn.XLOOKUP(B188,'Base stats'!B:B,'Base stats'!E:E),Groups!A:A,Groups!G:G)=1,ISNUMBER(SEARCH("TropicalRainforest",BW188)),ISNUMBER(SEARCH("TropicalSwamp",BW188))),40,IF(OR(ISNUMBER(SEARCH("TemperateForest",BW188)),ISNUMBER(SEARCH("TemperateSwamp",BW188))),35,IF(OR(ISNUMBER(SEARCH("Alpine",BW188)),ISNUMBER(SEARCH("BorealForest",BW188)),ISNUMBER(SEARCH("ColdBog",BW188))),30,IF(ISNUMBER(OR(ISNUMBER(SEARCH("GlacialPlain",BW188)),SEARCH("Tundra",BW188))),25,IF(OR(ISNUMBER(SEARCH("SeaIce",BW188)),ISNUMBER(SEARCH("IceSheet",BW188)),ISNUMBER(SEARCH("TropicalSwamp",BW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stats'!AO:AO))*(AO188^0.5)+(_xlfn.XLOOKUP(B188,'Base stats'!B:B,'Base stats'!AO:AO)/1000)^(2/3)+_xlfn.XLOOKUP(B188,'Base stats'!B:B,'Base stats'!AX:AX)/2)+0.5,0.5)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stats'!AP:AP))*(AO188^0.5)+(_xlfn.XLOOKUP(B188,'Base stats'!B:B,'Base stats'!AP:AP)/1000)^(2/3)+_xlfn.XLOOKUP(B188,'Base stats'!B:B,'Base stats'!AX:AX))+_xlfn.XLOOKUP(B188,'Base stats'!B:B,'Base stats'!AV:AV)+0.5,0.5))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stats'!AR:AR))*(AO188^0.5)+(_xlfn.XLOOKUP(B188,'Base stats'!B:B,'Base stats'!AR:AR)/1000)^(2/3)+_xlfn.XLOOKUP(B188,'Base stats'!B:B,'Base stats'!AW:AW))+0.5+IF(_xlfn.XLOOKUP(_xlfn.XLOOKUP(B188,'Base stats'!B:B,'Base stats'!E:E),Groups!A:A,Groups!U:U)&lt;&gt;3,_xlfn.XLOOKUP(B188,'Base stats'!B:B,'Base stats'!AX:AX),0),0.5))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stats'!AQ:AQ)="No","No",MROUND((LOG10(_xlfn.XLOOKUP(B188,'Base stats'!B:B,'Base stats'!AQ:AQ))*(AO188^0.75)+(_xlfn.XLOOKUP(B188,'Base stats'!B:B,'Base stats'!AQ:AQ)/1000)^(2/3)+_xlfn.XLOOKUP(B188,'Base stats'!B:B,'Base stats'!AU:AU)+_xlfn.XLOOKUP(B188,'Base stats'!B:B,'Base stats'!AX:AX))+0.5,0.5))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stats'!AP:AP))*(AO188^0.75)+(_xlfn.XLOOKUP(B188,'Base stats'!B:B,'Base stats'!AP:AP)/1000)^(2/3)+_xlfn.XLOOKUP(B188,'Base stats'!B:B,'Base stats'!AV:AV)+_xlfn.XLOOKUP(B188,'Base stats'!B:B,'Base stats'!AX:AX))+0.5,0.5))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5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MAX(0.01,MROUND(IF(CB188="True",0.196*(AO188*100*1000)^0.889,IF(_xlfn.XLOOKUP(_xlfn.XLOOKUP(B188,'Base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IF(OR(A188="Queen",A188="Larva",A188="Megachicken"),"No",IFERROR(MAX(IF(_xlfn.XLOOKUP(B188,'Base stats'!B:B,'Base stats'!G:G)&lt;0.5,0.2,0.3),MROUND(_xlfn.XLOOKUP(B188,'Base stats'!B:B,'Base stats'!G:G)/(365/60),0.2)),"Unknown"))</f>
        <v>0.4</v>
      </c>
      <c r="AU188" s="8">
        <f t="shared" si="56"/>
        <v>0.2</v>
      </c>
      <c r="AV188" s="8">
        <f>IFERROR(IFERROR(MROUND(_xlfn.XLOOKUP(B188,'Base stats'!B:B,'Base stats'!J:J),0.1),"Lay eggs"),"Cannot breed")</f>
        <v>1</v>
      </c>
      <c r="AW188" s="2" t="str">
        <f t="shared" si="57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stats'!AE:AE)</f>
        <v>Leather_Plain</v>
      </c>
      <c r="BB188" s="23" t="str">
        <f>_xlfn.XLOOKUP(_xlfn.XLOOKUP(B188,'Base stats'!B:B,'Base stats'!E:E),Groups!A:A,Groups!AL:AL)</f>
        <v>QuadrupedAnimalWithHooves</v>
      </c>
      <c r="BC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D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E188" s="2" t="str">
        <f>IF(J188&gt;0.3,"No",_xlfn.XLOOKUP(_xlfn.XLOOKUP(Animals!B188,'Base stats'!B:B,'Base stats'!E:E),Groups!A:A,Groups!AP:AP))</f>
        <v>No</v>
      </c>
      <c r="BF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+ 24*(1-IF(BE188="No",0,BE188)) + 16/3, 12),"No")</f>
        <v>No</v>
      </c>
      <c r="BG188" s="2">
        <f>IF(AND(_xlfn.XLOOKUP(_xlfn.XLOOKUP(B188,'Base stats'!B:B,'Base stats'!E:E),Groups!A:A,Groups!AQ:AQ)=1,AO188&lt;=0.35),8,12)</f>
        <v>12</v>
      </c>
      <c r="BH188" s="2" t="str">
        <f>IF(_xlfn.XLOOKUP(_xlfn.XLOOKUP(B188,'Base stats'!B:B,'Base stats'!E:E),Groups!A:A,Groups!D:D)=0,_xlfn.XLOOKUP(_xlfn.XLOOKUP(B188,'Base stats'!B:B,'Base stats'!E:E),Groups!A:A,Groups!AR:AR),"None")</f>
        <v>None</v>
      </c>
      <c r="BI188" s="2" t="str">
        <f>IF(AND(_xlfn.XLOOKUP(_xlfn.XLOOKUP(B188,'Base stats'!B:B,'Base stats'!E:E),Groups!A:A,Groups!AS:AS)=1,OR('Base stats'!Y184="Carnivore",'Base stats'!Y184="Omnivore")),"true","false")</f>
        <v>false</v>
      </c>
      <c r="BJ188" s="2" t="str">
        <f>IF(BI188="true",MROUND(IF(AND(AO188&gt;0.5,OR(_xlfn.XLOOKUP(_xlfn.XLOOKUP(B188,'Base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K188" s="2">
        <f t="shared" si="58"/>
        <v>0</v>
      </c>
      <c r="BL188" s="25" t="str">
        <f>IF(_xlfn.XLOOKUP(B188,'Base stats'!B:B,'Base stats'!AK:AK)="Standard","No",MROUND((_xlfn.XLOOKUP(B188,'Base stats'!B:B,'Base stats'!AK:AK)/3.6)/I188,0.1))</f>
        <v>No</v>
      </c>
      <c r="BM188" s="25" t="str">
        <f t="shared" si="59"/>
        <v>false</v>
      </c>
      <c r="BN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O188" s="25" t="str" cm="1">
        <f t="array" ref="BO188">IF(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 = "",
  "No",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
)</f>
        <v>No</v>
      </c>
      <c r="BP188" s="25" t="str">
        <f>IF(
   AND(
      'Base stats'!AK184="Standard",_xlfn.XLOOKUP(_xlfn.XLOOKUP(B188,'Base stats'!B:B,'Base stats'!E:E),Groups!A:A,Groups!AU:AU)=0,
      OR(
      BN188="True"
      )
   ),
   10,
   IF(
       OR(BL188&lt;&gt;"No",_xlfn.XLOOKUP(_xlfn.XLOOKUP(B188,'Base stats'!B:B,'Base stats'!E:E),Groups!A:A,Groups!AU:AU)=1),
      1,
      "No"
   )
)</f>
        <v>No</v>
      </c>
      <c r="BQ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stats'!AS:AS) * 1.8) * 2) * 2.5 + 10 + I188 * 2,5)+IF(_xlfn.XLOOKUP(B188,'Base stats'!B:B,'Base stats'!AH:AH)=1,50,0)</f>
        <v>150</v>
      </c>
      <c r="BR188" s="8">
        <f t="shared" si="60"/>
        <v>1.2000000000000002</v>
      </c>
      <c r="BS188" s="8" t="str">
        <f>_xlfn.XLOOKUP(B188,'Base stats'!B:B,'Base stats'!AD:AD)</f>
        <v>3~10</v>
      </c>
      <c r="BT188" s="2" t="str">
        <f>IF(AND(J188&lt;=0.95,OR(_xlfn.XLOOKUP(B188,'Base stats'!B:B,'Base stats'!AH:AH)=1,_xlfn.XLOOKUP(B188,'Base stats'!B:B,'Base stats'!Y:Y)="Carnivore",_xlfn.XLOOKUP(B188,'Base stats'!B:B,'Base stats'!Y:Y)="Omnivore",BD188&gt;0.1)),"true","false")</f>
        <v>false</v>
      </c>
      <c r="BU188" s="2" t="str">
        <f>IF(_xlfn.XLOOKUP(B188,'Base stats'!B:B,'Base stats'!AF:AF)=1,"true","false")</f>
        <v>false</v>
      </c>
      <c r="BV188" s="25" t="str">
        <f>IF(E188="BaseInsect","AnimalInsect",
IF(J188&gt;0.95,"AnimalExotic",
_xlfn.TEXTJOIN(", ",TRUE,
IF(OR(_xlfn.XLOOKUP(B188,'Base stats'!B:B,'Base stats'!AJ:AJ)=1,AND(_xlfn.XLOOKUP(B188,'Base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stats'!AH:AH)=1,AND(BH188&lt;&gt;"None",BQ188&gt;=60),ISNUMBER(SEARCH("Attack target",BO188))),"AnimalFighter","")
)))</f>
        <v>AnimalCommon</v>
      </c>
      <c r="BW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),_xlfn.XLOOKUP(B188,B:B,BW:BW))</f>
        <v>Tundra GlacialPlain</v>
      </c>
      <c r="BX188" s="25" t="str">
        <f>IF(_xlfn.XLOOKUP(B188,'Base stats'!B:B,'Base stats'!AG:AG)=1,"true","false")</f>
        <v>false</v>
      </c>
      <c r="BY188" s="25">
        <f>IF(_xlfn.XLOOKUP(B188,'Base stats'!B:B,'Base stats'!N:N)=1,"No",MAX(0.01,MIN(MROUND(IF(OR(_xlfn.XLOOKUP(B188,'Base stats'!B:B,'Base stats'!AJ:AJ)=1,AND(BI188="True",CB188="False")),POWER(10,3.47*LOG10(_xlfn.XLOOKUP(B188,'Base stats'!B:B,'Base stats'!C:C)*1000)^-0.96),POWER(10,4.15*LOG10(_xlfn.XLOOKUP(B188,'Base stats'!B:B,'Base stats'!C:C)*1000)^-0.73))*IF(OR(_xlfn.XLOOKUP(B188,'Base stats'!B:B,'Base stats'!AJ:AJ)=1,_xlfn.XLOOKUP(B188,'Base stats'!B:B,'Base stats'!AH:AH)=1),0.5,1)/100,0.025),1)))</f>
        <v>0.15000000000000002</v>
      </c>
      <c r="BZ188" s="25" t="str">
        <f>IF(P188="Standard","No",MAX(0.01,IF(_xlfn.XLOOKUP(B188,'Base stats'!B:B,'Base stats'!N:N)=0,MROUND(BY188*P188,0.05),MIN(1,MAX(0.025,MROUND(IF(OR(CB188="true",AND(BI188="false",BN188="false")),POWER(10,4.15*LOG10(_xlfn.XLOOKUP(B188,'Base stats'!B:B,'Base stats'!C:C)*1000)^-0.73),POWER(10,3.47*LOG10(_xlfn.XLOOKUP(B188,'Base stats'!B:B,'Base stats'!C:C)*1000)^-0.96))*IF(_xlfn.XLOOKUP(B188,'Base stats'!B:B,'Base stats'!AH:AH)=1,0.5,1)/100,0.025))))))</f>
        <v>No</v>
      </c>
      <c r="CA188" s="25" t="str">
        <f>IF(_xlfn.XLOOKUP(_xlfn.XLOOKUP(B188,'Base stats'!B:B,'Base stats'!E:E),Groups!A:A,Groups!AJ:AJ)="Mammal","True","False")</f>
        <v>True</v>
      </c>
      <c r="CB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C188" s="25" t="str">
        <f t="shared" si="61"/>
        <v>False</v>
      </c>
      <c r="CD188" s="25" t="str">
        <f>IF(_xlfn.XLOOKUP(_xlfn.XLOOKUP(B188,'Base stats'!B:B,'Base stats'!E:E),Groups!A:A,Groups!AX:AX),"True","False")</f>
        <v>False</v>
      </c>
      <c r="CE188" s="25" t="str">
        <f>IF(_xlfn.XLOOKUP(_xlfn.XLOOKUP(B188,'Base stats'!B:B,'Base stats'!E:E),Groups!A:A,Groups!AY:AY),"True","False")</f>
        <v>False</v>
      </c>
      <c r="CF188" s="25" t="str">
        <f>IF(_xlfn.XLOOKUP(_xlfn.XLOOKUP(B188,'Base stats'!B:B,'Base stats'!E:E),Groups!A:A,Groups!AW:AW),"True","False")</f>
        <v>False</v>
      </c>
      <c r="CG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H188" s="25" t="str">
        <f>IF(_xlfn.XLOOKUP(_xlfn.XLOOKUP(B188,'Base stats'!B:B,'Base stats'!E:E),Groups!A:A,Groups!BB:BB),"True","False")</f>
        <v>True</v>
      </c>
      <c r="CI188" s="25" t="str">
        <f>IF(_xlfn.XLOOKUP(_xlfn.XLOOKUP(B188,'Base stats'!B:B,'Base stats'!E:E),Groups!A:A,Groups!BA:BA),"True","False")</f>
        <v>False</v>
      </c>
    </row>
    <row r="189" spans="1:87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1288</v>
      </c>
      <c r="D189" s="28" t="s">
        <v>884</v>
      </c>
      <c r="E189" s="28" t="s">
        <v>685</v>
      </c>
      <c r="F189" s="28" t="s">
        <v>685</v>
      </c>
      <c r="G189" s="28" t="s">
        <v>1284</v>
      </c>
      <c r="H189" s="2">
        <f>MROUND((
  (IF(AND(_xlfn.XLOOKUP(B189,'Base stats'!B:B,'Base stats'!AI:AI)=0,BH189="None",_xlfn.XLOOKUP(_xlfn.XLOOKUP(B189,'Base stats'!B:B,'Base stats'!E:E),Groups!A:A,Groups!B:B)=0), (18 + BQ189 * 2.7) * 0.5,
    IF(AND(_xlfn.XLOOKUP(B189,'Base stats'!B:B,'Base stats'!AI:AI)=0,OR(AO189&lt;0.55,AND(BH189="Intermediate",_xlfn.XLOOKUP(_xlfn.XLOOKUP(B189,'Base stats'!B:B,'Base stats'!E:E),Groups!A:A,Groups!B:B)&lt;2))), (18 + BQ189 * 2.7),
      IF(OR(BH189="Advanced",_xlfn.XLOOKUP(B189,'Base stats'!B:B,'Base stats'!AI:AI)=1,_xlfn.XLOOKUP(_xlfn.XLOOKUP(B189,'Base stats'!B:B,'Base stats'!E:E),Groups!A:A,Groups!B:B)=2), (18 + BQ189 * 2.7) + 250, (18 + BQ189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IF(_xlfn.XLOOKUP(B189,'Base stats'!B:B,'Base stats'!AI:AI)=1,0.99,MIN(MROUND((1-0.6282*EXP(-0.459*AO189))*_xlfn.XLOOKUP(_xlfn.XLOOKUP(B189,'Base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W189)),ISNUMBER(SEARCH("IceSheet",BW189))),-50,IF(OR(ISNUMBER(SEARCH("GlacialPlain",BW189)),ISNUMBER(SEARCH("Tundra",BW189))),-40,IF(OR(ISNUMBER(SEARCH("Alpine",BW189)),ISNUMBER(SEARCH("BorealForest",BW189)),ISNUMBER(SEARCH("ColdBog",BW189))),-30,IF(OR(ISNUMBER(SEARCH("TemperateForest",BW189)),ISNUMBER(SEARCH("TemperateSwamp",BW189))),-20,IF(_xlfn.XLOOKUP(_xlfn.XLOOKUP(B189,'Base stats'!B:B,'Base stats'!E:E),Groups!A:A,Groups!F:F)=1,-15,IF(OR(ISNUMBER(SEARCH("Desert",BW189)),ISNUMBER(SEARCH("ExtremeDesert",BW189))),-10,IF(OR(ISNUMBER(SEARCH("Grasslands",BW189)),ISNUMBER(SEARCH("TropicalRainforest",BW189)),ISNUMBER(SEARCH("TropicalSwamp",BW189))),10,0)))))))-IF(CB189="False",MIN(IFERROR(MAX(MROUND(LOG10(_xlfn.XLOOKUP(B189,'Base stats'!B:B,'Base stats'!C:C)^(2/3))*10,5),5),5),30))-_xlfn.XLOOKUP(B189,'Base stats'!B:B,'Base stats'!P:P)+IF(CB189="True",5,0)</f>
        <v>-45</v>
      </c>
      <c r="M189" s="2">
        <f>IF(OR(_xlfn.XLOOKUP(_xlfn.XLOOKUP(B189,'Base stats'!B:B,'Base stats'!E:E),Groups!A:A,Groups!G:G)=2,ISNUMBER(SEARCH("Desert",BW189)),ISNUMBER(SEARCH("ExtremeDesert",BW189)),ISNUMBER(SEARCH("LavaField",BW189))),50,IF(ISNUMBER(SEARCH("Grasslands",BW189)),45,IF(OR(_xlfn.XLOOKUP(_xlfn.XLOOKUP(B189,'Base stats'!B:B,'Base stats'!E:E),Groups!A:A,Groups!G:G)=1,ISNUMBER(SEARCH("TropicalRainforest",BW189)),ISNUMBER(SEARCH("TropicalSwamp",BW189))),40,IF(OR(ISNUMBER(SEARCH("TemperateForest",BW189)),ISNUMBER(SEARCH("TemperateSwamp",BW189))),35,IF(OR(ISNUMBER(SEARCH("Alpine",BW189)),ISNUMBER(SEARCH("BorealForest",BW189)),ISNUMBER(SEARCH("ColdBog",BW189))),30,IF(ISNUMBER(OR(ISNUMBER(SEARCH("GlacialPlain",BW189)),SEARCH("Tundra",BW189))),25,IF(OR(ISNUMBER(SEARCH("SeaIce",BW189)),ISNUMBER(SEARCH("IceSheet",BW189)),ISNUMBER(SEARCH("TropicalSwamp",BW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stats'!AO:AO))*(AO189^0.5)+(_xlfn.XLOOKUP(B189,'Base stats'!B:B,'Base stats'!AO:AO)/1000)^(2/3)+_xlfn.XLOOKUP(B189,'Base stats'!B:B,'Base stats'!AX:AX)/2)+0.5,0.5)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stats'!AP:AP))*(AO189^0.5)+(_xlfn.XLOOKUP(B189,'Base stats'!B:B,'Base stats'!AP:AP)/1000)^(2/3)+_xlfn.XLOOKUP(B189,'Base stats'!B:B,'Base stats'!AX:AX))+_xlfn.XLOOKUP(B189,'Base stats'!B:B,'Base stats'!AV:AV)+0.5,0.5))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stats'!AR:AR))*(AO189^0.5)+(_xlfn.XLOOKUP(B189,'Base stats'!B:B,'Base stats'!AR:AR)/1000)^(2/3)+_xlfn.XLOOKUP(B189,'Base stats'!B:B,'Base stats'!AW:AW))+0.5+IF(_xlfn.XLOOKUP(_xlfn.XLOOKUP(B189,'Base stats'!B:B,'Base stats'!E:E),Groups!A:A,Groups!U:U)&lt;&gt;3,_xlfn.XLOOKUP(B189,'Base stats'!B:B,'Base stats'!AX:AX),0),0.5))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stats'!AQ:AQ)="No","No",MROUND((LOG10(_xlfn.XLOOKUP(B189,'Base stats'!B:B,'Base stats'!AQ:AQ))*(AO189^0.75)+(_xlfn.XLOOKUP(B189,'Base stats'!B:B,'Base stats'!AQ:AQ)/1000)^(2/3)+_xlfn.XLOOKUP(B189,'Base stats'!B:B,'Base stats'!AU:AU)+_xlfn.XLOOKUP(B189,'Base stats'!B:B,'Base stats'!AX:AX))+0.5,0.5))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stats'!AP:AP))*(AO189^0.75)+(_xlfn.XLOOKUP(B189,'Base stats'!B:B,'Base stats'!AP:AP)/1000)^(2/3)+_xlfn.XLOOKUP(B189,'Base stats'!B:B,'Base stats'!AV:AV)+_xlfn.XLOOKUP(B189,'Base stats'!B:B,'Base stats'!AX:AX))+0.5,0.5))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5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MAX(0.01,MROUND(IF(CB189="True",0.196*(AO189*100*1000)^0.889,IF(_xlfn.XLOOKUP(_xlfn.XLOOKUP(B189,'Base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IF(OR(A189="Queen",A189="Larva",A189="Megachicken"),"No",IFERROR(MAX(IF(_xlfn.XLOOKUP(B189,'Base stats'!B:B,'Base stats'!G:G)&lt;0.5,0.2,0.3),MROUND(_xlfn.XLOOKUP(B189,'Base stats'!B:B,'Base stats'!G:G)/(365/60),0.2)),"Unknown"))</f>
        <v>0.3</v>
      </c>
      <c r="AU189" s="8">
        <f t="shared" si="56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7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stats'!AE:AE)</f>
        <v>Leather_Light</v>
      </c>
      <c r="BB189" s="23" t="str">
        <f>_xlfn.XLOOKUP(_xlfn.XLOOKUP(B189,'Base stats'!B:B,'Base stats'!E:E),Groups!A:A,Groups!AL:AL)</f>
        <v>QuadrupedAnimalWithPawsAndTail</v>
      </c>
      <c r="BC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D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E189" s="2" t="str">
        <f>IF(J189&gt;0.3,"No",_xlfn.XLOOKUP(_xlfn.XLOOKUP(Animals!B189,'Base stats'!B:B,'Base stats'!E:E),Groups!A:A,Groups!AP:AP))</f>
        <v>No</v>
      </c>
      <c r="BF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+ 24*(1-IF(BE189="No",0,BE189)) + 16/3, 12),"No")</f>
        <v>No</v>
      </c>
      <c r="BG189" s="2">
        <f>IF(AND(_xlfn.XLOOKUP(_xlfn.XLOOKUP(B189,'Base stats'!B:B,'Base stats'!E:E),Groups!A:A,Groups!AQ:AQ)=1,AO189&lt;=0.35),8,12)</f>
        <v>12</v>
      </c>
      <c r="BH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I189" s="2" t="str">
        <f>IF(AND(_xlfn.XLOOKUP(_xlfn.XLOOKUP(B189,'Base stats'!B:B,'Base stats'!E:E),Groups!A:A,Groups!AS:AS)=1,OR('Base stats'!Y185="Carnivore",'Base stats'!Y185="Omnivore")),"true","false")</f>
        <v>false</v>
      </c>
      <c r="BJ189" s="2" t="str">
        <f>IF(BI189="true",MROUND(IF(AND(AO189&gt;0.5,OR(_xlfn.XLOOKUP(_xlfn.XLOOKUP(B189,'Base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K189" s="2">
        <f t="shared" si="58"/>
        <v>1</v>
      </c>
      <c r="BL189" s="25" t="str">
        <f>IF(_xlfn.XLOOKUP(B189,'Base stats'!B:B,'Base stats'!AK:AK)="Standard","No",MROUND((_xlfn.XLOOKUP(B189,'Base stats'!B:B,'Base stats'!AK:AK)/3.6)/I189,0.1))</f>
        <v>No</v>
      </c>
      <c r="BM189" s="25" t="str">
        <f t="shared" si="59"/>
        <v>false</v>
      </c>
      <c r="BN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O189" s="25" t="str" cm="1">
        <f t="array" ref="BO189">IF(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 = "",
  "No",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
)</f>
        <v>Forage</v>
      </c>
      <c r="BP189" s="25" t="str">
        <f>IF(
   AND(
      'Base stats'!AK185="Standard",_xlfn.XLOOKUP(_xlfn.XLOOKUP(B189,'Base stats'!B:B,'Base stats'!E:E),Groups!A:A,Groups!AU:AU)=0,
      OR(
      BN189="True"
      )
   ),
   10,
   IF(
       OR(BL189&lt;&gt;"No",_xlfn.XLOOKUP(_xlfn.XLOOKUP(B189,'Base stats'!B:B,'Base stats'!E:E),Groups!A:A,Groups!AU:AU)=1),
      1,
      "No"
   )
)</f>
        <v>No</v>
      </c>
      <c r="BQ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stats'!AS:AS) * 1.8) * 2) * 2.5 + 10 + I189 * 2,5)+IF(_xlfn.XLOOKUP(B189,'Base stats'!B:B,'Base stats'!AH:AH)=1,50,0)</f>
        <v>60</v>
      </c>
      <c r="BR189" s="8">
        <f t="shared" si="60"/>
        <v>0.35000000000000003</v>
      </c>
      <c r="BS189" s="8" t="str">
        <f>_xlfn.XLOOKUP(B189,'Base stats'!B:B,'Base stats'!AD:AD)</f>
        <v>No</v>
      </c>
      <c r="BT189" s="2" t="str">
        <f>IF(AND(J189&lt;=0.95,OR(_xlfn.XLOOKUP(B189,'Base stats'!B:B,'Base stats'!AH:AH)=1,_xlfn.XLOOKUP(B189,'Base stats'!B:B,'Base stats'!Y:Y)="Carnivore",_xlfn.XLOOKUP(B189,'Base stats'!B:B,'Base stats'!Y:Y)="Omnivore",BD189&gt;0.1)),"true","false")</f>
        <v>false</v>
      </c>
      <c r="BU189" s="2" t="str">
        <f>IF(_xlfn.XLOOKUP(B189,'Base stats'!B:B,'Base stats'!AF:AF)=1,"true","false")</f>
        <v>false</v>
      </c>
      <c r="BV189" s="25" t="str">
        <f>IF(E189="BaseInsect","AnimalInsect",
IF(J189&gt;0.95,"AnimalExotic",
_xlfn.TEXTJOIN(", ",TRUE,
IF(OR(_xlfn.XLOOKUP(B189,'Base stats'!B:B,'Base stats'!AJ:AJ)=1,AND(_xlfn.XLOOKUP(B189,'Base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stats'!AH:AH)=1,AND(BH189&lt;&gt;"None",BQ189&gt;=60),ISNUMBER(SEARCH("Attack target",BO189))),"AnimalFighter","")
)))</f>
        <v>AnimalUncommon, AnimalFighter</v>
      </c>
      <c r="BW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),_xlfn.XLOOKUP(B189,B:B,BW:BW))</f>
        <v>BorealForest ColdBog TemperateForest TemperateSwamp GlacialPlain</v>
      </c>
      <c r="BX189" s="25" t="str">
        <f>IF(_xlfn.XLOOKUP(B189,'Base stats'!B:B,'Base stats'!AG:AG)=1,"true","false")</f>
        <v>false</v>
      </c>
      <c r="BY189" s="25">
        <f>IF(_xlfn.XLOOKUP(B189,'Base stats'!B:B,'Base stats'!N:N)=1,"No",MAX(0.01,MIN(MROUND(IF(OR(_xlfn.XLOOKUP(B189,'Base stats'!B:B,'Base stats'!AJ:AJ)=1,AND(BI189="True",CB189="False")),POWER(10,3.47*LOG10(_xlfn.XLOOKUP(B189,'Base stats'!B:B,'Base stats'!C:C)*1000)^-0.96),POWER(10,4.15*LOG10(_xlfn.XLOOKUP(B189,'Base stats'!B:B,'Base stats'!C:C)*1000)^-0.73))*IF(OR(_xlfn.XLOOKUP(B189,'Base stats'!B:B,'Base stats'!AJ:AJ)=1,_xlfn.XLOOKUP(B189,'Base stats'!B:B,'Base stats'!AH:AH)=1),0.5,1)/100,0.025),1)))</f>
        <v>0.30000000000000004</v>
      </c>
      <c r="BZ189" s="25" t="str">
        <f>IF(P189="Standard","No",MAX(0.01,IF(_xlfn.XLOOKUP(B189,'Base stats'!B:B,'Base stats'!N:N)=0,MROUND(BY189*P189,0.05),MIN(1,MAX(0.025,MROUND(IF(OR(CB189="true",AND(BI189="false",BN189="false")),POWER(10,4.15*LOG10(_xlfn.XLOOKUP(B189,'Base stats'!B:B,'Base stats'!C:C)*1000)^-0.73),POWER(10,3.47*LOG10(_xlfn.XLOOKUP(B189,'Base stats'!B:B,'Base stats'!C:C)*1000)^-0.96))*IF(_xlfn.XLOOKUP(B189,'Base stats'!B:B,'Base stats'!AH:AH)=1,0.5,1)/100,0.025))))))</f>
        <v>No</v>
      </c>
      <c r="CA189" s="25" t="str">
        <f>IF(_xlfn.XLOOKUP(_xlfn.XLOOKUP(B189,'Base stats'!B:B,'Base stats'!E:E),Groups!A:A,Groups!AJ:AJ)="Mammal","True","False")</f>
        <v>True</v>
      </c>
      <c r="CB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C189" s="25" t="str">
        <f t="shared" si="61"/>
        <v>False</v>
      </c>
      <c r="CD189" s="25" t="str">
        <f>IF(_xlfn.XLOOKUP(_xlfn.XLOOKUP(B189,'Base stats'!B:B,'Base stats'!E:E),Groups!A:A,Groups!AX:AX),"True","False")</f>
        <v>False</v>
      </c>
      <c r="CE189" s="25" t="str">
        <f>IF(_xlfn.XLOOKUP(_xlfn.XLOOKUP(B189,'Base stats'!B:B,'Base stats'!E:E),Groups!A:A,Groups!AY:AY),"True","False")</f>
        <v>False</v>
      </c>
      <c r="CF189" s="25" t="str">
        <f>IF(_xlfn.XLOOKUP(_xlfn.XLOOKUP(B189,'Base stats'!B:B,'Base stats'!E:E),Groups!A:A,Groups!AW:AW),"True","False")</f>
        <v>False</v>
      </c>
      <c r="CG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H189" s="25" t="str">
        <f>IF(_xlfn.XLOOKUP(_xlfn.XLOOKUP(B189,'Base stats'!B:B,'Base stats'!E:E),Groups!A:A,Groups!BB:BB),"True","False")</f>
        <v>True</v>
      </c>
      <c r="CI189" s="25" t="str">
        <f>IF(_xlfn.XLOOKUP(_xlfn.XLOOKUP(B189,'Base stats'!B:B,'Base stats'!E:E),Groups!A:A,Groups!BA:BA),"True","False")</f>
        <v>False</v>
      </c>
    </row>
    <row r="190" spans="1:87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1289</v>
      </c>
      <c r="D190" s="28" t="s">
        <v>884</v>
      </c>
      <c r="E190" s="28" t="s">
        <v>685</v>
      </c>
      <c r="F190" s="28" t="s">
        <v>685</v>
      </c>
      <c r="G190" s="28" t="s">
        <v>1284</v>
      </c>
      <c r="H190" s="2">
        <f>MROUND((
  (IF(AND(_xlfn.XLOOKUP(B190,'Base stats'!B:B,'Base stats'!AI:AI)=0,BH190="None",_xlfn.XLOOKUP(_xlfn.XLOOKUP(B190,'Base stats'!B:B,'Base stats'!E:E),Groups!A:A,Groups!B:B)=0), (18 + BQ190 * 2.7) * 0.5,
    IF(AND(_xlfn.XLOOKUP(B190,'Base stats'!B:B,'Base stats'!AI:AI)=0,OR(AO190&lt;0.55,AND(BH190="Intermediate",_xlfn.XLOOKUP(_xlfn.XLOOKUP(B190,'Base stats'!B:B,'Base stats'!E:E),Groups!A:A,Groups!B:B)&lt;2))), (18 + BQ190 * 2.7),
      IF(OR(BH190="Advanced",_xlfn.XLOOKUP(B190,'Base stats'!B:B,'Base stats'!AI:AI)=1,_xlfn.XLOOKUP(_xlfn.XLOOKUP(B190,'Base stats'!B:B,'Base stats'!E:E),Groups!A:A,Groups!B:B)=2), (18 + BQ190 * 2.7) + 250, (18 + BQ190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IF(_xlfn.XLOOKUP(B190,'Base stats'!B:B,'Base stats'!AI:AI)=1,0.99,MIN(MROUND((1-0.6282*EXP(-0.459*AO190))*_xlfn.XLOOKUP(_xlfn.XLOOKUP(B190,'Base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W190)),ISNUMBER(SEARCH("IceSheet",BW190))),-50,IF(OR(ISNUMBER(SEARCH("GlacialPlain",BW190)),ISNUMBER(SEARCH("Tundra",BW190))),-40,IF(OR(ISNUMBER(SEARCH("Alpine",BW190)),ISNUMBER(SEARCH("BorealForest",BW190)),ISNUMBER(SEARCH("ColdBog",BW190))),-30,IF(OR(ISNUMBER(SEARCH("TemperateForest",BW190)),ISNUMBER(SEARCH("TemperateSwamp",BW190))),-20,IF(_xlfn.XLOOKUP(_xlfn.XLOOKUP(B190,'Base stats'!B:B,'Base stats'!E:E),Groups!A:A,Groups!F:F)=1,-15,IF(OR(ISNUMBER(SEARCH("Desert",BW190)),ISNUMBER(SEARCH("ExtremeDesert",BW190))),-10,IF(OR(ISNUMBER(SEARCH("Grasslands",BW190)),ISNUMBER(SEARCH("TropicalRainforest",BW190)),ISNUMBER(SEARCH("TropicalSwamp",BW190))),10,0)))))))-IF(CB190="False",MIN(IFERROR(MAX(MROUND(LOG10(_xlfn.XLOOKUP(B190,'Base stats'!B:B,'Base stats'!C:C)^(2/3))*10,5),5),5),30))-_xlfn.XLOOKUP(B190,'Base stats'!B:B,'Base stats'!P:P)+IF(CB190="True",5,0)</f>
        <v>-5</v>
      </c>
      <c r="M190" s="2">
        <f>IF(OR(_xlfn.XLOOKUP(_xlfn.XLOOKUP(B190,'Base stats'!B:B,'Base stats'!E:E),Groups!A:A,Groups!G:G)=2,ISNUMBER(SEARCH("Desert",BW190)),ISNUMBER(SEARCH("ExtremeDesert",BW190)),ISNUMBER(SEARCH("LavaField",BW190))),50,IF(ISNUMBER(SEARCH("Grasslands",BW190)),45,IF(OR(_xlfn.XLOOKUP(_xlfn.XLOOKUP(B190,'Base stats'!B:B,'Base stats'!E:E),Groups!A:A,Groups!G:G)=1,ISNUMBER(SEARCH("TropicalRainforest",BW190)),ISNUMBER(SEARCH("TropicalSwamp",BW190))),40,IF(OR(ISNUMBER(SEARCH("TemperateForest",BW190)),ISNUMBER(SEARCH("TemperateSwamp",BW190))),35,IF(OR(ISNUMBER(SEARCH("Alpine",BW190)),ISNUMBER(SEARCH("BorealForest",BW190)),ISNUMBER(SEARCH("ColdBog",BW190))),30,IF(ISNUMBER(OR(ISNUMBER(SEARCH("GlacialPlain",BW190)),SEARCH("Tundra",BW190))),25,IF(OR(ISNUMBER(SEARCH("SeaIce",BW190)),ISNUMBER(SEARCH("IceSheet",BW190)),ISNUMBER(SEARCH("TropicalSwamp",BW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stats'!AO:AO))*(AO190^0.5)+(_xlfn.XLOOKUP(B190,'Base stats'!B:B,'Base stats'!AO:AO)/1000)^(2/3)+_xlfn.XLOOKUP(B190,'Base stats'!B:B,'Base stats'!AX:AX)/2)+0.5,0.5)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stats'!AP:AP))*(AO190^0.5)+(_xlfn.XLOOKUP(B190,'Base stats'!B:B,'Base stats'!AP:AP)/1000)^(2/3)+_xlfn.XLOOKUP(B190,'Base stats'!B:B,'Base stats'!AX:AX))+_xlfn.XLOOKUP(B190,'Base stats'!B:B,'Base stats'!AV:AV)+0.5,0.5))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stats'!AR:AR))*(AO190^0.5)+(_xlfn.XLOOKUP(B190,'Base stats'!B:B,'Base stats'!AR:AR)/1000)^(2/3)+_xlfn.XLOOKUP(B190,'Base stats'!B:B,'Base stats'!AW:AW))+0.5+IF(_xlfn.XLOOKUP(_xlfn.XLOOKUP(B190,'Base stats'!B:B,'Base stats'!E:E),Groups!A:A,Groups!U:U)&lt;&gt;3,_xlfn.XLOOKUP(B190,'Base stats'!B:B,'Base stats'!AX:AX),0),0.5))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stats'!AQ:AQ)="No","No",MROUND((LOG10(_xlfn.XLOOKUP(B190,'Base stats'!B:B,'Base stats'!AQ:AQ))*(AO190^0.75)+(_xlfn.XLOOKUP(B190,'Base stats'!B:B,'Base stats'!AQ:AQ)/1000)^(2/3)+_xlfn.XLOOKUP(B190,'Base stats'!B:B,'Base stats'!AU:AU)+_xlfn.XLOOKUP(B190,'Base stats'!B:B,'Base stats'!AX:AX))+0.5,0.5))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stats'!AP:AP))*(AO190^0.75)+(_xlfn.XLOOKUP(B190,'Base stats'!B:B,'Base stats'!AP:AP)/1000)^(2/3)+_xlfn.XLOOKUP(B190,'Base stats'!B:B,'Base stats'!AV:AV)+_xlfn.XLOOKUP(B190,'Base stats'!B:B,'Base stats'!AX:AX))+0.5,0.5))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5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MAX(0.01,MROUND(IF(CB190="True",0.196*(AO190*100*1000)^0.889,IF(_xlfn.XLOOKUP(_xlfn.XLOOKUP(B190,'Base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56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7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stats'!AE:AE)</f>
        <v>Leather_Light</v>
      </c>
      <c r="BB190" s="23" t="str">
        <f>_xlfn.XLOOKUP(_xlfn.XLOOKUP(B190,'Base stats'!B:B,'Base stats'!E:E),Groups!A:A,Groups!AL:AL)</f>
        <v>Ape</v>
      </c>
      <c r="BC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D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E190" s="2" t="str">
        <f>IF(J190&gt;0.3,"No",_xlfn.XLOOKUP(_xlfn.XLOOKUP(Animals!B190,'Base stats'!B:B,'Base stats'!E:E),Groups!A:A,Groups!AP:AP))</f>
        <v>No</v>
      </c>
      <c r="BF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+ 24*(1-IF(BE190="No",0,BE190)) + 16/3, 12),"No")</f>
        <v>No</v>
      </c>
      <c r="BG190" s="2">
        <f>IF(AND(_xlfn.XLOOKUP(_xlfn.XLOOKUP(B190,'Base stats'!B:B,'Base stats'!E:E),Groups!A:A,Groups!AQ:AQ)=1,AO190&lt;=0.35),8,12)</f>
        <v>12</v>
      </c>
      <c r="BH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I190" s="2" t="str">
        <f>IF(AND(_xlfn.XLOOKUP(_xlfn.XLOOKUP(B190,'Base stats'!B:B,'Base stats'!E:E),Groups!A:A,Groups!AS:AS)=1,OR('Base stats'!Y186="Carnivore",'Base stats'!Y186="Omnivore")),"true","false")</f>
        <v>false</v>
      </c>
      <c r="BJ190" s="2" t="str">
        <f>IF(BI190="true",MROUND(IF(AND(AO190&gt;0.5,OR(_xlfn.XLOOKUP(_xlfn.XLOOKUP(B190,'Base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K190" s="2">
        <f t="shared" si="58"/>
        <v>1</v>
      </c>
      <c r="BL190" s="25" t="str">
        <f>IF(_xlfn.XLOOKUP(B190,'Base stats'!B:B,'Base stats'!AK:AK)="Standard","No",MROUND((_xlfn.XLOOKUP(B190,'Base stats'!B:B,'Base stats'!AK:AK)/3.6)/I190,0.1))</f>
        <v>No</v>
      </c>
      <c r="BM190" s="25" t="str">
        <f t="shared" si="59"/>
        <v>false</v>
      </c>
      <c r="BN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O190" s="25" t="str" cm="1">
        <f t="array" ref="BO190">IF(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 = "",
  "No",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
)</f>
        <v>Forage</v>
      </c>
      <c r="BP190" s="25" t="str">
        <f>IF(
   AND(
      'Base stats'!AK186="Standard",_xlfn.XLOOKUP(_xlfn.XLOOKUP(B190,'Base stats'!B:B,'Base stats'!E:E),Groups!A:A,Groups!AU:AU)=0,
      OR(
      BN190="True"
      )
   ),
   10,
   IF(
       OR(BL190&lt;&gt;"No",_xlfn.XLOOKUP(_xlfn.XLOOKUP(B190,'Base stats'!B:B,'Base stats'!E:E),Groups!A:A,Groups!AU:AU)=1),
      1,
      "No"
   )
)</f>
        <v>No</v>
      </c>
      <c r="BQ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stats'!AS:AS) * 1.8) * 2) * 2.5 + 10 + I190 * 2,5)+IF(_xlfn.XLOOKUP(B190,'Base stats'!B:B,'Base stats'!AH:AH)=1,50,0)</f>
        <v>125</v>
      </c>
      <c r="BR190" s="8">
        <f t="shared" si="60"/>
        <v>0.9</v>
      </c>
      <c r="BS190" s="8" t="str">
        <f>_xlfn.XLOOKUP(B190,'Base stats'!B:B,'Base stats'!AD:AD)</f>
        <v>3~10</v>
      </c>
      <c r="BT190" s="2" t="str">
        <f>IF(AND(J190&lt;=0.95,OR(_xlfn.XLOOKUP(B190,'Base stats'!B:B,'Base stats'!AH:AH)=1,_xlfn.XLOOKUP(B190,'Base stats'!B:B,'Base stats'!Y:Y)="Carnivore",_xlfn.XLOOKUP(B190,'Base stats'!B:B,'Base stats'!Y:Y)="Omnivore",BD190&gt;0.1)),"true","false")</f>
        <v>false</v>
      </c>
      <c r="BU190" s="2" t="str">
        <f>IF(_xlfn.XLOOKUP(B190,'Base stats'!B:B,'Base stats'!AF:AF)=1,"true","false")</f>
        <v>false</v>
      </c>
      <c r="BV190" s="25" t="str">
        <f>IF(E190="BaseInsect","AnimalInsect",
IF(J190&gt;0.95,"AnimalExotic",
_xlfn.TEXTJOIN(", ",TRUE,
IF(OR(_xlfn.XLOOKUP(B190,'Base stats'!B:B,'Base stats'!AJ:AJ)=1,AND(_xlfn.XLOOKUP(B190,'Base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stats'!AH:AH)=1,AND(BH190&lt;&gt;"None",BQ190&gt;=60),ISNUMBER(SEARCH("Attack target",BO190))),"AnimalFighter","")
)))</f>
        <v>AnimalUncommon, AnimalFighter</v>
      </c>
      <c r="BW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),_xlfn.XLOOKUP(B190,B:B,BW:BW))</f>
        <v>TropicalRainforest TropicalSwamp Glowforest</v>
      </c>
      <c r="BX190" s="25" t="str">
        <f>IF(_xlfn.XLOOKUP(B190,'Base stats'!B:B,'Base stats'!AG:AG)=1,"true","false")</f>
        <v>false</v>
      </c>
      <c r="BY190" s="25">
        <f>IF(_xlfn.XLOOKUP(B190,'Base stats'!B:B,'Base stats'!N:N)=1,"No",MAX(0.01,MIN(MROUND(IF(OR(_xlfn.XLOOKUP(B190,'Base stats'!B:B,'Base stats'!AJ:AJ)=1,AND(BI190="True",CB190="False")),POWER(10,3.47*LOG10(_xlfn.XLOOKUP(B190,'Base stats'!B:B,'Base stats'!C:C)*1000)^-0.96),POWER(10,4.15*LOG10(_xlfn.XLOOKUP(B190,'Base stats'!B:B,'Base stats'!C:C)*1000)^-0.73))*IF(OR(_xlfn.XLOOKUP(B190,'Base stats'!B:B,'Base stats'!AJ:AJ)=1,_xlfn.XLOOKUP(B190,'Base stats'!B:B,'Base stats'!AH:AH)=1),0.5,1)/100,0.025),1)))</f>
        <v>0.17500000000000002</v>
      </c>
      <c r="BZ190" s="25" t="str">
        <f>IF(P190="Standard","No",MAX(0.01,IF(_xlfn.XLOOKUP(B190,'Base stats'!B:B,'Base stats'!N:N)=0,MROUND(BY190*P190,0.05),MIN(1,MAX(0.025,MROUND(IF(OR(CB190="true",AND(BI190="false",BN190="false")),POWER(10,4.15*LOG10(_xlfn.XLOOKUP(B190,'Base stats'!B:B,'Base stats'!C:C)*1000)^-0.73),POWER(10,3.47*LOG10(_xlfn.XLOOKUP(B190,'Base stats'!B:B,'Base stats'!C:C)*1000)^-0.96))*IF(_xlfn.XLOOKUP(B190,'Base stats'!B:B,'Base stats'!AH:AH)=1,0.5,1)/100,0.025))))))</f>
        <v>No</v>
      </c>
      <c r="CA190" s="25" t="str">
        <f>IF(_xlfn.XLOOKUP(_xlfn.XLOOKUP(B190,'Base stats'!B:B,'Base stats'!E:E),Groups!A:A,Groups!AJ:AJ)="Mammal","True","False")</f>
        <v>True</v>
      </c>
      <c r="CB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C190" s="25" t="str">
        <f t="shared" si="61"/>
        <v>False</v>
      </c>
      <c r="CD190" s="25" t="str">
        <f>IF(_xlfn.XLOOKUP(_xlfn.XLOOKUP(B190,'Base stats'!B:B,'Base stats'!E:E),Groups!A:A,Groups!AX:AX),"True","False")</f>
        <v>False</v>
      </c>
      <c r="CE190" s="25" t="str">
        <f>IF(_xlfn.XLOOKUP(_xlfn.XLOOKUP(B190,'Base stats'!B:B,'Base stats'!E:E),Groups!A:A,Groups!AY:AY),"True","False")</f>
        <v>False</v>
      </c>
      <c r="CF190" s="25" t="str">
        <f>IF(_xlfn.XLOOKUP(_xlfn.XLOOKUP(B190,'Base stats'!B:B,'Base stats'!E:E),Groups!A:A,Groups!AW:AW),"True","False")</f>
        <v>False</v>
      </c>
      <c r="CG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H190" s="25" t="str">
        <f>IF(_xlfn.XLOOKUP(_xlfn.XLOOKUP(B190,'Base stats'!B:B,'Base stats'!E:E),Groups!A:A,Groups!BB:BB),"True","False")</f>
        <v>True</v>
      </c>
      <c r="CI190" s="25" t="str">
        <f>IF(_xlfn.XLOOKUP(_xlfn.XLOOKUP(B190,'Base stats'!B:B,'Base stats'!E:E),Groups!A:A,Groups!BA:BA),"True","False")</f>
        <v>False</v>
      </c>
    </row>
    <row r="191" spans="1:87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1294</v>
      </c>
      <c r="D191" s="28" t="s">
        <v>884</v>
      </c>
      <c r="E191" s="28" t="s">
        <v>685</v>
      </c>
      <c r="F191" s="28" t="s">
        <v>688</v>
      </c>
      <c r="G191" s="28" t="s">
        <v>1284</v>
      </c>
      <c r="H191" s="2">
        <f>MROUND((
  (IF(AND(_xlfn.XLOOKUP(B191,'Base stats'!B:B,'Base stats'!AI:AI)=0,BH191="None",_xlfn.XLOOKUP(_xlfn.XLOOKUP(B191,'Base stats'!B:B,'Base stats'!E:E),Groups!A:A,Groups!B:B)=0), (18 + BQ191 * 2.7) * 0.5,
    IF(AND(_xlfn.XLOOKUP(B191,'Base stats'!B:B,'Base stats'!AI:AI)=0,OR(AO191&lt;0.55,AND(BH191="Intermediate",_xlfn.XLOOKUP(_xlfn.XLOOKUP(B191,'Base stats'!B:B,'Base stats'!E:E),Groups!A:A,Groups!B:B)&lt;2))), (18 + BQ191 * 2.7),
      IF(OR(BH191="Advanced",_xlfn.XLOOKUP(B191,'Base stats'!B:B,'Base stats'!AI:AI)=1,_xlfn.XLOOKUP(_xlfn.XLOOKUP(B191,'Base stats'!B:B,'Base stats'!E:E),Groups!A:A,Groups!B:B)=2), (18 + BQ191 * 2.7) + 250, (18 + BQ191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IF(_xlfn.XLOOKUP(B191,'Base stats'!B:B,'Base stats'!AI:AI)=1,0.99,MIN(MROUND((1-0.6282*EXP(-0.459*AO191))*_xlfn.XLOOKUP(_xlfn.XLOOKUP(B191,'Base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W191)),ISNUMBER(SEARCH("IceSheet",BW191))),-50,IF(OR(ISNUMBER(SEARCH("GlacialPlain",BW191)),ISNUMBER(SEARCH("Tundra",BW191))),-40,IF(OR(ISNUMBER(SEARCH("Alpine",BW191)),ISNUMBER(SEARCH("BorealForest",BW191)),ISNUMBER(SEARCH("ColdBog",BW191))),-30,IF(OR(ISNUMBER(SEARCH("TemperateForest",BW191)),ISNUMBER(SEARCH("TemperateSwamp",BW191))),-20,IF(_xlfn.XLOOKUP(_xlfn.XLOOKUP(B191,'Base stats'!B:B,'Base stats'!E:E),Groups!A:A,Groups!F:F)=1,-15,IF(OR(ISNUMBER(SEARCH("Desert",BW191)),ISNUMBER(SEARCH("ExtremeDesert",BW191))),-10,IF(OR(ISNUMBER(SEARCH("Grasslands",BW191)),ISNUMBER(SEARCH("TropicalRainforest",BW191)),ISNUMBER(SEARCH("TropicalSwamp",BW191))),10,0)))))))-IF(CB191="False",MIN(IFERROR(MAX(MROUND(LOG10(_xlfn.XLOOKUP(B191,'Base stats'!B:B,'Base stats'!C:C)^(2/3))*10,5),5),5),30))-_xlfn.XLOOKUP(B191,'Base stats'!B:B,'Base stats'!P:P)+IF(CB191="True",5,0)</f>
        <v>-60</v>
      </c>
      <c r="M191" s="2">
        <f>IF(OR(_xlfn.XLOOKUP(_xlfn.XLOOKUP(B191,'Base stats'!B:B,'Base stats'!E:E),Groups!A:A,Groups!G:G)=2,ISNUMBER(SEARCH("Desert",BW191)),ISNUMBER(SEARCH("ExtremeDesert",BW191)),ISNUMBER(SEARCH("LavaField",BW191))),50,IF(ISNUMBER(SEARCH("Grasslands",BW191)),45,IF(OR(_xlfn.XLOOKUP(_xlfn.XLOOKUP(B191,'Base stats'!B:B,'Base stats'!E:E),Groups!A:A,Groups!G:G)=1,ISNUMBER(SEARCH("TropicalRainforest",BW191)),ISNUMBER(SEARCH("TropicalSwamp",BW191))),40,IF(OR(ISNUMBER(SEARCH("TemperateForest",BW191)),ISNUMBER(SEARCH("TemperateSwamp",BW191))),35,IF(OR(ISNUMBER(SEARCH("Alpine",BW191)),ISNUMBER(SEARCH("BorealForest",BW191)),ISNUMBER(SEARCH("ColdBog",BW191))),30,IF(ISNUMBER(OR(ISNUMBER(SEARCH("GlacialPlain",BW191)),SEARCH("Tundra",BW191))),25,IF(OR(ISNUMBER(SEARCH("SeaIce",BW191)),ISNUMBER(SEARCH("IceSheet",BW191)),ISNUMBER(SEARCH("TropicalSwamp",BW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stats'!AO:AO))*(AO191^0.5)+(_xlfn.XLOOKUP(B191,'Base stats'!B:B,'Base stats'!AO:AO)/1000)^(2/3)+_xlfn.XLOOKUP(B191,'Base stats'!B:B,'Base stats'!AX:AX)/2)+0.5,0.5)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stats'!AP:AP))*(AO191^0.5)+(_xlfn.XLOOKUP(B191,'Base stats'!B:B,'Base stats'!AP:AP)/1000)^(2/3)+_xlfn.XLOOKUP(B191,'Base stats'!B:B,'Base stats'!AX:AX))+_xlfn.XLOOKUP(B191,'Base stats'!B:B,'Base stats'!AV:AV)+0.5,0.5))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stats'!AR:AR))*(AO191^0.5)+(_xlfn.XLOOKUP(B191,'Base stats'!B:B,'Base stats'!AR:AR)/1000)^(2/3)+_xlfn.XLOOKUP(B191,'Base stats'!B:B,'Base stats'!AW:AW))+0.5+IF(_xlfn.XLOOKUP(_xlfn.XLOOKUP(B191,'Base stats'!B:B,'Base stats'!E:E),Groups!A:A,Groups!U:U)&lt;&gt;3,_xlfn.XLOOKUP(B191,'Base stats'!B:B,'Base stats'!AX:AX),0),0.5))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stats'!AQ:AQ)="No","No",MROUND((LOG10(_xlfn.XLOOKUP(B191,'Base stats'!B:B,'Base stats'!AQ:AQ))*(AO191^0.75)+(_xlfn.XLOOKUP(B191,'Base stats'!B:B,'Base stats'!AQ:AQ)/1000)^(2/3)+_xlfn.XLOOKUP(B191,'Base stats'!B:B,'Base stats'!AU:AU)+_xlfn.XLOOKUP(B191,'Base stats'!B:B,'Base stats'!AX:AX))+0.5,0.5))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stats'!AP:AP))*(AO191^0.75)+(_xlfn.XLOOKUP(B191,'Base stats'!B:B,'Base stats'!AP:AP)/1000)^(2/3)+_xlfn.XLOOKUP(B191,'Base stats'!B:B,'Base stats'!AV:AV)+_xlfn.XLOOKUP(B191,'Base stats'!B:B,'Base stats'!AX:AX))+0.5,0.5))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5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MAX(0.01,MROUND(IF(CB191="True",0.196*(AO191*100*1000)^0.889,IF(_xlfn.XLOOKUP(_xlfn.XLOOKUP(B191,'Base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IF(OR(A191="Queen",A191="Larva",A191="Megachicken"),"No",IFERROR(MAX(IF(_xlfn.XLOOKUP(B191,'Base stats'!B:B,'Base stats'!G:G)&lt;0.5,0.2,0.3),MROUND(_xlfn.XLOOKUP(B191,'Base stats'!B:B,'Base stats'!G:G)/(365/60),0.2)),"Unknown"))</f>
        <v>0.8</v>
      </c>
      <c r="AU191" s="8">
        <f t="shared" si="56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7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stats'!AE:AE)</f>
        <v>No</v>
      </c>
      <c r="BB191" s="23" t="str">
        <f>_xlfn.XLOOKUP(_xlfn.XLOOKUP(B191,'Base stats'!B:B,'Base stats'!E:E),Groups!A:A,Groups!AL:AL)</f>
        <v>Bird</v>
      </c>
      <c r="BC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D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E191" s="2" t="str">
        <f>IF(J191&gt;0.3,"No",_xlfn.XLOOKUP(_xlfn.XLOOKUP(Animals!B191,'Base stats'!B:B,'Base stats'!E:E),Groups!A:A,Groups!AP:AP))</f>
        <v>No</v>
      </c>
      <c r="BF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+ 24*(1-IF(BE191="No",0,BE191)) + 16/3, 12),"No")</f>
        <v>No</v>
      </c>
      <c r="BG191" s="2">
        <f>IF(AND(_xlfn.XLOOKUP(_xlfn.XLOOKUP(B191,'Base stats'!B:B,'Base stats'!E:E),Groups!A:A,Groups!AQ:AQ)=1,AO191&lt;=0.35),8,12)</f>
        <v>12</v>
      </c>
      <c r="BH191" s="2" t="str">
        <f>IF(_xlfn.XLOOKUP(_xlfn.XLOOKUP(B191,'Base stats'!B:B,'Base stats'!E:E),Groups!A:A,Groups!D:D)=0,_xlfn.XLOOKUP(_xlfn.XLOOKUP(B191,'Base stats'!B:B,'Base stats'!E:E),Groups!A:A,Groups!AR:AR),"None")</f>
        <v>None</v>
      </c>
      <c r="BI191" s="2" t="str">
        <f>IF(AND(_xlfn.XLOOKUP(_xlfn.XLOOKUP(B191,'Base stats'!B:B,'Base stats'!E:E),Groups!A:A,Groups!AS:AS)=1,OR('Base stats'!Y192="Carnivore",'Base stats'!Y192="Omnivore")),"true","false")</f>
        <v>false</v>
      </c>
      <c r="BJ191" s="2" t="str">
        <f>IF(BI191="true",MROUND(IF(AND(AO191&gt;0.5,OR(_xlfn.XLOOKUP(_xlfn.XLOOKUP(B191,'Base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K191" s="2">
        <f t="shared" si="58"/>
        <v>0</v>
      </c>
      <c r="BL191" s="25">
        <f>IF(_xlfn.XLOOKUP(B191,'Base stats'!B:B,'Base stats'!AK:AK)="Standard","No",MROUND((_xlfn.XLOOKUP(B191,'Base stats'!B:B,'Base stats'!AK:AK)/3.6)/I191,0.1))</f>
        <v>2</v>
      </c>
      <c r="BM191" s="25" t="str">
        <f t="shared" si="59"/>
        <v>true</v>
      </c>
      <c r="BN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O191" s="25" t="str" cm="1">
        <f t="array" ref="BO191">IF(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 = "",
  "No",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
)</f>
        <v>No</v>
      </c>
      <c r="BP191" s="25">
        <f>IF(
   AND(
      'Base stats'!AK192="Standard",_xlfn.XLOOKUP(_xlfn.XLOOKUP(B191,'Base stats'!B:B,'Base stats'!E:E),Groups!A:A,Groups!AU:AU)=0,
      OR(
      BN191="True"
      )
   ),
   10,
   IF(
       OR(BL191&lt;&gt;"No",_xlfn.XLOOKUP(_xlfn.XLOOKUP(B191,'Base stats'!B:B,'Base stats'!E:E),Groups!A:A,Groups!AU:AU)=1),
      1,
      "No"
   )
)</f>
        <v>1</v>
      </c>
      <c r="BQ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stats'!AS:AS) * 1.8) * 2) * 2.5 + 10 + I191 * 2,5)+IF(_xlfn.XLOOKUP(B191,'Base stats'!B:B,'Base stats'!AH:AH)=1,50,0)</f>
        <v>45</v>
      </c>
      <c r="BR191" s="8">
        <f t="shared" si="60"/>
        <v>0.60000000000000009</v>
      </c>
      <c r="BS191" s="8" t="str">
        <f>_xlfn.XLOOKUP(B191,'Base stats'!B:B,'Base stats'!AD:AD)</f>
        <v>5~15</v>
      </c>
      <c r="BT191" s="2" t="str">
        <f>IF(AND(J191&lt;=0.95,OR(_xlfn.XLOOKUP(B191,'Base stats'!B:B,'Base stats'!AH:AH)=1,_xlfn.XLOOKUP(B191,'Base stats'!B:B,'Base stats'!Y:Y)="Carnivore",_xlfn.XLOOKUP(B191,'Base stats'!B:B,'Base stats'!Y:Y)="Omnivore",BD191&gt;0.1)),"true","false")</f>
        <v>true</v>
      </c>
      <c r="BU191" s="2" t="str">
        <f>IF(_xlfn.XLOOKUP(B191,'Base stats'!B:B,'Base stats'!AF:AF)=1,"true","false")</f>
        <v>false</v>
      </c>
      <c r="BV191" s="25" t="str">
        <f>IF(E191="BaseInsect","AnimalInsect",
IF(J191&gt;0.95,"AnimalExotic",
_xlfn.TEXTJOIN(", ",TRUE,
IF(OR(_xlfn.XLOOKUP(B191,'Base stats'!B:B,'Base stats'!AJ:AJ)=1,AND(_xlfn.XLOOKUP(B191,'Base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stats'!AH:AH)=1,AND(BH191&lt;&gt;"None",BQ191&gt;=60),ISNUMBER(SEARCH("Attack target",BO191))),"AnimalFighter","")
)))</f>
        <v>AnimalUncommon</v>
      </c>
      <c r="BW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),_xlfn.XLOOKUP(B191,B:B,BW:BW))</f>
        <v>SeaIce IceSheet Tundra</v>
      </c>
      <c r="BX191" s="25" t="str">
        <f>IF(_xlfn.XLOOKUP(B191,'Base stats'!B:B,'Base stats'!AG:AG)=1,"true","false")</f>
        <v>true</v>
      </c>
      <c r="BY191" s="25">
        <f>IF(_xlfn.XLOOKUP(B191,'Base stats'!B:B,'Base stats'!N:N)=1,"No",MAX(0.01,MIN(MROUND(IF(OR(_xlfn.XLOOKUP(B191,'Base stats'!B:B,'Base stats'!AJ:AJ)=1,AND(BI191="True",CB191="False")),POWER(10,3.47*LOG10(_xlfn.XLOOKUP(B191,'Base stats'!B:B,'Base stats'!C:C)*1000)^-0.96),POWER(10,4.15*LOG10(_xlfn.XLOOKUP(B191,'Base stats'!B:B,'Base stats'!C:C)*1000)^-0.73))*IF(OR(_xlfn.XLOOKUP(B191,'Base stats'!B:B,'Base stats'!AJ:AJ)=1,_xlfn.XLOOKUP(B191,'Base stats'!B:B,'Base stats'!AH:AH)=1),0.5,1)/100,0.025),1)))</f>
        <v>0.25</v>
      </c>
      <c r="BZ191" s="25" t="str">
        <f>IF(P191="Standard","No",MAX(0.01,IF(_xlfn.XLOOKUP(B191,'Base stats'!B:B,'Base stats'!N:N)=0,MROUND(BY191*P191,0.05),MIN(1,MAX(0.025,MROUND(IF(OR(CB191="true",AND(BI191="false",BN191="false")),POWER(10,4.15*LOG10(_xlfn.XLOOKUP(B191,'Base stats'!B:B,'Base stats'!C:C)*1000)^-0.73),POWER(10,3.47*LOG10(_xlfn.XLOOKUP(B191,'Base stats'!B:B,'Base stats'!C:C)*1000)^-0.96))*IF(_xlfn.XLOOKUP(B191,'Base stats'!B:B,'Base stats'!AH:AH)=1,0.5,1)/100,0.025))))))</f>
        <v>No</v>
      </c>
      <c r="CA191" s="25" t="str">
        <f>IF(_xlfn.XLOOKUP(_xlfn.XLOOKUP(B191,'Base stats'!B:B,'Base stats'!E:E),Groups!A:A,Groups!AJ:AJ)="Mammal","True","False")</f>
        <v>False</v>
      </c>
      <c r="CB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C191" s="25" t="str">
        <f t="shared" si="61"/>
        <v>False</v>
      </c>
      <c r="CD191" s="25" t="str">
        <f>IF(_xlfn.XLOOKUP(_xlfn.XLOOKUP(B191,'Base stats'!B:B,'Base stats'!E:E),Groups!A:A,Groups!AX:AX),"True","False")</f>
        <v>False</v>
      </c>
      <c r="CE191" s="25" t="str">
        <f>IF(_xlfn.XLOOKUP(_xlfn.XLOOKUP(B191,'Base stats'!B:B,'Base stats'!E:E),Groups!A:A,Groups!AY:AY),"True","False")</f>
        <v>False</v>
      </c>
      <c r="CF191" s="25" t="str">
        <f>IF(_xlfn.XLOOKUP(_xlfn.XLOOKUP(B191,'Base stats'!B:B,'Base stats'!E:E),Groups!A:A,Groups!AW:AW),"True","False")</f>
        <v>False</v>
      </c>
      <c r="CG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H191" s="25" t="str">
        <f>IF(_xlfn.XLOOKUP(_xlfn.XLOOKUP(B191,'Base stats'!B:B,'Base stats'!E:E),Groups!A:A,Groups!BB:BB),"True","False")</f>
        <v>True</v>
      </c>
      <c r="CI191" s="25" t="str">
        <f>IF(_xlfn.XLOOKUP(_xlfn.XLOOKUP(B191,'Base stats'!B:B,'Base stats'!E:E),Groups!A:A,Groups!BA:BA),"True","False")</f>
        <v>False</v>
      </c>
    </row>
    <row r="192" spans="1:87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1295</v>
      </c>
      <c r="D192" s="28" t="s">
        <v>884</v>
      </c>
      <c r="E192" s="28" t="s">
        <v>685</v>
      </c>
      <c r="F192" s="28" t="s">
        <v>685</v>
      </c>
      <c r="G192" s="28" t="s">
        <v>1284</v>
      </c>
      <c r="H192" s="2">
        <f>MROUND((
  (IF(AND(_xlfn.XLOOKUP(B192,'Base stats'!B:B,'Base stats'!AI:AI)=0,BH192="None",_xlfn.XLOOKUP(_xlfn.XLOOKUP(B192,'Base stats'!B:B,'Base stats'!E:E),Groups!A:A,Groups!B:B)=0), (18 + BQ192 * 2.7) * 0.5,
    IF(AND(_xlfn.XLOOKUP(B192,'Base stats'!B:B,'Base stats'!AI:AI)=0,OR(AO192&lt;0.55,AND(BH192="Intermediate",_xlfn.XLOOKUP(_xlfn.XLOOKUP(B192,'Base stats'!B:B,'Base stats'!E:E),Groups!A:A,Groups!B:B)&lt;2))), (18 + BQ192 * 2.7),
      IF(OR(BH192="Advanced",_xlfn.XLOOKUP(B192,'Base stats'!B:B,'Base stats'!AI:AI)=1,_xlfn.XLOOKUP(_xlfn.XLOOKUP(B192,'Base stats'!B:B,'Base stats'!E:E),Groups!A:A,Groups!B:B)=2), (18 + BQ192 * 2.7) + 250, (18 + BQ192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IF(_xlfn.XLOOKUP(B192,'Base stats'!B:B,'Base stats'!AI:AI)=1,0.99,MIN(MROUND((1-0.6282*EXP(-0.459*AO192))*_xlfn.XLOOKUP(_xlfn.XLOOKUP(B192,'Base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W192)),ISNUMBER(SEARCH("IceSheet",BW192))),-50,IF(OR(ISNUMBER(SEARCH("GlacialPlain",BW192)),ISNUMBER(SEARCH("Tundra",BW192))),-40,IF(OR(ISNUMBER(SEARCH("Alpine",BW192)),ISNUMBER(SEARCH("BorealForest",BW192)),ISNUMBER(SEARCH("ColdBog",BW192))),-30,IF(OR(ISNUMBER(SEARCH("TemperateForest",BW192)),ISNUMBER(SEARCH("TemperateSwamp",BW192))),-20,IF(_xlfn.XLOOKUP(_xlfn.XLOOKUP(B192,'Base stats'!B:B,'Base stats'!E:E),Groups!A:A,Groups!F:F)=1,-15,IF(OR(ISNUMBER(SEARCH("Desert",BW192)),ISNUMBER(SEARCH("ExtremeDesert",BW192))),-10,IF(OR(ISNUMBER(SEARCH("Grasslands",BW192)),ISNUMBER(SEARCH("TropicalRainforest",BW192)),ISNUMBER(SEARCH("TropicalSwamp",BW192))),10,0)))))))-IF(CB192="False",MIN(IFERROR(MAX(MROUND(LOG10(_xlfn.XLOOKUP(B192,'Base stats'!B:B,'Base stats'!C:C)^(2/3))*10,5),5),5),30))-_xlfn.XLOOKUP(B192,'Base stats'!B:B,'Base stats'!P:P)+IF(CB192="True",5,0)</f>
        <v>-10</v>
      </c>
      <c r="M192" s="2">
        <f>IF(OR(_xlfn.XLOOKUP(_xlfn.XLOOKUP(B192,'Base stats'!B:B,'Base stats'!E:E),Groups!A:A,Groups!G:G)=2,ISNUMBER(SEARCH("Desert",BW192)),ISNUMBER(SEARCH("ExtremeDesert",BW192)),ISNUMBER(SEARCH("LavaField",BW192))),50,IF(ISNUMBER(SEARCH("Grasslands",BW192)),45,IF(OR(_xlfn.XLOOKUP(_xlfn.XLOOKUP(B192,'Base stats'!B:B,'Base stats'!E:E),Groups!A:A,Groups!G:G)=1,ISNUMBER(SEARCH("TropicalRainforest",BW192)),ISNUMBER(SEARCH("TropicalSwamp",BW192))),40,IF(OR(ISNUMBER(SEARCH("TemperateForest",BW192)),ISNUMBER(SEARCH("TemperateSwamp",BW192))),35,IF(OR(ISNUMBER(SEARCH("Alpine",BW192)),ISNUMBER(SEARCH("BorealForest",BW192)),ISNUMBER(SEARCH("ColdBog",BW192))),30,IF(ISNUMBER(OR(ISNUMBER(SEARCH("GlacialPlain",BW192)),SEARCH("Tundra",BW192))),25,IF(OR(ISNUMBER(SEARCH("SeaIce",BW192)),ISNUMBER(SEARCH("IceSheet",BW192)),ISNUMBER(SEARCH("TropicalSwamp",BW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stats'!AO:AO))*(AO192^0.5)+(_xlfn.XLOOKUP(B192,'Base stats'!B:B,'Base stats'!AO:AO)/1000)^(2/3)+_xlfn.XLOOKUP(B192,'Base stats'!B:B,'Base stats'!AX:AX)/2)+0.5,0.5)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stats'!AP:AP))*(AO192^0.5)+(_xlfn.XLOOKUP(B192,'Base stats'!B:B,'Base stats'!AP:AP)/1000)^(2/3)+_xlfn.XLOOKUP(B192,'Base stats'!B:B,'Base stats'!AX:AX))+_xlfn.XLOOKUP(B192,'Base stats'!B:B,'Base stats'!AV:AV)+0.5,0.5))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stats'!AR:AR))*(AO192^0.5)+(_xlfn.XLOOKUP(B192,'Base stats'!B:B,'Base stats'!AR:AR)/1000)^(2/3)+_xlfn.XLOOKUP(B192,'Base stats'!B:B,'Base stats'!AW:AW))+0.5+IF(_xlfn.XLOOKUP(_xlfn.XLOOKUP(B192,'Base stats'!B:B,'Base stats'!E:E),Groups!A:A,Groups!U:U)&lt;&gt;3,_xlfn.XLOOKUP(B192,'Base stats'!B:B,'Base stats'!AX:AX),0),0.5))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stats'!AQ:AQ)="No","No",MROUND((LOG10(_xlfn.XLOOKUP(B192,'Base stats'!B:B,'Base stats'!AQ:AQ))*(AO192^0.75)+(_xlfn.XLOOKUP(B192,'Base stats'!B:B,'Base stats'!AQ:AQ)/1000)^(2/3)+_xlfn.XLOOKUP(B192,'Base stats'!B:B,'Base stats'!AU:AU)+_xlfn.XLOOKUP(B192,'Base stats'!B:B,'Base stats'!AX:AX))+0.5,0.5))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stats'!AP:AP))*(AO192^0.75)+(_xlfn.XLOOKUP(B192,'Base stats'!B:B,'Base stats'!AP:AP)/1000)^(2/3)+_xlfn.XLOOKUP(B192,'Base stats'!B:B,'Base stats'!AV:AV)+_xlfn.XLOOKUP(B192,'Base stats'!B:B,'Base stats'!AX:AX))+0.5,0.5))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62">IF(BI192="false","No",MROUND(AO192*5+15*1,5))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MAX(0.01,MROUND(IF(CB192="True",0.196*(AO192*100*1000)^0.889,IF(_xlfn.XLOOKUP(_xlfn.XLOOKUP(B192,'Base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ref="AU192:AU196" si="63">IF(OR(A192="Queen",A192="Larva",A192="Megachicken"),"No",IFERROR(MROUND(AT192/2,0.05),"Unknown"))</f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64">IF(BS192="No","false","true")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stats'!AE:AE)</f>
        <v>Leather_Hippo</v>
      </c>
      <c r="BB192" s="23" t="str">
        <f>_xlfn.XLOOKUP(_xlfn.XLOOKUP(B192,'Base stats'!B:B,'Base stats'!E:E),Groups!A:A,Groups!AL:AL)</f>
        <v>QuadrupedAnimalWithHooves</v>
      </c>
      <c r="BC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D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E192" s="2" t="str">
        <f>IF(J192&gt;0.3,"No",_xlfn.XLOOKUP(_xlfn.XLOOKUP(Animals!B192,'Base stats'!B:B,'Base stats'!E:E),Groups!A:A,Groups!AP:AP))</f>
        <v>No</v>
      </c>
      <c r="BF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+ 24*(1-IF(BE192="No",0,BE192)) + 16/3, 12),"No")</f>
        <v>No</v>
      </c>
      <c r="BG192" s="2">
        <f>IF(AND(_xlfn.XLOOKUP(_xlfn.XLOOKUP(B192,'Base stats'!B:B,'Base stats'!E:E),Groups!A:A,Groups!AQ:AQ)=1,AO192&lt;=0.35),8,12)</f>
        <v>12</v>
      </c>
      <c r="BH192" s="2" t="str">
        <f>IF(_xlfn.XLOOKUP(_xlfn.XLOOKUP(B192,'Base stats'!B:B,'Base stats'!E:E),Groups!A:A,Groups!D:D)=0,_xlfn.XLOOKUP(_xlfn.XLOOKUP(B192,'Base stats'!B:B,'Base stats'!E:E),Groups!A:A,Groups!AR:AR),"None")</f>
        <v>None</v>
      </c>
      <c r="BI192" s="2" t="str">
        <f>IF(AND(_xlfn.XLOOKUP(_xlfn.XLOOKUP(B192,'Base stats'!B:B,'Base stats'!E:E),Groups!A:A,Groups!AS:AS)=1,OR('Base stats'!Y192="Carnivore",'Base stats'!Y192="Omnivore")),"true","false")</f>
        <v>false</v>
      </c>
      <c r="BJ192" s="2" t="str">
        <f>IF(BI192="true",MROUND(IF(AND(AO192&gt;0.5,OR(_xlfn.XLOOKUP(_xlfn.XLOOKUP(B192,'Base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K192" s="2">
        <f t="shared" ref="BK192:BK196" si="65">IF(BH192&lt;&gt;"None",1,0)</f>
        <v>0</v>
      </c>
      <c r="BL192" s="25" t="str">
        <f>IF(_xlfn.XLOOKUP(B192,'Base stats'!B:B,'Base stats'!AK:AK)="Standard","No",MROUND((_xlfn.XLOOKUP(B192,'Base stats'!B:B,'Base stats'!AK:AK)/3.6)/I192,0.1))</f>
        <v>No</v>
      </c>
      <c r="BM192" s="25" t="str">
        <f t="shared" ref="BM192:BM196" si="66">IF(OR(BL192&lt;&gt;"No",BP192=1),"true","false")</f>
        <v>true</v>
      </c>
      <c r="BN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O192" s="25" t="str" cm="1">
        <f t="array" ref="BO192">IF(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 = "",
  "No",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
)</f>
        <v>No</v>
      </c>
      <c r="BP192" s="25">
        <f>IF(
   AND(
      'Base stats'!AK192="Standard",_xlfn.XLOOKUP(_xlfn.XLOOKUP(B192,'Base stats'!B:B,'Base stats'!E:E),Groups!A:A,Groups!AU:AU)=0,
      OR(
      BN192="True"
      )
   ),
   10,
   IF(
       OR(BL192&lt;&gt;"No",_xlfn.XLOOKUP(_xlfn.XLOOKUP(B192,'Base stats'!B:B,'Base stats'!E:E),Groups!A:A,Groups!AU:AU)=1),
      1,
      "No"
   )
)</f>
        <v>1</v>
      </c>
      <c r="BQ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stats'!AS:AS) * 1.8) * 2) * 2.5 + 10 + I192 * 2,5)+IF(_xlfn.XLOOKUP(B192,'Base stats'!B:B,'Base stats'!AH:AH)=1,50,0)</f>
        <v>390</v>
      </c>
      <c r="BR192" s="8">
        <f t="shared" ref="BR192:BR196" si="67">MROUND(AO192 * 0.2 + AQ192 * 0.8,0.05)</f>
        <v>2.5</v>
      </c>
      <c r="BS192" s="8" t="str">
        <f>_xlfn.XLOOKUP(B192,'Base stats'!B:B,'Base stats'!AD:AD)</f>
        <v>5~15</v>
      </c>
      <c r="BT192" s="2" t="str">
        <f>IF(AND(J192&lt;=0.95,OR(_xlfn.XLOOKUP(B192,'Base stats'!B:B,'Base stats'!AH:AH)=1,_xlfn.XLOOKUP(B192,'Base stats'!B:B,'Base stats'!Y:Y)="Carnivore",_xlfn.XLOOKUP(B192,'Base stats'!B:B,'Base stats'!Y:Y)="Omnivore",BD192&gt;0.1)),"true","false")</f>
        <v>true</v>
      </c>
      <c r="BU192" s="2" t="str">
        <f>IF(_xlfn.XLOOKUP(B192,'Base stats'!B:B,'Base stats'!AF:AF)=1,"true","false")</f>
        <v>false</v>
      </c>
      <c r="BV192" s="25" t="str">
        <f>IF(E192="BaseInsect","AnimalInsect",
IF(J192&gt;0.95,"AnimalExotic",
_xlfn.TEXTJOIN(", ",TRUE,
IF(OR(_xlfn.XLOOKUP(B192,'Base stats'!B:B,'Base stats'!AJ:AJ)=1,AND(_xlfn.XLOOKUP(B192,'Base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stats'!AH:AH)=1,AND(BH192&lt;&gt;"None",BQ192&gt;=60),ISNUMBER(SEARCH("Attack target",BO192))),"AnimalFighter","")
)))</f>
        <v>AnimalCommon</v>
      </c>
      <c r="BW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),_xlfn.XLOOKUP(B192,B:B,BW:BW))</f>
        <v>TropicalSwamp Glowforest</v>
      </c>
      <c r="BX192" s="25" t="str">
        <f>IF(_xlfn.XLOOKUP(B192,'Base stats'!B:B,'Base stats'!AG:AG)=1,"true","false")</f>
        <v>false</v>
      </c>
      <c r="BY192" s="25">
        <f>IF(_xlfn.XLOOKUP(B192,'Base stats'!B:B,'Base stats'!N:N)=1,"No",MAX(0.01,MIN(MROUND(IF(OR(_xlfn.XLOOKUP(B192,'Base stats'!B:B,'Base stats'!AJ:AJ)=1,AND(BI192="True",CB192="False")),POWER(10,3.47*LOG10(_xlfn.XLOOKUP(B192,'Base stats'!B:B,'Base stats'!C:C)*1000)^-0.96),POWER(10,4.15*LOG10(_xlfn.XLOOKUP(B192,'Base stats'!B:B,'Base stats'!C:C)*1000)^-0.73))*IF(OR(_xlfn.XLOOKUP(B192,'Base stats'!B:B,'Base stats'!AJ:AJ)=1,_xlfn.XLOOKUP(B192,'Base stats'!B:B,'Base stats'!AH:AH)=1),0.5,1)/100,0.025),1)))</f>
        <v>0.125</v>
      </c>
      <c r="BZ192" s="25" t="str">
        <f>IF(P192="Standard","No",MAX(0.01,IF(_xlfn.XLOOKUP(B192,'Base stats'!B:B,'Base stats'!N:N)=0,MROUND(BY192*P192,0.05),MIN(1,MAX(0.025,MROUND(IF(OR(CB192="true",AND(BI192="false",BN192="false")),POWER(10,4.15*LOG10(_xlfn.XLOOKUP(B192,'Base stats'!B:B,'Base stats'!C:C)*1000)^-0.73),POWER(10,3.47*LOG10(_xlfn.XLOOKUP(B192,'Base stats'!B:B,'Base stats'!C:C)*1000)^-0.96))*IF(_xlfn.XLOOKUP(B192,'Base stats'!B:B,'Base stats'!AH:AH)=1,0.5,1)/100,0.025))))))</f>
        <v>No</v>
      </c>
      <c r="CA192" s="25" t="str">
        <f>IF(_xlfn.XLOOKUP(_xlfn.XLOOKUP(B192,'Base stats'!B:B,'Base stats'!E:E),Groups!A:A,Groups!AJ:AJ)="Mammal","True","False")</f>
        <v>True</v>
      </c>
      <c r="CB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C192" s="25" t="str">
        <f t="shared" ref="CC192:CC196" si="68">IF(J192&gt;0.95,"True","False")</f>
        <v>False</v>
      </c>
      <c r="CD192" s="25" t="str">
        <f>IF(_xlfn.XLOOKUP(_xlfn.XLOOKUP(B192,'Base stats'!B:B,'Base stats'!E:E),Groups!A:A,Groups!AX:AX),"True","False")</f>
        <v>False</v>
      </c>
      <c r="CE192" s="25" t="str">
        <f>IF(_xlfn.XLOOKUP(_xlfn.XLOOKUP(B192,'Base stats'!B:B,'Base stats'!E:E),Groups!A:A,Groups!AY:AY),"True","False")</f>
        <v>False</v>
      </c>
      <c r="CF192" s="25" t="str">
        <f>IF(_xlfn.XLOOKUP(_xlfn.XLOOKUP(B192,'Base stats'!B:B,'Base stats'!E:E),Groups!A:A,Groups!AW:AW),"True","False")</f>
        <v>False</v>
      </c>
      <c r="CG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H192" s="25" t="str">
        <f>IF(_xlfn.XLOOKUP(_xlfn.XLOOKUP(B192,'Base stats'!B:B,'Base stats'!E:E),Groups!A:A,Groups!BB:BB),"True","False")</f>
        <v>True</v>
      </c>
      <c r="CI192" s="25" t="str">
        <f>IF(_xlfn.XLOOKUP(_xlfn.XLOOKUP(B192,'Base stats'!B:B,'Base stats'!E:E),Groups!A:A,Groups!BA:BA),"True","False")</f>
        <v>False</v>
      </c>
    </row>
    <row r="193" spans="1:87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1334</v>
      </c>
      <c r="D193" s="28" t="s">
        <v>884</v>
      </c>
      <c r="E193" s="28" t="s">
        <v>685</v>
      </c>
      <c r="F193" s="28" t="s">
        <v>685</v>
      </c>
      <c r="G193" s="28" t="s">
        <v>1284</v>
      </c>
      <c r="H193" s="2">
        <f>MROUND((
  (IF(AND(_xlfn.XLOOKUP(B193,'Base stats'!B:B,'Base stats'!AI:AI)=0,BH193="None",_xlfn.XLOOKUP(_xlfn.XLOOKUP(B193,'Base stats'!B:B,'Base stats'!E:E),Groups!A:A,Groups!B:B)=0), (18 + BQ193 * 2.7) * 0.5,
    IF(AND(_xlfn.XLOOKUP(B193,'Base stats'!B:B,'Base stats'!AI:AI)=0,OR(AO193&lt;0.55,AND(BH193="Intermediate",_xlfn.XLOOKUP(_xlfn.XLOOKUP(B193,'Base stats'!B:B,'Base stats'!E:E),Groups!A:A,Groups!B:B)&lt;2))), (18 + BQ193 * 2.7),
      IF(OR(BH193="Advanced",_xlfn.XLOOKUP(B193,'Base stats'!B:B,'Base stats'!AI:AI)=1,_xlfn.XLOOKUP(_xlfn.XLOOKUP(B193,'Base stats'!B:B,'Base stats'!E:E),Groups!A:A,Groups!B:B)=2), (18 + BQ193 * 2.7) + 250, (18 + BQ193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IF(_xlfn.XLOOKUP(B193,'Base stats'!B:B,'Base stats'!AI:AI)=1,0.99,MIN(MROUND((1-0.6282*EXP(-0.459*AO193))*_xlfn.XLOOKUP(_xlfn.XLOOKUP(B193,'Base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W193)),ISNUMBER(SEARCH("IceSheet",BW193))),-50,IF(OR(ISNUMBER(SEARCH("GlacialPlain",BW193)),ISNUMBER(SEARCH("Tundra",BW193))),-40,IF(OR(ISNUMBER(SEARCH("Alpine",BW193)),ISNUMBER(SEARCH("BorealForest",BW193)),ISNUMBER(SEARCH("ColdBog",BW193))),-30,IF(OR(ISNUMBER(SEARCH("TemperateForest",BW193)),ISNUMBER(SEARCH("TemperateSwamp",BW193))),-20,IF(_xlfn.XLOOKUP(_xlfn.XLOOKUP(B193,'Base stats'!B:B,'Base stats'!E:E),Groups!A:A,Groups!F:F)=1,-15,IF(OR(ISNUMBER(SEARCH("Desert",BW193)),ISNUMBER(SEARCH("ExtremeDesert",BW193))),-10,IF(OR(ISNUMBER(SEARCH("Grasslands",BW193)),ISNUMBER(SEARCH("TropicalRainforest",BW193)),ISNUMBER(SEARCH("TropicalSwamp",BW193))),10,0)))))))-IF(CB193="False",MIN(IFERROR(MAX(MROUND(LOG10(_xlfn.XLOOKUP(B193,'Base stats'!B:B,'Base stats'!C:C)^(2/3))*10,5),5),5),30))-_xlfn.XLOOKUP(B193,'Base stats'!B:B,'Base stats'!P:P)+IF(CB193="True",5,0)</f>
        <v>-35</v>
      </c>
      <c r="M193" s="2">
        <f>IF(OR(_xlfn.XLOOKUP(_xlfn.XLOOKUP(B193,'Base stats'!B:B,'Base stats'!E:E),Groups!A:A,Groups!G:G)=2,ISNUMBER(SEARCH("Desert",BW193)),ISNUMBER(SEARCH("ExtremeDesert",BW193)),ISNUMBER(SEARCH("LavaField",BW193))),50,IF(ISNUMBER(SEARCH("Grasslands",BW193)),45,IF(OR(_xlfn.XLOOKUP(_xlfn.XLOOKUP(B193,'Base stats'!B:B,'Base stats'!E:E),Groups!A:A,Groups!G:G)=1,ISNUMBER(SEARCH("TropicalRainforest",BW193)),ISNUMBER(SEARCH("TropicalSwamp",BW193))),40,IF(OR(ISNUMBER(SEARCH("TemperateForest",BW193)),ISNUMBER(SEARCH("TemperateSwamp",BW193))),35,IF(OR(ISNUMBER(SEARCH("Alpine",BW193)),ISNUMBER(SEARCH("BorealForest",BW193)),ISNUMBER(SEARCH("ColdBog",BW193))),30,IF(ISNUMBER(OR(ISNUMBER(SEARCH("GlacialPlain",BW193)),SEARCH("Tundra",BW193))),25,IF(OR(ISNUMBER(SEARCH("SeaIce",BW193)),ISNUMBER(SEARCH("IceSheet",BW193)),ISNUMBER(SEARCH("TropicalSwamp",BW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stats'!AO:AO))*(AO193^0.5)+(_xlfn.XLOOKUP(B193,'Base stats'!B:B,'Base stats'!AO:AO)/1000)^(2/3)+_xlfn.XLOOKUP(B193,'Base stats'!B:B,'Base stats'!AX:AX)/2)+0.5,0.5)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stats'!AP:AP))*(AO193^0.5)+(_xlfn.XLOOKUP(B193,'Base stats'!B:B,'Base stats'!AP:AP)/1000)^(2/3)+_xlfn.XLOOKUP(B193,'Base stats'!B:B,'Base stats'!AX:AX))+_xlfn.XLOOKUP(B193,'Base stats'!B:B,'Base stats'!AV:AV)+0.5,0.5))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stats'!AR:AR))*(AO193^0.5)+(_xlfn.XLOOKUP(B193,'Base stats'!B:B,'Base stats'!AR:AR)/1000)^(2/3)+_xlfn.XLOOKUP(B193,'Base stats'!B:B,'Base stats'!AW:AW))+0.5+IF(_xlfn.XLOOKUP(_xlfn.XLOOKUP(B193,'Base stats'!B:B,'Base stats'!E:E),Groups!A:A,Groups!U:U)&lt;&gt;3,_xlfn.XLOOKUP(B193,'Base stats'!B:B,'Base stats'!AX:AX),0),0.5))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stats'!AQ:AQ)="No","No",MROUND((LOG10(_xlfn.XLOOKUP(B193,'Base stats'!B:B,'Base stats'!AQ:AQ))*(AO193^0.75)+(_xlfn.XLOOKUP(B193,'Base stats'!B:B,'Base stats'!AQ:AQ)/1000)^(2/3)+_xlfn.XLOOKUP(B193,'Base stats'!B:B,'Base stats'!AU:AU)+_xlfn.XLOOKUP(B193,'Base stats'!B:B,'Base stats'!AX:AX))+0.5,0.5))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stats'!AP:AP))*(AO193^0.75)+(_xlfn.XLOOKUP(B193,'Base stats'!B:B,'Base stats'!AP:AP)/1000)^(2/3)+_xlfn.XLOOKUP(B193,'Base stats'!B:B,'Base stats'!AV:AV)+_xlfn.XLOOKUP(B193,'Base stats'!B:B,'Base stats'!AX:AX))+0.5,0.5))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 t="str">
        <f t="shared" si="62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MAX(0.01,MROUND(IF(CB193="True",0.196*(AO193*100*1000)^0.889,IF(_xlfn.XLOOKUP(_xlfn.XLOOKUP(B193,'Base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IF(OR(A193="Queen",A193="Larva",A193="Megachicken"),"No",IFERROR(MAX(IF(_xlfn.XLOOKUP(B193,'Base stats'!B:B,'Base stats'!G:G)&lt;0.5,0.2,0.3),MROUND(_xlfn.XLOOKUP(B193,'Base stats'!B:B,'Base stats'!G:G)/(365/60),0.2)),"Unknown"))</f>
        <v>0.3</v>
      </c>
      <c r="AU193" s="8">
        <f t="shared" si="63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64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stats'!AE:AE)</f>
        <v>Leather_Light</v>
      </c>
      <c r="BB193" s="23" t="str">
        <f>_xlfn.XLOOKUP(_xlfn.XLOOKUP(B193,'Base stats'!B:B,'Base stats'!E:E),Groups!A:A,Groups!AL:AL)</f>
        <v>QuadrupedAnimalWithPawsAndTail</v>
      </c>
      <c r="BC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D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E193" s="2" t="str">
        <f>IF(J193&gt;0.3,"No",_xlfn.XLOOKUP(_xlfn.XLOOKUP(Animals!B193,'Base stats'!B:B,'Base stats'!E:E),Groups!A:A,Groups!AP:AP))</f>
        <v>No</v>
      </c>
      <c r="BF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+ 24*(1-IF(BE193="No",0,BE193)) + 16/3, 12),"No")</f>
        <v>No</v>
      </c>
      <c r="BG193" s="2">
        <f>IF(AND(_xlfn.XLOOKUP(_xlfn.XLOOKUP(B193,'Base stats'!B:B,'Base stats'!E:E),Groups!A:A,Groups!AQ:AQ)=1,AO193&lt;=0.35),8,12)</f>
        <v>12</v>
      </c>
      <c r="BH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I193" s="2" t="str">
        <f>IF(AND(_xlfn.XLOOKUP(_xlfn.XLOOKUP(B193,'Base stats'!B:B,'Base stats'!E:E),Groups!A:A,Groups!AS:AS)=1,OR('Base stats'!Y193="Carnivore",'Base stats'!Y193="Omnivore")),"true","false")</f>
        <v>false</v>
      </c>
      <c r="BJ193" s="2" t="str">
        <f>IF(BI193="true",MROUND(IF(AND(AO193&gt;0.5,OR(_xlfn.XLOOKUP(_xlfn.XLOOKUP(B193,'Base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K193" s="2">
        <f t="shared" si="65"/>
        <v>1</v>
      </c>
      <c r="BL193" s="25">
        <f>IF(_xlfn.XLOOKUP(B193,'Base stats'!B:B,'Base stats'!AK:AK)="Standard","No",MROUND((_xlfn.XLOOKUP(B193,'Base stats'!B:B,'Base stats'!AK:AK)/3.6)/I193,0.1))</f>
        <v>1</v>
      </c>
      <c r="BM193" s="25" t="str">
        <f t="shared" si="66"/>
        <v>true</v>
      </c>
      <c r="BN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O193" s="25" t="str" cm="1">
        <f t="array" ref="BO193">IF(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 = "",
  "No",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
)</f>
        <v>No</v>
      </c>
      <c r="BP193" s="25">
        <f>IF(
   AND(
      'Base stats'!AK193="Standard",_xlfn.XLOOKUP(_xlfn.XLOOKUP(B193,'Base stats'!B:B,'Base stats'!E:E),Groups!A:A,Groups!AU:AU)=0,
      OR(
      BN193="True"
      )
   ),
   10,
   IF(
       OR(BL193&lt;&gt;"No",_xlfn.XLOOKUP(_xlfn.XLOOKUP(B193,'Base stats'!B:B,'Base stats'!E:E),Groups!A:A,Groups!AU:AU)=1),
      1,
      "No"
   )
)</f>
        <v>1</v>
      </c>
      <c r="BQ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stats'!AS:AS) * 1.8) * 2) * 2.5 + 10 + I193 * 2,5)+IF(_xlfn.XLOOKUP(B193,'Base stats'!B:B,'Base stats'!AH:AH)=1,50,0)</f>
        <v>50</v>
      </c>
      <c r="BR193" s="8">
        <f t="shared" si="67"/>
        <v>0.35000000000000003</v>
      </c>
      <c r="BS193" s="8" t="str">
        <f>_xlfn.XLOOKUP(B193,'Base stats'!B:B,'Base stats'!AD:AD)</f>
        <v>No</v>
      </c>
      <c r="BT193" s="2" t="str">
        <f>IF(AND(J193&lt;=0.95,OR(_xlfn.XLOOKUP(B193,'Base stats'!B:B,'Base stats'!AH:AH)=1,_xlfn.XLOOKUP(B193,'Base stats'!B:B,'Base stats'!Y:Y)="Carnivore",_xlfn.XLOOKUP(B193,'Base stats'!B:B,'Base stats'!Y:Y)="Omnivore",BD193&gt;0.1)),"true","false")</f>
        <v>true</v>
      </c>
      <c r="BU193" s="2" t="str">
        <f>IF(_xlfn.XLOOKUP(B193,'Base stats'!B:B,'Base stats'!AF:AF)=1,"true","false")</f>
        <v>false</v>
      </c>
      <c r="BV193" s="25" t="str">
        <f>IF(E193="BaseInsect","AnimalInsect",
IF(J193&gt;0.95,"AnimalExotic",
_xlfn.TEXTJOIN(", ",TRUE,
IF(OR(_xlfn.XLOOKUP(B193,'Base stats'!B:B,'Base stats'!AJ:AJ)=1,AND(_xlfn.XLOOKUP(B193,'Base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stats'!AH:AH)=1,AND(BH193&lt;&gt;"None",BQ193&gt;=60),ISNUMBER(SEARCH("Attack target",BO193))),"AnimalFighter","")
)))</f>
        <v>AnimalUncommon</v>
      </c>
      <c r="BW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),_xlfn.XLOOKUP(B193,B:B,BW:BW))</f>
        <v>ColdBog TemperateSwamp</v>
      </c>
      <c r="BX193" s="25" t="str">
        <f>IF(_xlfn.XLOOKUP(B193,'Base stats'!B:B,'Base stats'!AG:AG)=1,"true","false")</f>
        <v>false</v>
      </c>
      <c r="BY193" s="25">
        <f>IF(_xlfn.XLOOKUP(B193,'Base stats'!B:B,'Base stats'!N:N)=1,"No",MAX(0.01,MIN(MROUND(IF(OR(_xlfn.XLOOKUP(B193,'Base stats'!B:B,'Base stats'!AJ:AJ)=1,AND(BI193="True",CB193="False")),POWER(10,3.47*LOG10(_xlfn.XLOOKUP(B193,'Base stats'!B:B,'Base stats'!C:C)*1000)^-0.96),POWER(10,4.15*LOG10(_xlfn.XLOOKUP(B193,'Base stats'!B:B,'Base stats'!C:C)*1000)^-0.73))*IF(OR(_xlfn.XLOOKUP(B193,'Base stats'!B:B,'Base stats'!AJ:AJ)=1,_xlfn.XLOOKUP(B193,'Base stats'!B:B,'Base stats'!AH:AH)=1),0.5,1)/100,0.025),1)))</f>
        <v>0.32500000000000001</v>
      </c>
      <c r="BZ193" s="25" t="str">
        <f>IF(P193="Standard","No",MAX(0.01,IF(_xlfn.XLOOKUP(B193,'Base stats'!B:B,'Base stats'!N:N)=0,MROUND(BY193*P193,0.05),MIN(1,MAX(0.025,MROUND(IF(OR(CB193="true",AND(BI193="false",BN193="false")),POWER(10,4.15*LOG10(_xlfn.XLOOKUP(B193,'Base stats'!B:B,'Base stats'!C:C)*1000)^-0.73),POWER(10,3.47*LOG10(_xlfn.XLOOKUP(B193,'Base stats'!B:B,'Base stats'!C:C)*1000)^-0.96))*IF(_xlfn.XLOOKUP(B193,'Base stats'!B:B,'Base stats'!AH:AH)=1,0.5,1)/100,0.025))))))</f>
        <v>No</v>
      </c>
      <c r="CA193" s="25" t="str">
        <f>IF(_xlfn.XLOOKUP(_xlfn.XLOOKUP(B193,'Base stats'!B:B,'Base stats'!E:E),Groups!A:A,Groups!AJ:AJ)="Mammal","True","False")</f>
        <v>True</v>
      </c>
      <c r="CB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C193" s="25" t="str">
        <f t="shared" si="68"/>
        <v>False</v>
      </c>
      <c r="CD193" s="25" t="str">
        <f>IF(_xlfn.XLOOKUP(_xlfn.XLOOKUP(B193,'Base stats'!B:B,'Base stats'!E:E),Groups!A:A,Groups!AX:AX),"True","False")</f>
        <v>False</v>
      </c>
      <c r="CE193" s="25" t="str">
        <f>IF(_xlfn.XLOOKUP(_xlfn.XLOOKUP(B193,'Base stats'!B:B,'Base stats'!E:E),Groups!A:A,Groups!AY:AY),"True","False")</f>
        <v>False</v>
      </c>
      <c r="CF193" s="25" t="str">
        <f>IF(_xlfn.XLOOKUP(_xlfn.XLOOKUP(B193,'Base stats'!B:B,'Base stats'!E:E),Groups!A:A,Groups!AW:AW),"True","False")</f>
        <v>False</v>
      </c>
      <c r="CG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H193" s="25" t="str">
        <f>IF(_xlfn.XLOOKUP(_xlfn.XLOOKUP(B193,'Base stats'!B:B,'Base stats'!E:E),Groups!A:A,Groups!BB:BB),"True","False")</f>
        <v>True</v>
      </c>
      <c r="CI193" s="25" t="str">
        <f>IF(_xlfn.XLOOKUP(_xlfn.XLOOKUP(B193,'Base stats'!B:B,'Base stats'!E:E),Groups!A:A,Groups!BA:BA),"True","False")</f>
        <v>False</v>
      </c>
    </row>
    <row r="194" spans="1:87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1296</v>
      </c>
      <c r="D194" s="28" t="s">
        <v>884</v>
      </c>
      <c r="E194" s="28" t="s">
        <v>685</v>
      </c>
      <c r="F194" s="28" t="s">
        <v>685</v>
      </c>
      <c r="G194" s="28" t="s">
        <v>1284</v>
      </c>
      <c r="H194" s="2">
        <f>MROUND((
  (IF(AND(_xlfn.XLOOKUP(B194,'Base stats'!B:B,'Base stats'!AI:AI)=0,BH194="None",_xlfn.XLOOKUP(_xlfn.XLOOKUP(B194,'Base stats'!B:B,'Base stats'!E:E),Groups!A:A,Groups!B:B)=0), (18 + BQ194 * 2.7) * 0.5,
    IF(AND(_xlfn.XLOOKUP(B194,'Base stats'!B:B,'Base stats'!AI:AI)=0,OR(AO194&lt;0.55,AND(BH194="Intermediate",_xlfn.XLOOKUP(_xlfn.XLOOKUP(B194,'Base stats'!B:B,'Base stats'!E:E),Groups!A:A,Groups!B:B)&lt;2))), (18 + BQ194 * 2.7),
      IF(OR(BH194="Advanced",_xlfn.XLOOKUP(B194,'Base stats'!B:B,'Base stats'!AI:AI)=1,_xlfn.XLOOKUP(_xlfn.XLOOKUP(B194,'Base stats'!B:B,'Base stats'!E:E),Groups!A:A,Groups!B:B)=2), (18 + BQ194 * 2.7) + 250, (18 + BQ194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IF(_xlfn.XLOOKUP(B194,'Base stats'!B:B,'Base stats'!AI:AI)=1,0.99,MIN(MROUND((1-0.6282*EXP(-0.459*AO194))*_xlfn.XLOOKUP(_xlfn.XLOOKUP(B194,'Base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W194)),ISNUMBER(SEARCH("IceSheet",BW194))),-50,IF(OR(ISNUMBER(SEARCH("GlacialPlain",BW194)),ISNUMBER(SEARCH("Tundra",BW194))),-40,IF(OR(ISNUMBER(SEARCH("Alpine",BW194)),ISNUMBER(SEARCH("BorealForest",BW194)),ISNUMBER(SEARCH("ColdBog",BW194))),-30,IF(OR(ISNUMBER(SEARCH("TemperateForest",BW194)),ISNUMBER(SEARCH("TemperateSwamp",BW194))),-20,IF(_xlfn.XLOOKUP(_xlfn.XLOOKUP(B194,'Base stats'!B:B,'Base stats'!E:E),Groups!A:A,Groups!F:F)=1,-15,IF(OR(ISNUMBER(SEARCH("Desert",BW194)),ISNUMBER(SEARCH("ExtremeDesert",BW194))),-10,IF(OR(ISNUMBER(SEARCH("Grasslands",BW194)),ISNUMBER(SEARCH("TropicalRainforest",BW194)),ISNUMBER(SEARCH("TropicalSwamp",BW194))),10,0)))))))-IF(CB194="False",MIN(IFERROR(MAX(MROUND(LOG10(_xlfn.XLOOKUP(B194,'Base stats'!B:B,'Base stats'!C:C)^(2/3))*10,5),5),5),30))-_xlfn.XLOOKUP(B194,'Base stats'!B:B,'Base stats'!P:P)+IF(CB194="True",5,0)</f>
        <v>-65</v>
      </c>
      <c r="M194" s="2">
        <f>IF(OR(_xlfn.XLOOKUP(_xlfn.XLOOKUP(B194,'Base stats'!B:B,'Base stats'!E:E),Groups!A:A,Groups!G:G)=2,ISNUMBER(SEARCH("Desert",BW194)),ISNUMBER(SEARCH("ExtremeDesert",BW194)),ISNUMBER(SEARCH("LavaField",BW194))),50,IF(ISNUMBER(SEARCH("Grasslands",BW194)),45,IF(OR(_xlfn.XLOOKUP(_xlfn.XLOOKUP(B194,'Base stats'!B:B,'Base stats'!E:E),Groups!A:A,Groups!G:G)=1,ISNUMBER(SEARCH("TropicalRainforest",BW194)),ISNUMBER(SEARCH("TropicalSwamp",BW194))),40,IF(OR(ISNUMBER(SEARCH("TemperateForest",BW194)),ISNUMBER(SEARCH("TemperateSwamp",BW194))),35,IF(OR(ISNUMBER(SEARCH("Alpine",BW194)),ISNUMBER(SEARCH("BorealForest",BW194)),ISNUMBER(SEARCH("ColdBog",BW194))),30,IF(ISNUMBER(OR(ISNUMBER(SEARCH("GlacialPlain",BW194)),SEARCH("Tundra",BW194))),25,IF(OR(ISNUMBER(SEARCH("SeaIce",BW194)),ISNUMBER(SEARCH("IceSheet",BW194)),ISNUMBER(SEARCH("TropicalSwamp",BW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stats'!AO:AO))*(AO194^0.5)+(_xlfn.XLOOKUP(B194,'Base stats'!B:B,'Base stats'!AO:AO)/1000)^(2/3)+_xlfn.XLOOKUP(B194,'Base stats'!B:B,'Base stats'!AX:AX)/2)+0.5,0.5)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stats'!AP:AP))*(AO194^0.5)+(_xlfn.XLOOKUP(B194,'Base stats'!B:B,'Base stats'!AP:AP)/1000)^(2/3)+_xlfn.XLOOKUP(B194,'Base stats'!B:B,'Base stats'!AX:AX))+_xlfn.XLOOKUP(B194,'Base stats'!B:B,'Base stats'!AV:AV)+0.5,0.5))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stats'!AR:AR))*(AO194^0.5)+(_xlfn.XLOOKUP(B194,'Base stats'!B:B,'Base stats'!AR:AR)/1000)^(2/3)+_xlfn.XLOOKUP(B194,'Base stats'!B:B,'Base stats'!AW:AW))+0.5+IF(_xlfn.XLOOKUP(_xlfn.XLOOKUP(B194,'Base stats'!B:B,'Base stats'!E:E),Groups!A:A,Groups!U:U)&lt;&gt;3,_xlfn.XLOOKUP(B194,'Base stats'!B:B,'Base stats'!AX:AX),0),0.5))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stats'!AQ:AQ)="No","No",MROUND((LOG10(_xlfn.XLOOKUP(B194,'Base stats'!B:B,'Base stats'!AQ:AQ))*(AO194^0.75)+(_xlfn.XLOOKUP(B194,'Base stats'!B:B,'Base stats'!AQ:AQ)/1000)^(2/3)+_xlfn.XLOOKUP(B194,'Base stats'!B:B,'Base stats'!AU:AU)+_xlfn.XLOOKUP(B194,'Base stats'!B:B,'Base stats'!AX:AX))+0.5,0.5))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stats'!AP:AP))*(AO194^0.75)+(_xlfn.XLOOKUP(B194,'Base stats'!B:B,'Base stats'!AP:AP)/1000)^(2/3)+_xlfn.XLOOKUP(B194,'Base stats'!B:B,'Base stats'!AV:AV)+_xlfn.XLOOKUP(B194,'Base stats'!B:B,'Base stats'!AX:AX))+0.5,0.5))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62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MAX(0.01,MROUND(IF(CB194="True",0.196*(AO194*100*1000)^0.889,IF(_xlfn.XLOOKUP(_xlfn.XLOOKUP(B194,'Base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IF(OR(A194="Queen",A194="Larva",A194="Megachicken"),"No",IFERROR(MAX(IF(_xlfn.XLOOKUP(B194,'Base stats'!B:B,'Base stats'!G:G)&lt;0.5,0.2,0.3),MROUND(_xlfn.XLOOKUP(B194,'Base stats'!B:B,'Base stats'!G:G)/(365/60),0.2)),"Unknown"))</f>
        <v>0.4</v>
      </c>
      <c r="AU194" s="8">
        <f t="shared" si="63"/>
        <v>0.2</v>
      </c>
      <c r="AV194" s="8">
        <f>IFERROR(IFERROR(MROUND(_xlfn.XLOOKUP(B194,'Base stats'!B:B,'Base stats'!J:J),0.1),"Lay eggs"),"Cannot breed")</f>
        <v>1</v>
      </c>
      <c r="AW194" s="2" t="str">
        <f t="shared" si="64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stats'!AE:AE)</f>
        <v>Leather_Sealskin</v>
      </c>
      <c r="BB194" s="23" t="str">
        <f>_xlfn.XLOOKUP(_xlfn.XLOOKUP(B194,'Base stats'!B:B,'Base stats'!E:E),Groups!A:A,Groups!AL:AL)</f>
        <v>Pinniped</v>
      </c>
      <c r="BC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D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E194" s="2" t="str">
        <f>IF(J194&gt;0.3,"No",_xlfn.XLOOKUP(_xlfn.XLOOKUP(Animals!B194,'Base stats'!B:B,'Base stats'!E:E),Groups!A:A,Groups!AP:AP))</f>
        <v>No</v>
      </c>
      <c r="BF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+ 24*(1-IF(BE194="No",0,BE194)) + 16/3, 12),"No")</f>
        <v>60</v>
      </c>
      <c r="BG194" s="2">
        <f>IF(AND(_xlfn.XLOOKUP(_xlfn.XLOOKUP(B194,'Base stats'!B:B,'Base stats'!E:E),Groups!A:A,Groups!AQ:AQ)=1,AO194&lt;=0.35),8,12)</f>
        <v>12</v>
      </c>
      <c r="BH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I194" s="2" t="str">
        <f>IF(AND(_xlfn.XLOOKUP(_xlfn.XLOOKUP(B194,'Base stats'!B:B,'Base stats'!E:E),Groups!A:A,Groups!AS:AS)=1,OR('Base stats'!Y194="Carnivore",'Base stats'!Y194="Omnivore")),"true","false")</f>
        <v>false</v>
      </c>
      <c r="BJ194" s="2" t="str">
        <f>IF(BI194="true",MROUND(IF(AND(AO194&gt;0.5,OR(_xlfn.XLOOKUP(_xlfn.XLOOKUP(B194,'Base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K194" s="2">
        <f t="shared" si="65"/>
        <v>1</v>
      </c>
      <c r="BL194" s="25">
        <f>IF(_xlfn.XLOOKUP(B194,'Base stats'!B:B,'Base stats'!AK:AK)="Standard","No",MROUND((_xlfn.XLOOKUP(B194,'Base stats'!B:B,'Base stats'!AK:AK)/3.6)/I194,0.1))</f>
        <v>2.2000000000000002</v>
      </c>
      <c r="BM194" s="25" t="str">
        <f t="shared" si="66"/>
        <v>true</v>
      </c>
      <c r="BN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O194" s="25" t="str" cm="1">
        <f t="array" ref="BO194">IF(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 = "",
  "No",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
)</f>
        <v>No</v>
      </c>
      <c r="BP194" s="25">
        <f>IF(
   AND(
      'Base stats'!AK194="Standard",_xlfn.XLOOKUP(_xlfn.XLOOKUP(B194,'Base stats'!B:B,'Base stats'!E:E),Groups!A:A,Groups!AU:AU)=0,
      OR(
      BN194="True"
      )
   ),
   10,
   IF(
       OR(BL194&lt;&gt;"No",_xlfn.XLOOKUP(_xlfn.XLOOKUP(B194,'Base stats'!B:B,'Base stats'!E:E),Groups!A:A,Groups!AU:AU)=1),
      1,
      "No"
   )
)</f>
        <v>1</v>
      </c>
      <c r="BQ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stats'!AS:AS) * 1.8) * 2) * 2.5 + 10 + I194 * 2,5)+IF(_xlfn.XLOOKUP(B194,'Base stats'!B:B,'Base stats'!AH:AH)=1,50,0)</f>
        <v>115</v>
      </c>
      <c r="BR194" s="8">
        <f t="shared" si="67"/>
        <v>0.8</v>
      </c>
      <c r="BS194" s="8" t="str">
        <f>_xlfn.XLOOKUP(B194,'Base stats'!B:B,'Base stats'!AD:AD)</f>
        <v>5~15</v>
      </c>
      <c r="BT194" s="2" t="str">
        <f>IF(AND(J194&lt;=0.95,OR(_xlfn.XLOOKUP(B194,'Base stats'!B:B,'Base stats'!AH:AH)=1,_xlfn.XLOOKUP(B194,'Base stats'!B:B,'Base stats'!Y:Y)="Carnivore",_xlfn.XLOOKUP(B194,'Base stats'!B:B,'Base stats'!Y:Y)="Omnivore",BD194&gt;0.1)),"true","false")</f>
        <v>true</v>
      </c>
      <c r="BU194" s="2" t="str">
        <f>IF(_xlfn.XLOOKUP(B194,'Base stats'!B:B,'Base stats'!AF:AF)=1,"true","false")</f>
        <v>false</v>
      </c>
      <c r="BV194" s="25" t="str">
        <f>IF(E194="BaseInsect","AnimalInsect",
IF(J194&gt;0.95,"AnimalExotic",
_xlfn.TEXTJOIN(", ",TRUE,
IF(OR(_xlfn.XLOOKUP(B194,'Base stats'!B:B,'Base stats'!AJ:AJ)=1,AND(_xlfn.XLOOKUP(B194,'Base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stats'!AH:AH)=1,AND(BH194&lt;&gt;"None",BQ194&gt;=60),ISNUMBER(SEARCH("Attack target",BO194))),"AnimalFighter","")
)))</f>
        <v>AnimalCommon, AnimalFighter</v>
      </c>
      <c r="BW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),_xlfn.XLOOKUP(B194,B:B,BW:BW))</f>
        <v>SeaIce IceSheet Tundra BorealForest ColdBog TemperateForest TemperateSwamp GlacialPlain</v>
      </c>
      <c r="BX194" s="25" t="str">
        <f>IF(_xlfn.XLOOKUP(B194,'Base stats'!B:B,'Base stats'!AG:AG)=1,"true","false")</f>
        <v>true</v>
      </c>
      <c r="BY194" s="25">
        <f>IF(_xlfn.XLOOKUP(B194,'Base stats'!B:B,'Base stats'!N:N)=1,"No",MAX(0.01,MIN(MROUND(IF(OR(_xlfn.XLOOKUP(B194,'Base stats'!B:B,'Base stats'!AJ:AJ)=1,AND(BI194="True",CB194="False")),POWER(10,3.47*LOG10(_xlfn.XLOOKUP(B194,'Base stats'!B:B,'Base stats'!C:C)*1000)^-0.96),POWER(10,4.15*LOG10(_xlfn.XLOOKUP(B194,'Base stats'!B:B,'Base stats'!C:C)*1000)^-0.73))*IF(OR(_xlfn.XLOOKUP(B194,'Base stats'!B:B,'Base stats'!AJ:AJ)=1,_xlfn.XLOOKUP(B194,'Base stats'!B:B,'Base stats'!AH:AH)=1),0.5,1)/100,0.025),1)))</f>
        <v>0.17500000000000002</v>
      </c>
      <c r="BZ194" s="25" t="str">
        <f>IF(P194="Standard","No",MAX(0.01,IF(_xlfn.XLOOKUP(B194,'Base stats'!B:B,'Base stats'!N:N)=0,MROUND(BY194*P194,0.05),MIN(1,MAX(0.025,MROUND(IF(OR(CB194="true",AND(BI194="false",BN194="false")),POWER(10,4.15*LOG10(_xlfn.XLOOKUP(B194,'Base stats'!B:B,'Base stats'!C:C)*1000)^-0.73),POWER(10,3.47*LOG10(_xlfn.XLOOKUP(B194,'Base stats'!B:B,'Base stats'!C:C)*1000)^-0.96))*IF(_xlfn.XLOOKUP(B194,'Base stats'!B:B,'Base stats'!AH:AH)=1,0.5,1)/100,0.025))))))</f>
        <v>No</v>
      </c>
      <c r="CA194" s="25" t="str">
        <f>IF(_xlfn.XLOOKUP(_xlfn.XLOOKUP(B194,'Base stats'!B:B,'Base stats'!E:E),Groups!A:A,Groups!AJ:AJ)="Mammal","True","False")</f>
        <v>True</v>
      </c>
      <c r="CB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C194" s="25" t="str">
        <f t="shared" si="68"/>
        <v>False</v>
      </c>
      <c r="CD194" s="25" t="str">
        <f>IF(_xlfn.XLOOKUP(_xlfn.XLOOKUP(B194,'Base stats'!B:B,'Base stats'!E:E),Groups!A:A,Groups!AX:AX),"True","False")</f>
        <v>False</v>
      </c>
      <c r="CE194" s="25" t="str">
        <f>IF(_xlfn.XLOOKUP(_xlfn.XLOOKUP(B194,'Base stats'!B:B,'Base stats'!E:E),Groups!A:A,Groups!AY:AY),"True","False")</f>
        <v>False</v>
      </c>
      <c r="CF194" s="25" t="str">
        <f>IF(_xlfn.XLOOKUP(_xlfn.XLOOKUP(B194,'Base stats'!B:B,'Base stats'!E:E),Groups!A:A,Groups!AW:AW),"True","False")</f>
        <v>False</v>
      </c>
      <c r="CG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H194" s="25" t="str">
        <f>IF(_xlfn.XLOOKUP(_xlfn.XLOOKUP(B194,'Base stats'!B:B,'Base stats'!E:E),Groups!A:A,Groups!BB:BB),"True","False")</f>
        <v>True</v>
      </c>
      <c r="CI194" s="25" t="str">
        <f>IF(_xlfn.XLOOKUP(_xlfn.XLOOKUP(B194,'Base stats'!B:B,'Base stats'!E:E),Groups!A:A,Groups!BA:BA),"True","False")</f>
        <v>False</v>
      </c>
    </row>
    <row r="195" spans="1:87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1297</v>
      </c>
      <c r="D195" s="28" t="s">
        <v>884</v>
      </c>
      <c r="E195" s="28" t="s">
        <v>685</v>
      </c>
      <c r="F195" s="28" t="s">
        <v>685</v>
      </c>
      <c r="G195" s="28" t="s">
        <v>1284</v>
      </c>
      <c r="H195" s="2">
        <f>MROUND((
  (IF(AND(_xlfn.XLOOKUP(B195,'Base stats'!B:B,'Base stats'!AI:AI)=0,BH195="None",_xlfn.XLOOKUP(_xlfn.XLOOKUP(B195,'Base stats'!B:B,'Base stats'!E:E),Groups!A:A,Groups!B:B)=0), (18 + BQ195 * 2.7) * 0.5,
    IF(AND(_xlfn.XLOOKUP(B195,'Base stats'!B:B,'Base stats'!AI:AI)=0,OR(AO195&lt;0.55,AND(BH195="Intermediate",_xlfn.XLOOKUP(_xlfn.XLOOKUP(B195,'Base stats'!B:B,'Base stats'!E:E),Groups!A:A,Groups!B:B)&lt;2))), (18 + BQ195 * 2.7),
      IF(OR(BH195="Advanced",_xlfn.XLOOKUP(B195,'Base stats'!B:B,'Base stats'!AI:AI)=1,_xlfn.XLOOKUP(_xlfn.XLOOKUP(B195,'Base stats'!B:B,'Base stats'!E:E),Groups!A:A,Groups!B:B)=2), (18 + BQ195 * 2.7) + 250, (18 + BQ195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IF(_xlfn.XLOOKUP(B195,'Base stats'!B:B,'Base stats'!AI:AI)=1,0.99,MIN(MROUND((1-0.6282*EXP(-0.459*AO195))*_xlfn.XLOOKUP(_xlfn.XLOOKUP(B195,'Base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W195)),ISNUMBER(SEARCH("IceSheet",BW195))),-50,IF(OR(ISNUMBER(SEARCH("GlacialPlain",BW195)),ISNUMBER(SEARCH("Tundra",BW195))),-40,IF(OR(ISNUMBER(SEARCH("Alpine",BW195)),ISNUMBER(SEARCH("BorealForest",BW195)),ISNUMBER(SEARCH("ColdBog",BW195))),-30,IF(OR(ISNUMBER(SEARCH("TemperateForest",BW195)),ISNUMBER(SEARCH("TemperateSwamp",BW195))),-20,IF(_xlfn.XLOOKUP(_xlfn.XLOOKUP(B195,'Base stats'!B:B,'Base stats'!E:E),Groups!A:A,Groups!F:F)=1,-15,IF(OR(ISNUMBER(SEARCH("Desert",BW195)),ISNUMBER(SEARCH("ExtremeDesert",BW195))),-10,IF(OR(ISNUMBER(SEARCH("Grasslands",BW195)),ISNUMBER(SEARCH("TropicalRainforest",BW195)),ISNUMBER(SEARCH("TropicalSwamp",BW195))),10,0)))))))-IF(CB195="False",MIN(IFERROR(MAX(MROUND(LOG10(_xlfn.XLOOKUP(B195,'Base stats'!B:B,'Base stats'!C:C)^(2/3))*10,5),5),5),30))-_xlfn.XLOOKUP(B195,'Base stats'!B:B,'Base stats'!P:P)+IF(CB195="True",5,0)</f>
        <v>-70</v>
      </c>
      <c r="M195" s="2">
        <f>IF(OR(_xlfn.XLOOKUP(_xlfn.XLOOKUP(B195,'Base stats'!B:B,'Base stats'!E:E),Groups!A:A,Groups!G:G)=2,ISNUMBER(SEARCH("Desert",BW195)),ISNUMBER(SEARCH("ExtremeDesert",BW195)),ISNUMBER(SEARCH("LavaField",BW195))),50,IF(ISNUMBER(SEARCH("Grasslands",BW195)),45,IF(OR(_xlfn.XLOOKUP(_xlfn.XLOOKUP(B195,'Base stats'!B:B,'Base stats'!E:E),Groups!A:A,Groups!G:G)=1,ISNUMBER(SEARCH("TropicalRainforest",BW195)),ISNUMBER(SEARCH("TropicalSwamp",BW195))),40,IF(OR(ISNUMBER(SEARCH("TemperateForest",BW195)),ISNUMBER(SEARCH("TemperateSwamp",BW195))),35,IF(OR(ISNUMBER(SEARCH("Alpine",BW195)),ISNUMBER(SEARCH("BorealForest",BW195)),ISNUMBER(SEARCH("ColdBog",BW195))),30,IF(ISNUMBER(OR(ISNUMBER(SEARCH("GlacialPlain",BW195)),SEARCH("Tundra",BW195))),25,IF(OR(ISNUMBER(SEARCH("SeaIce",BW195)),ISNUMBER(SEARCH("IceSheet",BW195)),ISNUMBER(SEARCH("TropicalSwamp",BW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stats'!AO:AO))*(AO195^0.5)+(_xlfn.XLOOKUP(B195,'Base stats'!B:B,'Base stats'!AO:AO)/1000)^(2/3)+_xlfn.XLOOKUP(B195,'Base stats'!B:B,'Base stats'!AX:AX)/2)+0.5,0.5)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stats'!AP:AP))*(AO195^0.5)+(_xlfn.XLOOKUP(B195,'Base stats'!B:B,'Base stats'!AP:AP)/1000)^(2/3)+_xlfn.XLOOKUP(B195,'Base stats'!B:B,'Base stats'!AX:AX))+_xlfn.XLOOKUP(B195,'Base stats'!B:B,'Base stats'!AV:AV)+0.5,0.5))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stats'!AR:AR))*(AO195^0.5)+(_xlfn.XLOOKUP(B195,'Base stats'!B:B,'Base stats'!AR:AR)/1000)^(2/3)+_xlfn.XLOOKUP(B195,'Base stats'!B:B,'Base stats'!AW:AW))+0.5+IF(_xlfn.XLOOKUP(_xlfn.XLOOKUP(B195,'Base stats'!B:B,'Base stats'!E:E),Groups!A:A,Groups!U:U)&lt;&gt;3,_xlfn.XLOOKUP(B195,'Base stats'!B:B,'Base stats'!AX:AX),0),0.5))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stats'!AQ:AQ)="No","No",MROUND((LOG10(_xlfn.XLOOKUP(B195,'Base stats'!B:B,'Base stats'!AQ:AQ))*(AO195^0.75)+(_xlfn.XLOOKUP(B195,'Base stats'!B:B,'Base stats'!AQ:AQ)/1000)^(2/3)+_xlfn.XLOOKUP(B195,'Base stats'!B:B,'Base stats'!AU:AU)+_xlfn.XLOOKUP(B195,'Base stats'!B:B,'Base stats'!AX:AX))+0.5,0.5))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stats'!AP:AP))*(AO195^0.75)+(_xlfn.XLOOKUP(B195,'Base stats'!B:B,'Base stats'!AP:AP)/1000)^(2/3)+_xlfn.XLOOKUP(B195,'Base stats'!B:B,'Base stats'!AV:AV)+_xlfn.XLOOKUP(B195,'Base stats'!B:B,'Base stats'!AX:AX))+0.5,0.5))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62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MAX(0.01,MROUND(IF(CB195="True",0.196*(AO195*100*1000)^0.889,IF(_xlfn.XLOOKUP(_xlfn.XLOOKUP(B195,'Base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64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stats'!AE:AE)</f>
        <v>Leather_Sealskin</v>
      </c>
      <c r="BB195" s="23" t="str">
        <f>_xlfn.XLOOKUP(_xlfn.XLOOKUP(B195,'Base stats'!B:B,'Base stats'!E:E),Groups!A:A,Groups!AL:AL)</f>
        <v>PinnipedWithTusks</v>
      </c>
      <c r="BC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D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E195" s="2" t="str">
        <f>IF(J195&gt;0.3,"No",_xlfn.XLOOKUP(_xlfn.XLOOKUP(Animals!B195,'Base stats'!B:B,'Base stats'!E:E),Groups!A:A,Groups!AP:AP))</f>
        <v>No</v>
      </c>
      <c r="BF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+ 24*(1-IF(BE195="No",0,BE195)) + 16/3, 12),"No")</f>
        <v>No</v>
      </c>
      <c r="BG195" s="2">
        <f>IF(AND(_xlfn.XLOOKUP(_xlfn.XLOOKUP(B195,'Base stats'!B:B,'Base stats'!E:E),Groups!A:A,Groups!AQ:AQ)=1,AO195&lt;=0.35),8,12)</f>
        <v>12</v>
      </c>
      <c r="BH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I195" s="2" t="str">
        <f>IF(AND(_xlfn.XLOOKUP(_xlfn.XLOOKUP(B195,'Base stats'!B:B,'Base stats'!E:E),Groups!A:A,Groups!AS:AS)=1,OR('Base stats'!Y195="Carnivore",'Base stats'!Y195="Omnivore")),"true","false")</f>
        <v>false</v>
      </c>
      <c r="BJ195" s="2" t="str">
        <f>IF(BI195="true",MROUND(IF(AND(AO195&gt;0.5,OR(_xlfn.XLOOKUP(_xlfn.XLOOKUP(B195,'Base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K195" s="2">
        <f t="shared" si="65"/>
        <v>1</v>
      </c>
      <c r="BL195" s="25">
        <f>IF(_xlfn.XLOOKUP(B195,'Base stats'!B:B,'Base stats'!AK:AK)="Standard","No",MROUND((_xlfn.XLOOKUP(B195,'Base stats'!B:B,'Base stats'!AK:AK)/3.6)/I195,0.1))</f>
        <v>2.4000000000000004</v>
      </c>
      <c r="BM195" s="25" t="str">
        <f t="shared" si="66"/>
        <v>true</v>
      </c>
      <c r="BN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O195" s="25" t="str" cm="1">
        <f t="array" ref="BO195">IF(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 = "",
  "No",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
)</f>
        <v>No</v>
      </c>
      <c r="BP195" s="25">
        <f>IF(
   AND(
      'Base stats'!AK195="Standard",_xlfn.XLOOKUP(_xlfn.XLOOKUP(B195,'Base stats'!B:B,'Base stats'!E:E),Groups!A:A,Groups!AU:AU)=0,
      OR(
      BN195="True"
      )
   ),
   10,
   IF(
       OR(BL195&lt;&gt;"No",_xlfn.XLOOKUP(_xlfn.XLOOKUP(B195,'Base stats'!B:B,'Base stats'!E:E),Groups!A:A,Groups!AU:AU)=1),
      1,
      "No"
   )
)</f>
        <v>1</v>
      </c>
      <c r="BQ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stats'!AS:AS) * 1.8) * 2) * 2.5 + 10 + I195 * 2,5)+IF(_xlfn.XLOOKUP(B195,'Base stats'!B:B,'Base stats'!AH:AH)=1,50,0)</f>
        <v>300</v>
      </c>
      <c r="BR195" s="8">
        <f t="shared" si="67"/>
        <v>2.1</v>
      </c>
      <c r="BS195" s="8" t="str">
        <f>_xlfn.XLOOKUP(B195,'Base stats'!B:B,'Base stats'!AD:AD)</f>
        <v>5~15</v>
      </c>
      <c r="BT195" s="2" t="str">
        <f>IF(AND(J195&lt;=0.95,OR(_xlfn.XLOOKUP(B195,'Base stats'!B:B,'Base stats'!AH:AH)=1,_xlfn.XLOOKUP(B195,'Base stats'!B:B,'Base stats'!Y:Y)="Carnivore",_xlfn.XLOOKUP(B195,'Base stats'!B:B,'Base stats'!Y:Y)="Omnivore",BD195&gt;0.1)),"true","false")</f>
        <v>true</v>
      </c>
      <c r="BU195" s="2" t="str">
        <f>IF(_xlfn.XLOOKUP(B195,'Base stats'!B:B,'Base stats'!AF:AF)=1,"true","false")</f>
        <v>false</v>
      </c>
      <c r="BV195" s="25" t="str">
        <f>IF(E195="BaseInsect","AnimalInsect",
IF(J195&gt;0.95,"AnimalExotic",
_xlfn.TEXTJOIN(", ",TRUE,
IF(OR(_xlfn.XLOOKUP(B195,'Base stats'!B:B,'Base stats'!AJ:AJ)=1,AND(_xlfn.XLOOKUP(B195,'Base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stats'!AH:AH)=1,AND(BH195&lt;&gt;"None",BQ195&gt;=60),ISNUMBER(SEARCH("Attack target",BO195))),"AnimalFighter","")
)))</f>
        <v>AnimalCommon, AnimalFighter</v>
      </c>
      <c r="BW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),_xlfn.XLOOKUP(B195,B:B,BW:BW))</f>
        <v>SeaIce IceSheet Tundra</v>
      </c>
      <c r="BX195" s="25" t="str">
        <f>IF(_xlfn.XLOOKUP(B195,'Base stats'!B:B,'Base stats'!AG:AG)=1,"true","false")</f>
        <v>true</v>
      </c>
      <c r="BY195" s="25">
        <f>IF(_xlfn.XLOOKUP(B195,'Base stats'!B:B,'Base stats'!N:N)=1,"No",MAX(0.01,MIN(MROUND(IF(OR(_xlfn.XLOOKUP(B195,'Base stats'!B:B,'Base stats'!AJ:AJ)=1,AND(BI195="True",CB195="False")),POWER(10,3.47*LOG10(_xlfn.XLOOKUP(B195,'Base stats'!B:B,'Base stats'!C:C)*1000)^-0.96),POWER(10,4.15*LOG10(_xlfn.XLOOKUP(B195,'Base stats'!B:B,'Base stats'!C:C)*1000)^-0.73))*IF(OR(_xlfn.XLOOKUP(B195,'Base stats'!B:B,'Base stats'!AJ:AJ)=1,_xlfn.XLOOKUP(B195,'Base stats'!B:B,'Base stats'!AH:AH)=1),0.5,1)/100,0.025),1)))</f>
        <v>0.125</v>
      </c>
      <c r="BZ195" s="25" t="str">
        <f>IF(P195="Standard","No",MAX(0.01,IF(_xlfn.XLOOKUP(B195,'Base stats'!B:B,'Base stats'!N:N)=0,MROUND(BY195*P195,0.05),MIN(1,MAX(0.025,MROUND(IF(OR(CB195="true",AND(BI195="false",BN195="false")),POWER(10,4.15*LOG10(_xlfn.XLOOKUP(B195,'Base stats'!B:B,'Base stats'!C:C)*1000)^-0.73),POWER(10,3.47*LOG10(_xlfn.XLOOKUP(B195,'Base stats'!B:B,'Base stats'!C:C)*1000)^-0.96))*IF(_xlfn.XLOOKUP(B195,'Base stats'!B:B,'Base stats'!AH:AH)=1,0.5,1)/100,0.025))))))</f>
        <v>No</v>
      </c>
      <c r="CA195" s="25" t="str">
        <f>IF(_xlfn.XLOOKUP(_xlfn.XLOOKUP(B195,'Base stats'!B:B,'Base stats'!E:E),Groups!A:A,Groups!AJ:AJ)="Mammal","True","False")</f>
        <v>True</v>
      </c>
      <c r="CB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C195" s="25" t="str">
        <f t="shared" si="68"/>
        <v>False</v>
      </c>
      <c r="CD195" s="25" t="str">
        <f>IF(_xlfn.XLOOKUP(_xlfn.XLOOKUP(B195,'Base stats'!B:B,'Base stats'!E:E),Groups!A:A,Groups!AX:AX),"True","False")</f>
        <v>False</v>
      </c>
      <c r="CE195" s="25" t="str">
        <f>IF(_xlfn.XLOOKUP(_xlfn.XLOOKUP(B195,'Base stats'!B:B,'Base stats'!E:E),Groups!A:A,Groups!AY:AY),"True","False")</f>
        <v>False</v>
      </c>
      <c r="CF195" s="25" t="str">
        <f>IF(_xlfn.XLOOKUP(_xlfn.XLOOKUP(B195,'Base stats'!B:B,'Base stats'!E:E),Groups!A:A,Groups!AW:AW),"True","False")</f>
        <v>False</v>
      </c>
      <c r="CG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H195" s="25" t="str">
        <f>IF(_xlfn.XLOOKUP(_xlfn.XLOOKUP(B195,'Base stats'!B:B,'Base stats'!E:E),Groups!A:A,Groups!BB:BB),"True","False")</f>
        <v>True</v>
      </c>
      <c r="CI195" s="25" t="str">
        <f>IF(_xlfn.XLOOKUP(_xlfn.XLOOKUP(B195,'Base stats'!B:B,'Base stats'!E:E),Groups!A:A,Groups!BA:BA),"True","False")</f>
        <v>False</v>
      </c>
    </row>
    <row r="196" spans="1:87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1298</v>
      </c>
      <c r="D196" s="28" t="s">
        <v>884</v>
      </c>
      <c r="E196" s="28" t="s">
        <v>685</v>
      </c>
      <c r="F196" s="28" t="s">
        <v>685</v>
      </c>
      <c r="G196" s="28" t="s">
        <v>1284</v>
      </c>
      <c r="H196" s="2">
        <f>MROUND((
  (IF(AND(_xlfn.XLOOKUP(B196,'Base stats'!B:B,'Base stats'!AI:AI)=0,BH196="None",_xlfn.XLOOKUP(_xlfn.XLOOKUP(B196,'Base stats'!B:B,'Base stats'!E:E),Groups!A:A,Groups!B:B)=0), (18 + BQ196 * 2.7) * 0.5,
    IF(AND(_xlfn.XLOOKUP(B196,'Base stats'!B:B,'Base stats'!AI:AI)=0,OR(AO196&lt;0.55,AND(BH196="Intermediate",_xlfn.XLOOKUP(_xlfn.XLOOKUP(B196,'Base stats'!B:B,'Base stats'!E:E),Groups!A:A,Groups!B:B)&lt;2))), (18 + BQ196 * 2.7),
      IF(OR(BH196="Advanced",_xlfn.XLOOKUP(B196,'Base stats'!B:B,'Base stats'!AI:AI)=1,_xlfn.XLOOKUP(_xlfn.XLOOKUP(B196,'Base stats'!B:B,'Base stats'!E:E),Groups!A:A,Groups!B:B)=2), (18 + BQ196 * 2.7) + 250, (18 + BQ196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IF(_xlfn.XLOOKUP(B196,'Base stats'!B:B,'Base stats'!AI:AI)=1,0.99,MIN(MROUND((1-0.6282*EXP(-0.459*AO196))*_xlfn.XLOOKUP(_xlfn.XLOOKUP(B196,'Base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W196)),ISNUMBER(SEARCH("IceSheet",BW196))),-50,IF(OR(ISNUMBER(SEARCH("GlacialPlain",BW196)),ISNUMBER(SEARCH("Tundra",BW196))),-40,IF(OR(ISNUMBER(SEARCH("Alpine",BW196)),ISNUMBER(SEARCH("BorealForest",BW196)),ISNUMBER(SEARCH("ColdBog",BW196))),-30,IF(OR(ISNUMBER(SEARCH("TemperateForest",BW196)),ISNUMBER(SEARCH("TemperateSwamp",BW196))),-20,IF(_xlfn.XLOOKUP(_xlfn.XLOOKUP(B196,'Base stats'!B:B,'Base stats'!E:E),Groups!A:A,Groups!F:F)=1,-15,IF(OR(ISNUMBER(SEARCH("Desert",BW196)),ISNUMBER(SEARCH("ExtremeDesert",BW196))),-10,IF(OR(ISNUMBER(SEARCH("Grasslands",BW196)),ISNUMBER(SEARCH("TropicalRainforest",BW196)),ISNUMBER(SEARCH("TropicalSwamp",BW196))),10,0)))))))-IF(CB196="False",MIN(IFERROR(MAX(MROUND(LOG10(_xlfn.XLOOKUP(B196,'Base stats'!B:B,'Base stats'!C:C)^(2/3))*10,5),5),5),30))-_xlfn.XLOOKUP(B196,'Base stats'!B:B,'Base stats'!P:P)+IF(CB196="True",5,0)</f>
        <v>-50</v>
      </c>
      <c r="M196" s="2">
        <f>IF(OR(_xlfn.XLOOKUP(_xlfn.XLOOKUP(B196,'Base stats'!B:B,'Base stats'!E:E),Groups!A:A,Groups!G:G)=2,ISNUMBER(SEARCH("Desert",BW196)),ISNUMBER(SEARCH("ExtremeDesert",BW196)),ISNUMBER(SEARCH("LavaField",BW196))),50,IF(ISNUMBER(SEARCH("Grasslands",BW196)),45,IF(OR(_xlfn.XLOOKUP(_xlfn.XLOOKUP(B196,'Base stats'!B:B,'Base stats'!E:E),Groups!A:A,Groups!G:G)=1,ISNUMBER(SEARCH("TropicalRainforest",BW196)),ISNUMBER(SEARCH("TropicalSwamp",BW196))),40,IF(OR(ISNUMBER(SEARCH("TemperateForest",BW196)),ISNUMBER(SEARCH("TemperateSwamp",BW196))),35,IF(OR(ISNUMBER(SEARCH("Alpine",BW196)),ISNUMBER(SEARCH("BorealForest",BW196)),ISNUMBER(SEARCH("ColdBog",BW196))),30,IF(ISNUMBER(OR(ISNUMBER(SEARCH("GlacialPlain",BW196)),SEARCH("Tundra",BW196))),25,IF(OR(ISNUMBER(SEARCH("SeaIce",BW196)),ISNUMBER(SEARCH("IceSheet",BW196)),ISNUMBER(SEARCH("TropicalSwamp",BW196))),10,35)))))))+_xlfn.XLOOKUP(B196,'Base stats'!B:B,'Base stats'!Q:Q)</f>
        <v>35</v>
      </c>
      <c r="N196" s="8" t="str">
        <f>IF(_xlfn.XLOOKUP(_xlfn.XLOOKUP(B196,'Base stats'!B:B,'Base stats'!E:E),Groups!A:A,Groups!L:L)=1,MIN(MROUND(_xlfn.XLOOKUP(B196,'Animals CE'!B:B,'Animals CE'!Z:Z)/2+0.05,0.05),200%),"No")</f>
        <v>No</v>
      </c>
      <c r="O196" s="8" t="str">
        <f>IF(_xlfn.XLOOKUP(_xlfn.XLOOKUP(B196,'Base stats'!B:B,'Base stats'!E:E),Groups!A:A,Groups!L:L)=1,MIN(MROUND(_xlfn.XLOOKUP(B196,'Animals CE'!B:B,'Animals CE'!AA:AA)/2+0.05,0.05),200%),"No")</f>
        <v>No</v>
      </c>
      <c r="P196" s="2" t="str">
        <f>_xlfn.XLOOKUP(B196,'Base stats'!B:B,'Base stats'!R:R)</f>
        <v>Standard</v>
      </c>
      <c r="Q196" s="13">
        <f>MROUND((LOG10(_xlfn.XLOOKUP(B196,'Base stats'!B:B,'Base stats'!AO:AO))*(AO196^0.5)+(_xlfn.XLOOKUP(B196,'Base stats'!B:B,'Base stats'!AO:AO)/1000)^(2/3)+_xlfn.XLOOKUP(B196,'Base stats'!B:B,'Base stats'!AX:AX)/2)+0.5,0.5)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stats'!AP:AP))*(AO196^0.5)+(_xlfn.XLOOKUP(B196,'Base stats'!B:B,'Base stats'!AP:AP)/1000)^(2/3)+_xlfn.XLOOKUP(B196,'Base stats'!B:B,'Base stats'!AX:AX))+_xlfn.XLOOKUP(B196,'Base stats'!B:B,'Base stats'!AV:AV)+0.5,0.5))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stats'!AR:AR))*(AO196^0.5)+(_xlfn.XLOOKUP(B196,'Base stats'!B:B,'Base stats'!AR:AR)/1000)^(2/3)+_xlfn.XLOOKUP(B196,'Base stats'!B:B,'Base stats'!AW:AW))+0.5+IF(_xlfn.XLOOKUP(_xlfn.XLOOKUP(B196,'Base stats'!B:B,'Base stats'!E:E),Groups!A:A,Groups!U:U)&lt;&gt;3,_xlfn.XLOOKUP(B196,'Base stats'!B:B,'Base stats'!AX:AX),0),0.5))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stats'!AQ:AQ)="No","No",MROUND((LOG10(_xlfn.XLOOKUP(B196,'Base stats'!B:B,'Base stats'!AQ:AQ))*(AO196^0.75)+(_xlfn.XLOOKUP(B196,'Base stats'!B:B,'Base stats'!AQ:AQ)/1000)^(2/3)+_xlfn.XLOOKUP(B196,'Base stats'!B:B,'Base stats'!AU:AU)+_xlfn.XLOOKUP(B196,'Base stats'!B:B,'Base stats'!AX:AX))+0.5,0.5))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stats'!AP:AP))*(AO196^0.75)+(_xlfn.XLOOKUP(B196,'Base stats'!B:B,'Base stats'!AP:AP)/1000)^(2/3)+_xlfn.XLOOKUP(B196,'Base stats'!B:B,'Base stats'!AV:AV)+_xlfn.XLOOKUP(B196,'Base stats'!B:B,'Base stats'!AX:AX))+0.5,0.5))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62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stats'!E:E),Groups!A:A,Groups!AI:AI),0.05)</f>
        <v>0.5</v>
      </c>
      <c r="AQ196" s="8">
        <f>MAX(0.01,MROUND(IF(CB196="True",0.196*(AO196*100*1000)^0.889,IF(_xlfn.XLOOKUP(_xlfn.XLOOKUP(B196,'Base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64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stats'!AE:AE)</f>
        <v>Leather_Light</v>
      </c>
      <c r="BB196" s="23" t="str">
        <f>_xlfn.XLOOKUP(_xlfn.XLOOKUP(B196,'Base stats'!B:B,'Base stats'!E:E),Groups!A:A,Groups!AL:AL)</f>
        <v>QuadrupedAnimalWithPawsAndTail</v>
      </c>
      <c r="BC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D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E196" s="2" t="str">
        <f>IF(J196&gt;0.3,"No",_xlfn.XLOOKUP(_xlfn.XLOOKUP(Animals!B196,'Base stats'!B:B,'Base stats'!E:E),Groups!A:A,Groups!AP:AP))</f>
        <v>No</v>
      </c>
      <c r="BF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+ 24*(1-IF(BE196="No",0,BE196)) + 16/3, 12),"No")</f>
        <v>48</v>
      </c>
      <c r="BG196" s="2">
        <f>IF(AND(_xlfn.XLOOKUP(_xlfn.XLOOKUP(B196,'Base stats'!B:B,'Base stats'!E:E),Groups!A:A,Groups!AQ:AQ)=1,AO196&lt;=0.35),8,12)</f>
        <v>12</v>
      </c>
      <c r="BH196" s="2" t="str">
        <f>IF(_xlfn.XLOOKUP(_xlfn.XLOOKUP(B196,'Base stats'!B:B,'Base stats'!E:E),Groups!A:A,Groups!D:D)=0,_xlfn.XLOOKUP(_xlfn.XLOOKUP(B196,'Base stats'!B:B,'Base stats'!E:E),Groups!A:A,Groups!AR:AR),"None")</f>
        <v>None</v>
      </c>
      <c r="BI196" s="2" t="str">
        <f>IF(AND(_xlfn.XLOOKUP(_xlfn.XLOOKUP(B196,'Base stats'!B:B,'Base stats'!E:E),Groups!A:A,Groups!AS:AS)=1,OR('Base stats'!Y197="Carnivore",'Base stats'!Y197="Omnivore")),"true","false")</f>
        <v>false</v>
      </c>
      <c r="BJ196" s="2" t="str">
        <f>IF(BI196="true",MROUND(IF(AND(AO196&gt;0.5,OR(_xlfn.XLOOKUP(_xlfn.XLOOKUP(B196,'Base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K196" s="2">
        <f t="shared" si="65"/>
        <v>0</v>
      </c>
      <c r="BL196" s="25" t="str">
        <f>IF(_xlfn.XLOOKUP(B196,'Base stats'!B:B,'Base stats'!AK:AK)="Standard","No",MROUND((_xlfn.XLOOKUP(B196,'Base stats'!B:B,'Base stats'!AK:AK)/3.6)/I196,0.1))</f>
        <v>No</v>
      </c>
      <c r="BM196" s="25" t="str">
        <f t="shared" si="66"/>
        <v>false</v>
      </c>
      <c r="BN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O196" s="25" t="str" cm="1">
        <f t="array" ref="BO196">IF(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 = "",
  "No",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
)</f>
        <v>No</v>
      </c>
      <c r="BP196" s="25" t="str">
        <f>IF(
   AND(
      'Base stats'!AK197="Standard",_xlfn.XLOOKUP(_xlfn.XLOOKUP(B196,'Base stats'!B:B,'Base stats'!E:E),Groups!A:A,Groups!AU:AU)=0,
      OR(
      BN196="True"
      )
   ),
   10,
   IF(
       OR(BL196&lt;&gt;"No",_xlfn.XLOOKUP(_xlfn.XLOOKUP(B196,'Base stats'!B:B,'Base stats'!E:E),Groups!A:A,Groups!AU:AU)=1),
      1,
      "No"
   )
)</f>
        <v>No</v>
      </c>
      <c r="BQ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stats'!AS:AS) * 1.8) * 2) * 2.5 + 10 + I196 * 2,5)+IF(_xlfn.XLOOKUP(B196,'Base stats'!B:B,'Base stats'!AH:AH)=1,50,0)</f>
        <v>50</v>
      </c>
      <c r="BR196" s="8">
        <f t="shared" si="67"/>
        <v>0.4</v>
      </c>
      <c r="BS196" s="8" t="str">
        <f>_xlfn.XLOOKUP(B196,'Base stats'!B:B,'Base stats'!AD:AD)</f>
        <v>No</v>
      </c>
      <c r="BT196" s="2" t="str">
        <f>IF(AND(J196&lt;=0.95,OR(_xlfn.XLOOKUP(B196,'Base stats'!B:B,'Base stats'!AH:AH)=1,_xlfn.XLOOKUP(B196,'Base stats'!B:B,'Base stats'!Y:Y)="Carnivore",_xlfn.XLOOKUP(B196,'Base stats'!B:B,'Base stats'!Y:Y)="Omnivore",BD196&gt;0.1)),"true","false")</f>
        <v>true</v>
      </c>
      <c r="BU196" s="2" t="str">
        <f>IF(_xlfn.XLOOKUP(B196,'Base stats'!B:B,'Base stats'!AF:AF)=1,"true","false")</f>
        <v>false</v>
      </c>
      <c r="BV196" s="25" t="str">
        <f>IF(E196="BaseInsect","AnimalInsect",
IF(J196&gt;0.95,"AnimalExotic",
_xlfn.TEXTJOIN(", ",TRUE,
IF(OR(_xlfn.XLOOKUP(B196,'Base stats'!B:B,'Base stats'!AJ:AJ)=1,AND(_xlfn.XLOOKUP(B196,'Base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stats'!AH:AH)=1,AND(BH196&lt;&gt;"None",BQ196&gt;=60),ISNUMBER(SEARCH("Attack target",BO196))),"AnimalFighter","")
)))</f>
        <v>AnimalCommon</v>
      </c>
      <c r="BW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),_xlfn.XLOOKUP(B196,B:B,BW:BW))</f>
        <v>BorealForest ColdBog TemperateForest TemperateSwamp GlacialPlain</v>
      </c>
      <c r="BX196" s="25" t="str">
        <f>IF(_xlfn.XLOOKUP(B196,'Base stats'!B:B,'Base stats'!AG:AG)=1,"true","false")</f>
        <v>false</v>
      </c>
      <c r="BY196" s="25">
        <f>IF(_xlfn.XLOOKUP(B196,'Base stats'!B:B,'Base stats'!N:N)=1,"No",MAX(0.01,MIN(MROUND(IF(OR(_xlfn.XLOOKUP(B196,'Base stats'!B:B,'Base stats'!AJ:AJ)=1,AND(BI196="True",CB196="False")),POWER(10,3.47*LOG10(_xlfn.XLOOKUP(B196,'Base stats'!B:B,'Base stats'!C:C)*1000)^-0.96),POWER(10,4.15*LOG10(_xlfn.XLOOKUP(B196,'Base stats'!B:B,'Base stats'!C:C)*1000)^-0.73))*IF(OR(_xlfn.XLOOKUP(B196,'Base stats'!B:B,'Base stats'!AJ:AJ)=1,_xlfn.XLOOKUP(B196,'Base stats'!B:B,'Base stats'!AH:AH)=1),0.5,1)/100,0.025),1)))</f>
        <v>0.30000000000000004</v>
      </c>
      <c r="BZ196" s="25" t="str">
        <f>IF(P196="Standard","No",MAX(0.01,IF(_xlfn.XLOOKUP(B196,'Base stats'!B:B,'Base stats'!N:N)=0,MROUND(BY196*P196,0.05),MIN(1,MAX(0.025,MROUND(IF(OR(CB196="true",AND(BI196="false",BN196="false")),POWER(10,4.15*LOG10(_xlfn.XLOOKUP(B196,'Base stats'!B:B,'Base stats'!C:C)*1000)^-0.73),POWER(10,3.47*LOG10(_xlfn.XLOOKUP(B196,'Base stats'!B:B,'Base stats'!C:C)*1000)^-0.96))*IF(_xlfn.XLOOKUP(B196,'Base stats'!B:B,'Base stats'!AH:AH)=1,0.5,1)/100,0.025))))))</f>
        <v>No</v>
      </c>
      <c r="CA196" s="25" t="str">
        <f>IF(_xlfn.XLOOKUP(_xlfn.XLOOKUP(B196,'Base stats'!B:B,'Base stats'!E:E),Groups!A:A,Groups!AJ:AJ)="Mammal","True","False")</f>
        <v>True</v>
      </c>
      <c r="CB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C196" s="25" t="str">
        <f t="shared" si="68"/>
        <v>False</v>
      </c>
      <c r="CD196" s="25" t="str">
        <f>IF(_xlfn.XLOOKUP(_xlfn.XLOOKUP(B196,'Base stats'!B:B,'Base stats'!E:E),Groups!A:A,Groups!AX:AX),"True","False")</f>
        <v>False</v>
      </c>
      <c r="CE196" s="25" t="str">
        <f>IF(_xlfn.XLOOKUP(_xlfn.XLOOKUP(B196,'Base stats'!B:B,'Base stats'!E:E),Groups!A:A,Groups!AY:AY),"True","False")</f>
        <v>False</v>
      </c>
      <c r="CF196" s="25" t="str">
        <f>IF(_xlfn.XLOOKUP(_xlfn.XLOOKUP(B196,'Base stats'!B:B,'Base stats'!E:E),Groups!A:A,Groups!AW:AW),"True","False")</f>
        <v>False</v>
      </c>
      <c r="CG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H196" s="25" t="str">
        <f>IF(_xlfn.XLOOKUP(_xlfn.XLOOKUP(B196,'Base stats'!B:B,'Base stats'!E:E),Groups!A:A,Groups!BB:BB),"True","False")</f>
        <v>True</v>
      </c>
      <c r="CI196" s="25" t="str">
        <f>IF(_xlfn.XLOOKUP(_xlfn.XLOOKUP(B196,'Base stats'!B:B,'Base stats'!E:E),Groups!A:A,Groups!BA:BA),"True","False")</f>
        <v>False</v>
      </c>
    </row>
    <row r="197" spans="1:87" ht="15.75" thickTop="1" x14ac:dyDescent="0.25"/>
    <row r="198" spans="1:87" x14ac:dyDescent="0.25">
      <c r="A198" s="26"/>
      <c r="B198" s="6"/>
    </row>
    <row r="199" spans="1:87" x14ac:dyDescent="0.25">
      <c r="A199" s="26"/>
      <c r="B199" s="6"/>
    </row>
    <row r="200" spans="1:87" x14ac:dyDescent="0.25">
      <c r="A200" s="26"/>
      <c r="B200" s="6"/>
    </row>
    <row r="201" spans="1:87" x14ac:dyDescent="0.25">
      <c r="A201" s="26"/>
      <c r="B201" s="6"/>
    </row>
    <row r="202" spans="1:87" x14ac:dyDescent="0.25">
      <c r="A202" s="26"/>
      <c r="B202" s="6"/>
    </row>
    <row r="203" spans="1:87" x14ac:dyDescent="0.25">
      <c r="A203" s="26"/>
      <c r="B203" s="6"/>
    </row>
    <row r="204" spans="1:87" x14ac:dyDescent="0.25">
      <c r="A204" s="26"/>
      <c r="B204" s="6"/>
    </row>
    <row r="205" spans="1:87" x14ac:dyDescent="0.25">
      <c r="A205" s="26"/>
      <c r="B205" s="6"/>
    </row>
    <row r="206" spans="1:87" x14ac:dyDescent="0.25">
      <c r="A206" s="26"/>
      <c r="B206" s="6"/>
    </row>
    <row r="207" spans="1:87" x14ac:dyDescent="0.25">
      <c r="A207" s="26"/>
      <c r="B207" s="6"/>
    </row>
    <row r="208" spans="1:87" x14ac:dyDescent="0.25">
      <c r="A208" s="26"/>
      <c r="B208" s="6"/>
    </row>
    <row r="209" spans="1:2" x14ac:dyDescent="0.25">
      <c r="A209" s="26"/>
      <c r="B209" s="6"/>
    </row>
    <row r="210" spans="1:2" x14ac:dyDescent="0.25">
      <c r="A210" s="26"/>
      <c r="B210" s="6"/>
    </row>
    <row r="211" spans="1:2" x14ac:dyDescent="0.25">
      <c r="A211" s="26"/>
      <c r="B211" s="6"/>
    </row>
    <row r="212" spans="1:2" x14ac:dyDescent="0.25">
      <c r="A212" s="26"/>
      <c r="B212" s="6"/>
    </row>
    <row r="213" spans="1:2" x14ac:dyDescent="0.25">
      <c r="A213" s="26"/>
      <c r="B213" s="6"/>
    </row>
    <row r="214" spans="1:2" x14ac:dyDescent="0.25">
      <c r="A214" s="26"/>
      <c r="B214" s="6"/>
    </row>
    <row r="215" spans="1:2" x14ac:dyDescent="0.25">
      <c r="A215" s="26"/>
      <c r="B215" s="6"/>
    </row>
    <row r="216" spans="1:2" x14ac:dyDescent="0.25">
      <c r="A216" s="26"/>
      <c r="B216" s="6"/>
    </row>
    <row r="217" spans="1:2" x14ac:dyDescent="0.25">
      <c r="A217" s="26"/>
      <c r="B217" s="6"/>
    </row>
    <row r="218" spans="1:2" x14ac:dyDescent="0.25">
      <c r="A218" s="26"/>
      <c r="B218" s="6"/>
    </row>
    <row r="219" spans="1:2" x14ac:dyDescent="0.25">
      <c r="A219" s="26"/>
      <c r="B219" s="6"/>
    </row>
    <row r="220" spans="1:2" x14ac:dyDescent="0.25">
      <c r="A220" s="26"/>
      <c r="B220" s="6"/>
    </row>
    <row r="221" spans="1:2" x14ac:dyDescent="0.25">
      <c r="A221" s="26"/>
      <c r="B221" s="6"/>
    </row>
    <row r="222" spans="1:2" x14ac:dyDescent="0.25">
      <c r="A222" s="26"/>
      <c r="B222" s="6"/>
    </row>
    <row r="223" spans="1:2" x14ac:dyDescent="0.25">
      <c r="A223" s="26"/>
      <c r="B223" s="6"/>
    </row>
    <row r="224" spans="1:2" x14ac:dyDescent="0.25">
      <c r="A224" s="26"/>
      <c r="B224" s="6"/>
    </row>
    <row r="225" spans="1:2" x14ac:dyDescent="0.25">
      <c r="A225" s="26"/>
      <c r="B225" s="6"/>
    </row>
    <row r="226" spans="1:2" x14ac:dyDescent="0.25">
      <c r="A226" s="26"/>
      <c r="B226" s="6"/>
    </row>
    <row r="227" spans="1:2" x14ac:dyDescent="0.25">
      <c r="A227" s="26"/>
      <c r="B227" s="6"/>
    </row>
    <row r="228" spans="1:2" x14ac:dyDescent="0.25">
      <c r="A228" s="26"/>
      <c r="B228" s="6"/>
    </row>
    <row r="229" spans="1:2" x14ac:dyDescent="0.25">
      <c r="A229" s="26"/>
      <c r="B229" s="6"/>
    </row>
    <row r="230" spans="1:2" x14ac:dyDescent="0.25">
      <c r="A230" s="26"/>
      <c r="B230" s="6"/>
    </row>
    <row r="231" spans="1:2" x14ac:dyDescent="0.25">
      <c r="A231" s="26"/>
      <c r="B231" s="6"/>
    </row>
    <row r="232" spans="1:2" x14ac:dyDescent="0.25">
      <c r="A232" s="26"/>
      <c r="B232" s="6"/>
    </row>
    <row r="233" spans="1:2" x14ac:dyDescent="0.25">
      <c r="A233" s="26"/>
      <c r="B233" s="6"/>
    </row>
    <row r="234" spans="1:2" x14ac:dyDescent="0.25">
      <c r="A234" s="26"/>
      <c r="B234" s="6"/>
    </row>
    <row r="235" spans="1:2" x14ac:dyDescent="0.25">
      <c r="A235" s="26"/>
      <c r="B235" s="6"/>
    </row>
    <row r="236" spans="1:2" x14ac:dyDescent="0.25">
      <c r="A236" s="26"/>
      <c r="B236" s="6"/>
    </row>
    <row r="237" spans="1:2" x14ac:dyDescent="0.25">
      <c r="A237" s="26"/>
      <c r="B237" s="6"/>
    </row>
    <row r="238" spans="1:2" x14ac:dyDescent="0.25">
      <c r="A238" s="26"/>
      <c r="B238" s="6"/>
    </row>
    <row r="239" spans="1:2" x14ac:dyDescent="0.25">
      <c r="A239" s="26"/>
      <c r="B239" s="6"/>
    </row>
    <row r="240" spans="1:2" x14ac:dyDescent="0.25">
      <c r="A240" s="26"/>
      <c r="B240" s="6"/>
    </row>
    <row r="241" spans="1:2" x14ac:dyDescent="0.25">
      <c r="A241" s="26"/>
      <c r="B241" s="6"/>
    </row>
    <row r="242" spans="1:2" x14ac:dyDescent="0.25">
      <c r="A242" s="26"/>
      <c r="B242" s="6"/>
    </row>
    <row r="243" spans="1:2" x14ac:dyDescent="0.25">
      <c r="A243" s="26"/>
      <c r="B243" s="6"/>
    </row>
    <row r="244" spans="1:2" x14ac:dyDescent="0.25">
      <c r="A244" s="26"/>
      <c r="B244" s="6"/>
    </row>
    <row r="245" spans="1:2" x14ac:dyDescent="0.25">
      <c r="A245" s="26"/>
      <c r="B245" s="6"/>
    </row>
    <row r="246" spans="1:2" x14ac:dyDescent="0.25">
      <c r="A246" s="26"/>
      <c r="B246" s="6"/>
    </row>
    <row r="247" spans="1:2" x14ac:dyDescent="0.25">
      <c r="A247" s="26"/>
      <c r="B247" s="6"/>
    </row>
    <row r="248" spans="1:2" x14ac:dyDescent="0.25">
      <c r="A248" s="26"/>
      <c r="B248" s="6"/>
    </row>
    <row r="249" spans="1:2" x14ac:dyDescent="0.25">
      <c r="A249" s="26"/>
      <c r="B249" s="6"/>
    </row>
    <row r="250" spans="1:2" x14ac:dyDescent="0.25">
      <c r="A250" s="26"/>
      <c r="B250" s="6"/>
    </row>
    <row r="251" spans="1:2" x14ac:dyDescent="0.25">
      <c r="A251" s="26"/>
      <c r="B251" s="6"/>
    </row>
    <row r="252" spans="1:2" x14ac:dyDescent="0.25">
      <c r="A252" s="26"/>
      <c r="B252" s="6"/>
    </row>
    <row r="253" spans="1:2" x14ac:dyDescent="0.25">
      <c r="A253" s="26"/>
      <c r="B253" s="6"/>
    </row>
    <row r="254" spans="1:2" x14ac:dyDescent="0.25">
      <c r="A254" s="26"/>
      <c r="B254" s="6"/>
    </row>
    <row r="255" spans="1:2" x14ac:dyDescent="0.25">
      <c r="A255" s="26"/>
      <c r="B255" s="6"/>
    </row>
    <row r="256" spans="1:2" x14ac:dyDescent="0.25">
      <c r="A256" s="26"/>
      <c r="B256" s="6"/>
    </row>
    <row r="257" spans="1:2" x14ac:dyDescent="0.25">
      <c r="A257" s="26"/>
      <c r="B257" s="6"/>
    </row>
    <row r="258" spans="1:2" x14ac:dyDescent="0.25">
      <c r="A258" s="26"/>
      <c r="B258" s="6"/>
    </row>
    <row r="259" spans="1:2" x14ac:dyDescent="0.25">
      <c r="A259" s="26"/>
      <c r="B259" s="6"/>
    </row>
    <row r="260" spans="1:2" x14ac:dyDescent="0.25">
      <c r="A260" s="26"/>
      <c r="B260" s="6"/>
    </row>
    <row r="261" spans="1:2" x14ac:dyDescent="0.25">
      <c r="A261" s="26"/>
      <c r="B261" s="6"/>
    </row>
    <row r="262" spans="1:2" x14ac:dyDescent="0.25">
      <c r="A262" s="26"/>
      <c r="B262" s="6"/>
    </row>
    <row r="263" spans="1:2" x14ac:dyDescent="0.25">
      <c r="A263" s="26"/>
      <c r="B263" s="6"/>
    </row>
    <row r="264" spans="1:2" x14ac:dyDescent="0.25">
      <c r="A264" s="26"/>
      <c r="B264" s="6"/>
    </row>
    <row r="265" spans="1:2" x14ac:dyDescent="0.25">
      <c r="A265" s="26"/>
      <c r="B265" s="6"/>
    </row>
    <row r="266" spans="1:2" x14ac:dyDescent="0.25">
      <c r="A266" s="26"/>
      <c r="B266" s="6"/>
    </row>
    <row r="267" spans="1:2" x14ac:dyDescent="0.25">
      <c r="A267" s="26"/>
      <c r="B267" s="6"/>
    </row>
    <row r="268" spans="1:2" x14ac:dyDescent="0.25">
      <c r="A268" s="26"/>
      <c r="B268" s="6"/>
    </row>
    <row r="269" spans="1:2" x14ac:dyDescent="0.25">
      <c r="A269" s="26"/>
      <c r="B269" s="6"/>
    </row>
    <row r="270" spans="1:2" x14ac:dyDescent="0.25">
      <c r="A270" s="26"/>
      <c r="B270" s="6"/>
    </row>
    <row r="271" spans="1:2" x14ac:dyDescent="0.25">
      <c r="A271" s="26"/>
      <c r="B271" s="6"/>
    </row>
    <row r="272" spans="1:2" x14ac:dyDescent="0.25">
      <c r="A272" s="26"/>
      <c r="B272" s="6"/>
    </row>
    <row r="273" spans="1:2" x14ac:dyDescent="0.25">
      <c r="A273" s="26"/>
      <c r="B273" s="6"/>
    </row>
    <row r="274" spans="1:2" x14ac:dyDescent="0.25">
      <c r="A274" s="26"/>
      <c r="B274" s="6"/>
    </row>
    <row r="275" spans="1:2" x14ac:dyDescent="0.25">
      <c r="A275" s="26"/>
      <c r="B275" s="6"/>
    </row>
    <row r="276" spans="1:2" x14ac:dyDescent="0.25">
      <c r="A276" s="26"/>
      <c r="B276" s="6"/>
    </row>
    <row r="277" spans="1:2" x14ac:dyDescent="0.25">
      <c r="A277" s="26"/>
      <c r="B277" s="6"/>
    </row>
    <row r="278" spans="1:2" x14ac:dyDescent="0.25">
      <c r="A278" s="26"/>
      <c r="B278" s="6"/>
    </row>
    <row r="279" spans="1:2" x14ac:dyDescent="0.25">
      <c r="A279" s="26"/>
      <c r="B279" s="6"/>
    </row>
    <row r="280" spans="1:2" x14ac:dyDescent="0.25">
      <c r="A280" s="26"/>
      <c r="B280" s="6"/>
    </row>
    <row r="281" spans="1:2" x14ac:dyDescent="0.25">
      <c r="A281" s="26"/>
      <c r="B281" s="6"/>
    </row>
    <row r="282" spans="1:2" x14ac:dyDescent="0.25">
      <c r="A282" s="26"/>
      <c r="B282" s="6"/>
    </row>
    <row r="283" spans="1:2" x14ac:dyDescent="0.25">
      <c r="A283" s="26"/>
      <c r="B283" s="6"/>
    </row>
    <row r="284" spans="1:2" x14ac:dyDescent="0.25">
      <c r="A284" s="26"/>
      <c r="B284" s="6"/>
    </row>
    <row r="285" spans="1:2" x14ac:dyDescent="0.25">
      <c r="A285" s="26"/>
      <c r="B285" s="6"/>
    </row>
    <row r="286" spans="1:2" x14ac:dyDescent="0.25">
      <c r="A286" s="26"/>
      <c r="B286" s="6"/>
    </row>
    <row r="287" spans="1:2" x14ac:dyDescent="0.25">
      <c r="A287" s="26"/>
      <c r="B287" s="6"/>
    </row>
    <row r="288" spans="1:2" x14ac:dyDescent="0.25">
      <c r="A288" s="26"/>
      <c r="B288" s="6"/>
    </row>
    <row r="289" spans="1:2" x14ac:dyDescent="0.25">
      <c r="A289" s="26"/>
      <c r="B289" s="6"/>
    </row>
    <row r="290" spans="1:2" x14ac:dyDescent="0.25">
      <c r="A290" s="26"/>
      <c r="B290" s="6"/>
    </row>
    <row r="291" spans="1:2" x14ac:dyDescent="0.25">
      <c r="A291" s="26"/>
      <c r="B291" s="6"/>
    </row>
    <row r="292" spans="1:2" x14ac:dyDescent="0.25">
      <c r="A292" s="26"/>
      <c r="B292" s="6"/>
    </row>
    <row r="293" spans="1:2" x14ac:dyDescent="0.25">
      <c r="A293" s="26"/>
      <c r="B293" s="6"/>
    </row>
    <row r="294" spans="1:2" x14ac:dyDescent="0.25">
      <c r="A294" s="26"/>
      <c r="B294" s="6"/>
    </row>
    <row r="295" spans="1:2" x14ac:dyDescent="0.25">
      <c r="A295" s="26"/>
      <c r="B295" s="6"/>
    </row>
    <row r="296" spans="1:2" x14ac:dyDescent="0.25">
      <c r="A296" s="26"/>
      <c r="B296" s="6"/>
    </row>
    <row r="297" spans="1:2" x14ac:dyDescent="0.25">
      <c r="A297" s="26"/>
      <c r="B297" s="6"/>
    </row>
    <row r="298" spans="1:2" x14ac:dyDescent="0.25">
      <c r="A298" s="26"/>
      <c r="B298" s="6"/>
    </row>
    <row r="299" spans="1:2" x14ac:dyDescent="0.25">
      <c r="A299" s="26"/>
      <c r="B299" s="6"/>
    </row>
    <row r="300" spans="1:2" x14ac:dyDescent="0.25">
      <c r="A300" s="26"/>
      <c r="B300" s="6"/>
    </row>
    <row r="301" spans="1:2" x14ac:dyDescent="0.25">
      <c r="A301" s="26"/>
      <c r="B301" s="6"/>
    </row>
    <row r="302" spans="1:2" x14ac:dyDescent="0.25">
      <c r="A302" s="26"/>
      <c r="B302" s="6"/>
    </row>
    <row r="303" spans="1:2" x14ac:dyDescent="0.25">
      <c r="A303" s="26"/>
      <c r="B303" s="6"/>
    </row>
    <row r="304" spans="1:2" x14ac:dyDescent="0.25">
      <c r="A304" s="26"/>
      <c r="B304" s="6"/>
    </row>
    <row r="305" spans="1:2" x14ac:dyDescent="0.25">
      <c r="A305" s="26"/>
      <c r="B305" s="6"/>
    </row>
    <row r="306" spans="1:2" x14ac:dyDescent="0.25">
      <c r="A306" s="26"/>
      <c r="B306" s="6"/>
    </row>
    <row r="307" spans="1:2" x14ac:dyDescent="0.25">
      <c r="A307" s="26"/>
      <c r="B307" s="6"/>
    </row>
    <row r="308" spans="1:2" x14ac:dyDescent="0.25">
      <c r="A308" s="26"/>
      <c r="B308" s="6"/>
    </row>
    <row r="309" spans="1:2" x14ac:dyDescent="0.25">
      <c r="A309" s="26"/>
      <c r="B309" s="6"/>
    </row>
    <row r="310" spans="1:2" x14ac:dyDescent="0.25">
      <c r="A310" s="26"/>
      <c r="B310" s="6"/>
    </row>
    <row r="311" spans="1:2" x14ac:dyDescent="0.25">
      <c r="A311" s="26"/>
      <c r="B311" s="6"/>
    </row>
    <row r="312" spans="1:2" x14ac:dyDescent="0.25">
      <c r="A312" s="26"/>
      <c r="B312" s="6"/>
    </row>
    <row r="313" spans="1:2" x14ac:dyDescent="0.25">
      <c r="A313" s="26"/>
      <c r="B313" s="6"/>
    </row>
    <row r="314" spans="1:2" x14ac:dyDescent="0.25">
      <c r="A314" s="26"/>
      <c r="B314" s="6"/>
    </row>
    <row r="315" spans="1:2" x14ac:dyDescent="0.25">
      <c r="A315" s="26"/>
      <c r="B315" s="6"/>
    </row>
    <row r="316" spans="1:2" x14ac:dyDescent="0.25">
      <c r="A316" s="26"/>
      <c r="B316" s="6"/>
    </row>
    <row r="317" spans="1:2" x14ac:dyDescent="0.25">
      <c r="A317" s="26"/>
      <c r="B317" s="6"/>
    </row>
    <row r="318" spans="1:2" x14ac:dyDescent="0.25">
      <c r="A318" s="26"/>
      <c r="B318" s="6"/>
    </row>
    <row r="319" spans="1:2" x14ac:dyDescent="0.25">
      <c r="A319" s="26"/>
      <c r="B319" s="6"/>
    </row>
    <row r="320" spans="1:2" x14ac:dyDescent="0.25">
      <c r="A320" s="26"/>
      <c r="B320" s="6"/>
    </row>
    <row r="321" spans="1:2" x14ac:dyDescent="0.25">
      <c r="A321" s="26"/>
      <c r="B321" s="6"/>
    </row>
    <row r="322" spans="1:2" x14ac:dyDescent="0.25">
      <c r="A322" s="26"/>
      <c r="B322" s="6"/>
    </row>
    <row r="323" spans="1:2" x14ac:dyDescent="0.25">
      <c r="A323" s="26"/>
      <c r="B323" s="6"/>
    </row>
    <row r="324" spans="1:2" x14ac:dyDescent="0.25">
      <c r="A324" s="26"/>
      <c r="B324" s="6"/>
    </row>
    <row r="325" spans="1:2" x14ac:dyDescent="0.25">
      <c r="A325" s="26"/>
      <c r="B325" s="6"/>
    </row>
    <row r="326" spans="1:2" x14ac:dyDescent="0.25">
      <c r="A326" s="26"/>
      <c r="B326" s="6"/>
    </row>
    <row r="327" spans="1:2" x14ac:dyDescent="0.25">
      <c r="A327" s="26"/>
      <c r="B327" s="6"/>
    </row>
    <row r="328" spans="1:2" x14ac:dyDescent="0.25">
      <c r="A328" s="26"/>
      <c r="B328" s="6"/>
    </row>
    <row r="329" spans="1:2" x14ac:dyDescent="0.25">
      <c r="A329" s="26"/>
      <c r="B329" s="6"/>
    </row>
    <row r="330" spans="1:2" x14ac:dyDescent="0.25">
      <c r="A330" s="26"/>
      <c r="B330" s="6"/>
    </row>
    <row r="331" spans="1:2" x14ac:dyDescent="0.25">
      <c r="A331" s="26"/>
      <c r="B331" s="6"/>
    </row>
    <row r="332" spans="1:2" x14ac:dyDescent="0.25">
      <c r="A332" s="26"/>
      <c r="B332" s="6"/>
    </row>
    <row r="333" spans="1:2" x14ac:dyDescent="0.25">
      <c r="A333" s="26"/>
      <c r="B333" s="6"/>
    </row>
    <row r="334" spans="1:2" x14ac:dyDescent="0.25">
      <c r="A334" s="26"/>
      <c r="B334" s="6"/>
    </row>
    <row r="335" spans="1:2" x14ac:dyDescent="0.25">
      <c r="A335" s="26"/>
      <c r="B335" s="6"/>
    </row>
    <row r="336" spans="1:2" x14ac:dyDescent="0.25">
      <c r="A336" s="26"/>
      <c r="B336" s="6"/>
    </row>
    <row r="337" spans="1:2" x14ac:dyDescent="0.25">
      <c r="A337" s="26"/>
      <c r="B337" s="6"/>
    </row>
    <row r="338" spans="1:2" x14ac:dyDescent="0.25">
      <c r="A338" s="26"/>
      <c r="B338" s="6"/>
    </row>
    <row r="339" spans="1:2" x14ac:dyDescent="0.25">
      <c r="A339" s="26"/>
      <c r="B339" s="6"/>
    </row>
    <row r="340" spans="1:2" x14ac:dyDescent="0.25">
      <c r="A340" s="26"/>
      <c r="B340" s="6"/>
    </row>
    <row r="341" spans="1:2" x14ac:dyDescent="0.25">
      <c r="A341" s="26"/>
      <c r="B341" s="6"/>
    </row>
    <row r="342" spans="1:2" x14ac:dyDescent="0.25">
      <c r="A342" s="26"/>
      <c r="B342" s="6"/>
    </row>
    <row r="343" spans="1:2" x14ac:dyDescent="0.25">
      <c r="A343" s="26"/>
      <c r="B343" s="6"/>
    </row>
    <row r="344" spans="1:2" x14ac:dyDescent="0.25">
      <c r="A344" s="26"/>
      <c r="B344" s="6"/>
    </row>
    <row r="345" spans="1:2" x14ac:dyDescent="0.25">
      <c r="A345" s="26"/>
      <c r="B345" s="6"/>
    </row>
    <row r="346" spans="1:2" x14ac:dyDescent="0.25">
      <c r="A346" s="26"/>
      <c r="B346" s="6"/>
    </row>
    <row r="347" spans="1:2" x14ac:dyDescent="0.25">
      <c r="A347" s="26"/>
      <c r="B347" s="6"/>
    </row>
    <row r="348" spans="1:2" x14ac:dyDescent="0.25">
      <c r="A348" s="26"/>
      <c r="B348" s="6"/>
    </row>
    <row r="349" spans="1:2" x14ac:dyDescent="0.25">
      <c r="A349" s="26"/>
      <c r="B349" s="6"/>
    </row>
    <row r="350" spans="1:2" x14ac:dyDescent="0.25">
      <c r="A350" s="26"/>
      <c r="B350" s="6"/>
    </row>
    <row r="351" spans="1:2" x14ac:dyDescent="0.25">
      <c r="A351" s="26"/>
      <c r="B351" s="6"/>
    </row>
    <row r="352" spans="1:2" x14ac:dyDescent="0.25">
      <c r="A352" s="26"/>
      <c r="B352" s="6"/>
    </row>
    <row r="353" spans="1:2" x14ac:dyDescent="0.25">
      <c r="A353" s="26"/>
      <c r="B353" s="6"/>
    </row>
    <row r="354" spans="1:2" x14ac:dyDescent="0.25">
      <c r="A354" s="26"/>
      <c r="B354" s="6"/>
    </row>
    <row r="355" spans="1:2" x14ac:dyDescent="0.25">
      <c r="A355" s="26"/>
      <c r="B355" s="6"/>
    </row>
    <row r="356" spans="1:2" x14ac:dyDescent="0.25">
      <c r="A356" s="26"/>
      <c r="B356" s="6"/>
    </row>
    <row r="357" spans="1:2" x14ac:dyDescent="0.25">
      <c r="A357" s="26"/>
      <c r="B357" s="6"/>
    </row>
    <row r="358" spans="1:2" x14ac:dyDescent="0.25">
      <c r="A358" s="26"/>
      <c r="B358" s="6"/>
    </row>
    <row r="359" spans="1:2" x14ac:dyDescent="0.25">
      <c r="A359" s="26"/>
      <c r="B359" s="6"/>
    </row>
    <row r="360" spans="1:2" x14ac:dyDescent="0.25">
      <c r="A360" s="26"/>
      <c r="B360" s="6"/>
    </row>
    <row r="361" spans="1:2" x14ac:dyDescent="0.25">
      <c r="A361" s="26"/>
      <c r="B361" s="6"/>
    </row>
    <row r="362" spans="1:2" x14ac:dyDescent="0.25">
      <c r="A362" s="26"/>
      <c r="B362" s="6"/>
    </row>
    <row r="363" spans="1:2" x14ac:dyDescent="0.25">
      <c r="A363" s="26"/>
      <c r="B363" s="6"/>
    </row>
    <row r="364" spans="1:2" x14ac:dyDescent="0.25">
      <c r="A364" s="26"/>
      <c r="B364" s="6"/>
    </row>
    <row r="365" spans="1:2" x14ac:dyDescent="0.25">
      <c r="A365" s="26"/>
      <c r="B365" s="6"/>
    </row>
    <row r="366" spans="1:2" x14ac:dyDescent="0.25">
      <c r="A366" s="26"/>
      <c r="B366" s="6"/>
    </row>
    <row r="367" spans="1:2" x14ac:dyDescent="0.25">
      <c r="A367" s="26"/>
      <c r="B367" s="6"/>
    </row>
    <row r="368" spans="1:2" x14ac:dyDescent="0.25">
      <c r="A368" s="26"/>
      <c r="B368" s="6"/>
    </row>
    <row r="369" spans="1:2" x14ac:dyDescent="0.25">
      <c r="A369" s="26"/>
      <c r="B369" s="6"/>
    </row>
    <row r="370" spans="1:2" x14ac:dyDescent="0.25">
      <c r="A370" s="26"/>
      <c r="B370" s="6"/>
    </row>
    <row r="371" spans="1:2" x14ac:dyDescent="0.25">
      <c r="A371" s="26"/>
      <c r="B371" s="6"/>
    </row>
    <row r="372" spans="1:2" x14ac:dyDescent="0.25">
      <c r="A372" s="26"/>
      <c r="B372" s="6"/>
    </row>
    <row r="373" spans="1:2" x14ac:dyDescent="0.25">
      <c r="A373" s="26"/>
      <c r="B373" s="6"/>
    </row>
    <row r="374" spans="1:2" x14ac:dyDescent="0.25">
      <c r="A374" s="26"/>
      <c r="B374" s="6"/>
    </row>
    <row r="375" spans="1:2" x14ac:dyDescent="0.25">
      <c r="A375" s="26"/>
      <c r="B375" s="6"/>
    </row>
    <row r="376" spans="1:2" x14ac:dyDescent="0.25">
      <c r="A376" s="26"/>
      <c r="B376" s="6"/>
    </row>
    <row r="377" spans="1:2" x14ac:dyDescent="0.25">
      <c r="A377" s="26"/>
      <c r="B377" s="6"/>
    </row>
    <row r="378" spans="1:2" x14ac:dyDescent="0.25">
      <c r="A378" s="26"/>
      <c r="B378" s="6"/>
    </row>
    <row r="379" spans="1:2" x14ac:dyDescent="0.25">
      <c r="A379" s="26"/>
      <c r="B379" s="6"/>
    </row>
    <row r="380" spans="1:2" x14ac:dyDescent="0.25">
      <c r="A380" s="26"/>
      <c r="B380" s="6"/>
    </row>
    <row r="381" spans="1:2" x14ac:dyDescent="0.25">
      <c r="A381" s="26"/>
      <c r="B381" s="6"/>
    </row>
    <row r="382" spans="1:2" x14ac:dyDescent="0.25">
      <c r="A382" s="26"/>
      <c r="B382" s="6"/>
    </row>
    <row r="383" spans="1:2" x14ac:dyDescent="0.25">
      <c r="A383" s="26"/>
      <c r="B383" s="6"/>
    </row>
    <row r="384" spans="1:2" x14ac:dyDescent="0.25">
      <c r="A384" s="26"/>
      <c r="B384" s="6"/>
    </row>
    <row r="385" spans="1:2" x14ac:dyDescent="0.25">
      <c r="A385" s="26"/>
      <c r="B385" s="6"/>
    </row>
    <row r="386" spans="1:2" x14ac:dyDescent="0.25">
      <c r="A386" s="26"/>
      <c r="B386" s="6"/>
    </row>
    <row r="387" spans="1:2" x14ac:dyDescent="0.25">
      <c r="A387" s="26"/>
      <c r="B387" s="6"/>
    </row>
    <row r="388" spans="1:2" x14ac:dyDescent="0.25">
      <c r="A388" s="26"/>
      <c r="B388" s="6"/>
    </row>
    <row r="389" spans="1:2" x14ac:dyDescent="0.25">
      <c r="A389" s="26"/>
      <c r="B389" s="6"/>
    </row>
    <row r="390" spans="1:2" x14ac:dyDescent="0.25">
      <c r="A390" s="26"/>
      <c r="B390" s="6"/>
    </row>
    <row r="391" spans="1:2" x14ac:dyDescent="0.25">
      <c r="A391" s="26"/>
      <c r="B391" s="6"/>
    </row>
    <row r="392" spans="1:2" x14ac:dyDescent="0.25">
      <c r="A392" s="26"/>
      <c r="B392" s="6"/>
    </row>
    <row r="393" spans="1:2" x14ac:dyDescent="0.25">
      <c r="A393" s="26"/>
      <c r="B393" s="6"/>
    </row>
    <row r="394" spans="1:2" x14ac:dyDescent="0.25">
      <c r="A394" s="26"/>
      <c r="B394" s="6"/>
    </row>
    <row r="395" spans="1:2" x14ac:dyDescent="0.25">
      <c r="A395" s="26"/>
      <c r="B395" s="6"/>
    </row>
    <row r="396" spans="1:2" x14ac:dyDescent="0.25">
      <c r="A396" s="26"/>
      <c r="B396" s="6"/>
    </row>
    <row r="397" spans="1:2" x14ac:dyDescent="0.25">
      <c r="A397" s="26"/>
      <c r="B397" s="6"/>
    </row>
    <row r="398" spans="1:2" x14ac:dyDescent="0.25">
      <c r="A398" s="26"/>
      <c r="B398" s="6"/>
    </row>
    <row r="399" spans="1:2" x14ac:dyDescent="0.25">
      <c r="A399" s="26"/>
      <c r="B399" s="6"/>
    </row>
    <row r="400" spans="1:2" x14ac:dyDescent="0.25">
      <c r="A400" s="26"/>
      <c r="B400" s="6"/>
    </row>
    <row r="401" spans="1:2" x14ac:dyDescent="0.25">
      <c r="A401" s="26"/>
      <c r="B401" s="6"/>
    </row>
    <row r="402" spans="1:2" x14ac:dyDescent="0.25">
      <c r="A402" s="26"/>
      <c r="B402" s="6"/>
    </row>
    <row r="403" spans="1:2" x14ac:dyDescent="0.25">
      <c r="A403" s="26"/>
      <c r="B403" s="6"/>
    </row>
    <row r="404" spans="1:2" x14ac:dyDescent="0.25">
      <c r="A404" s="26"/>
      <c r="B404" s="6"/>
    </row>
    <row r="405" spans="1:2" x14ac:dyDescent="0.25">
      <c r="A405" s="26"/>
      <c r="B405" s="6"/>
    </row>
    <row r="406" spans="1:2" x14ac:dyDescent="0.25">
      <c r="A406" s="26"/>
      <c r="B406" s="6"/>
    </row>
    <row r="407" spans="1:2" x14ac:dyDescent="0.25">
      <c r="A407" s="26"/>
      <c r="B407" s="6"/>
    </row>
    <row r="408" spans="1:2" x14ac:dyDescent="0.25">
      <c r="A408" s="26"/>
      <c r="B408" s="6"/>
    </row>
    <row r="409" spans="1:2" x14ac:dyDescent="0.25">
      <c r="A409" s="26"/>
      <c r="B409" s="6"/>
    </row>
    <row r="410" spans="1:2" x14ac:dyDescent="0.25">
      <c r="A410" s="26"/>
      <c r="B410" s="6"/>
    </row>
    <row r="411" spans="1:2" x14ac:dyDescent="0.25">
      <c r="A411" s="26"/>
      <c r="B411" s="6"/>
    </row>
    <row r="412" spans="1:2" x14ac:dyDescent="0.25">
      <c r="A412" s="26"/>
      <c r="B412" s="6"/>
    </row>
    <row r="413" spans="1:2" x14ac:dyDescent="0.25">
      <c r="A413" s="26"/>
      <c r="B413" s="6"/>
    </row>
    <row r="414" spans="1:2" x14ac:dyDescent="0.25">
      <c r="A414" s="26"/>
      <c r="B414" s="6"/>
    </row>
    <row r="415" spans="1:2" x14ac:dyDescent="0.25">
      <c r="A415" s="26"/>
      <c r="B415" s="6"/>
    </row>
    <row r="416" spans="1:2" x14ac:dyDescent="0.25">
      <c r="A416" s="26"/>
      <c r="B416" s="6"/>
    </row>
    <row r="417" spans="1:2" x14ac:dyDescent="0.25">
      <c r="A417" s="26"/>
      <c r="B417" s="6"/>
    </row>
    <row r="418" spans="1:2" x14ac:dyDescent="0.25">
      <c r="A418" s="26"/>
      <c r="B418" s="6"/>
    </row>
    <row r="419" spans="1:2" x14ac:dyDescent="0.25">
      <c r="A419" s="26"/>
      <c r="B419" s="6"/>
    </row>
    <row r="420" spans="1:2" x14ac:dyDescent="0.25">
      <c r="A420" s="26"/>
      <c r="B420" s="6"/>
    </row>
    <row r="421" spans="1:2" x14ac:dyDescent="0.25">
      <c r="A421" s="26"/>
      <c r="B421" s="6"/>
    </row>
    <row r="422" spans="1:2" x14ac:dyDescent="0.25">
      <c r="A422" s="26"/>
      <c r="B422" s="6"/>
    </row>
    <row r="423" spans="1:2" x14ac:dyDescent="0.25">
      <c r="A423" s="26"/>
      <c r="B423" s="6"/>
    </row>
    <row r="424" spans="1:2" x14ac:dyDescent="0.25">
      <c r="A424" s="26"/>
      <c r="B424" s="6"/>
    </row>
    <row r="425" spans="1:2" x14ac:dyDescent="0.25">
      <c r="A425" s="26"/>
      <c r="B425" s="6"/>
    </row>
    <row r="426" spans="1:2" x14ac:dyDescent="0.25">
      <c r="A426" s="26"/>
      <c r="B426" s="6"/>
    </row>
    <row r="427" spans="1:2" x14ac:dyDescent="0.25">
      <c r="A427" s="26"/>
      <c r="B427" s="6"/>
    </row>
    <row r="428" spans="1:2" x14ac:dyDescent="0.25">
      <c r="A428" s="26"/>
      <c r="B428" s="6"/>
    </row>
    <row r="429" spans="1:2" x14ac:dyDescent="0.25">
      <c r="A429" s="26"/>
      <c r="B429" s="6"/>
    </row>
    <row r="430" spans="1:2" x14ac:dyDescent="0.25">
      <c r="A430" s="26"/>
      <c r="B430" s="6"/>
    </row>
    <row r="431" spans="1:2" x14ac:dyDescent="0.25">
      <c r="A431" s="26"/>
      <c r="B431" s="6"/>
    </row>
    <row r="432" spans="1:2" x14ac:dyDescent="0.25">
      <c r="A432" s="26"/>
      <c r="B432" s="6"/>
    </row>
    <row r="433" spans="1:2" x14ac:dyDescent="0.25">
      <c r="A433" s="26"/>
      <c r="B433" s="6"/>
    </row>
    <row r="434" spans="1:2" x14ac:dyDescent="0.25">
      <c r="A434" s="26"/>
      <c r="B434" s="6"/>
    </row>
    <row r="435" spans="1:2" x14ac:dyDescent="0.25">
      <c r="A435" s="26"/>
      <c r="B435" s="6"/>
    </row>
    <row r="436" spans="1:2" x14ac:dyDescent="0.25">
      <c r="A436" s="26"/>
      <c r="B436" s="6"/>
    </row>
    <row r="437" spans="1:2" x14ac:dyDescent="0.25">
      <c r="A437" s="26"/>
      <c r="B437" s="6"/>
    </row>
    <row r="438" spans="1:2" x14ac:dyDescent="0.25">
      <c r="A438" s="26"/>
      <c r="B438" s="6"/>
    </row>
    <row r="439" spans="1:2" x14ac:dyDescent="0.25">
      <c r="A439" s="26"/>
      <c r="B439" s="6"/>
    </row>
    <row r="440" spans="1:2" x14ac:dyDescent="0.25">
      <c r="A440" s="26"/>
      <c r="B440" s="6"/>
    </row>
    <row r="441" spans="1:2" x14ac:dyDescent="0.25">
      <c r="A441" s="26"/>
      <c r="B441" s="6"/>
    </row>
    <row r="442" spans="1:2" x14ac:dyDescent="0.25">
      <c r="A442" s="26"/>
      <c r="B442" s="6"/>
    </row>
    <row r="443" spans="1:2" x14ac:dyDescent="0.25">
      <c r="A443" s="26"/>
      <c r="B443" s="6"/>
    </row>
    <row r="444" spans="1:2" x14ac:dyDescent="0.25">
      <c r="A444" s="26"/>
      <c r="B444" s="6"/>
    </row>
    <row r="445" spans="1:2" x14ac:dyDescent="0.25">
      <c r="A445" s="26"/>
      <c r="B445" s="6"/>
    </row>
    <row r="446" spans="1:2" x14ac:dyDescent="0.25">
      <c r="A446" s="26"/>
      <c r="B446" s="6"/>
    </row>
    <row r="447" spans="1:2" x14ac:dyDescent="0.25">
      <c r="A447" s="26"/>
      <c r="B447" s="6"/>
    </row>
    <row r="448" spans="1:2" x14ac:dyDescent="0.25">
      <c r="A448" s="26"/>
      <c r="B448" s="6"/>
    </row>
    <row r="449" spans="1:2" x14ac:dyDescent="0.25">
      <c r="A449" s="26"/>
      <c r="B449" s="6"/>
    </row>
    <row r="450" spans="1:2" x14ac:dyDescent="0.25">
      <c r="A450" s="26"/>
      <c r="B450" s="6"/>
    </row>
    <row r="451" spans="1:2" x14ac:dyDescent="0.25">
      <c r="A451" s="26"/>
      <c r="B451" s="6"/>
    </row>
    <row r="452" spans="1:2" x14ac:dyDescent="0.25">
      <c r="A452" s="26"/>
      <c r="B452" s="6"/>
    </row>
    <row r="453" spans="1:2" x14ac:dyDescent="0.25">
      <c r="A453" s="26"/>
      <c r="B453" s="6"/>
    </row>
    <row r="454" spans="1:2" x14ac:dyDescent="0.25">
      <c r="A454" s="26"/>
      <c r="B454" s="6"/>
    </row>
    <row r="455" spans="1:2" x14ac:dyDescent="0.25">
      <c r="A455" s="26"/>
      <c r="B455" s="6"/>
    </row>
    <row r="456" spans="1:2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BA2:BA196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197"/>
  <sheetViews>
    <sheetView topLeftCell="A177" zoomScaleNormal="100" workbookViewId="0">
      <pane xSplit="1" topLeftCell="B1" activePane="topRight" state="frozen"/>
      <selection pane="topRight" activeCell="A196" sqref="A196:XFD196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IF(Animals!S2="No","No",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IF(Animals!X2="No","No",
IF(_xlfn.XLOOKUP(_xlfn.XLOOKUP(B2,'Base stats'!B:B,'Base stats'!E:E),Groups!A:A,Groups!BD:BD)=1,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stats'!E:E),Groups!A:A,Groups!BD:BD)=1,"No",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IF(Animals!AI2="No","No",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stats'!AN:AN)*_xlfn.XLOOKUP(_xlfn.XLOOKUP(B2,'Base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stats'!AN:AN)*0.01,2)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IF(Animals!S3="No","No",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IF(Animals!X3="No","No",
IF(_xlfn.XLOOKUP(_xlfn.XLOOKUP(B3,'Base stats'!B:B,'Base stats'!E:E),Groups!A:A,Groups!BD:BD)=1,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stats'!E:E),Groups!A:A,Groups!BD:BD)=1,"No",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IF(Animals!AI3="No","No",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stats'!AN:AN)*_xlfn.XLOOKUP(_xlfn.XLOOKUP(B3,'Base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stats'!AN:AN)*0.01,2)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IF(Animals!S4="No","No",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IF(Animals!X4="No","No",
IF(_xlfn.XLOOKUP(_xlfn.XLOOKUP(B4,'Base stats'!B:B,'Base stats'!E:E),Groups!A:A,Groups!BD:BD)=1,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stats'!E:E),Groups!A:A,Groups!BD:BD)=1,"No",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IF(Animals!AI4="No","No",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stats'!AN:AN)*_xlfn.XLOOKUP(_xlfn.XLOOKUP(B4,'Base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stats'!AN:AN)*0.01,2)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IF(Animals!S5="No","No",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IF(Animals!X5="No","No",
IF(_xlfn.XLOOKUP(_xlfn.XLOOKUP(B5,'Base stats'!B:B,'Base stats'!E:E),Groups!A:A,Groups!BD:BD)=1,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stats'!E:E),Groups!A:A,Groups!BD:BD)=1,"No",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IF(Animals!AI5="No","No",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stats'!AN:AN)*_xlfn.XLOOKUP(_xlfn.XLOOKUP(B5,'Base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stats'!AN:AN)*0.01,2)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IF(Animals!S6="No","No",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stats'!E:E),Groups!A:A,Groups!BD:BD)=1,"No",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IF(Animals!AI6="No","No",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stats'!AN:AN)*_xlfn.XLOOKUP(_xlfn.XLOOKUP(B6,'Base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stats'!AN:AN)*0.01,2)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IF(Animals!S7="No","No",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IF(Animals!X7="No","No",
IF(_xlfn.XLOOKUP(_xlfn.XLOOKUP(B7,'Base stats'!B:B,'Base stats'!E:E),Groups!A:A,Groups!BD:BD)=1,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stats'!E:E),Groups!A:A,Groups!BD:BD)=1,"No",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IF(Animals!AI7="No","No",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stats'!AN:AN)*_xlfn.XLOOKUP(_xlfn.XLOOKUP(B7,'Base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stats'!AN:AN)*0.01,2)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IF(Animals!S8="No","No",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stats'!E:E),Groups!A:A,Groups!BD:BD)=1,"No",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IF(Animals!AI8="No","No",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stats'!AN:AN)*_xlfn.XLOOKUP(_xlfn.XLOOKUP(B8,'Base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stats'!AN:AN)*0.01,2)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IF(Animals!S9="No","No",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IF(Animals!X9="No","No",
IF(_xlfn.XLOOKUP(_xlfn.XLOOKUP(B9,'Base stats'!B:B,'Base stats'!E:E),Groups!A:A,Groups!BD:BD)=1,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stats'!E:E),Groups!A:A,Groups!BD:BD)=1,"No",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IF(Animals!AI9="No","No",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stats'!AN:AN)*_xlfn.XLOOKUP(_xlfn.XLOOKUP(B9,'Base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stats'!AN:AN)*0.01,2)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IF(Animals!S10="No","No",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IF(Animals!X10="No","No",
IF(_xlfn.XLOOKUP(_xlfn.XLOOKUP(B10,'Base stats'!B:B,'Base stats'!E:E),Groups!A:A,Groups!BD:BD)=1,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IF(Animals!AI10="No","No",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stats'!AN:AN)*_xlfn.XLOOKUP(_xlfn.XLOOKUP(B10,'Base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stats'!AN:AN)*0.01,2)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IF(Animals!S11="No","No",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IF(Animals!X11="No","No",
IF(_xlfn.XLOOKUP(_xlfn.XLOOKUP(B11,'Base stats'!B:B,'Base stats'!E:E),Groups!A:A,Groups!BD:BD)=1,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IF(Animals!AI11="No","No",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stats'!AN:AN)*_xlfn.XLOOKUP(_xlfn.XLOOKUP(B11,'Base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stats'!AN:AN)*0.01,2)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IF(Animals!S12="No","No",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IF(Animals!X12="No","No",
IF(_xlfn.XLOOKUP(_xlfn.XLOOKUP(B12,'Base stats'!B:B,'Base stats'!E:E),Groups!A:A,Groups!BD:BD)=1,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IF(Animals!AI12="No","No",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stats'!AN:AN)*_xlfn.XLOOKUP(_xlfn.XLOOKUP(B12,'Base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stats'!AN:AN)*0.01,2)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IF(Animals!S13="No","No",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IF(Animals!AI13="No","No",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stats'!AN:AN)*_xlfn.XLOOKUP(_xlfn.XLOOKUP(B13,'Base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stats'!AN:AN)*0.01,2)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IF(Animals!S14="No","No",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IF(Animals!X14="No","No",
IF(_xlfn.XLOOKUP(_xlfn.XLOOKUP(B14,'Base stats'!B:B,'Base stats'!E:E),Groups!A:A,Groups!BD:BD)=1,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IF(Animals!AI14="No","No",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stats'!AN:AN)*_xlfn.XLOOKUP(_xlfn.XLOOKUP(B14,'Base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stats'!AN:AN)*0.01,2)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IF(Animals!S15="No","No",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IF(Animals!X15="No","No",
IF(_xlfn.XLOOKUP(_xlfn.XLOOKUP(B15,'Base stats'!B:B,'Base stats'!E:E),Groups!A:A,Groups!BD:BD)=1,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IF(Animals!AI15="No","No",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stats'!AN:AN)*_xlfn.XLOOKUP(_xlfn.XLOOKUP(B15,'Base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stats'!AN:AN)*0.01,2)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IF(Animals!S16="No","No",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IF(Animals!X16="No","No",
IF(_xlfn.XLOOKUP(_xlfn.XLOOKUP(B16,'Base stats'!B:B,'Base stats'!E:E),Groups!A:A,Groups!BD:BD)=1,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IF(Animals!AI16="No","No",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stats'!AN:AN)*_xlfn.XLOOKUP(_xlfn.XLOOKUP(B16,'Base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stats'!AN:AN)*0.01,2)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IF(Animals!S17="No","No",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IF(Animals!X17="No","No",
IF(_xlfn.XLOOKUP(_xlfn.XLOOKUP(B17,'Base stats'!B:B,'Base stats'!E:E),Groups!A:A,Groups!BD:BD)=1,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IF(Animals!AI17="No","No",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stats'!AN:AN)*_xlfn.XLOOKUP(_xlfn.XLOOKUP(B17,'Base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stats'!AN:AN)*0.01,2)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IF(Animals!S18="No","No",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IF(Animals!X18="No","No",
IF(_xlfn.XLOOKUP(_xlfn.XLOOKUP(B18,'Base stats'!B:B,'Base stats'!E:E),Groups!A:A,Groups!BD:BD)=1,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IF(Animals!AI18="No","No",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stats'!AN:AN)*_xlfn.XLOOKUP(_xlfn.XLOOKUP(B18,'Base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stats'!AN:AN)*0.01,2)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IF(Animals!S19="No","No",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IF(Animals!X19="No","No",
IF(_xlfn.XLOOKUP(_xlfn.XLOOKUP(B19,'Base stats'!B:B,'Base stats'!E:E),Groups!A:A,Groups!BD:BD)=1,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IF(Animals!AI19="No","No",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stats'!AN:AN)*_xlfn.XLOOKUP(_xlfn.XLOOKUP(B19,'Base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stats'!AN:AN)*0.01,2)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IF(Animals!S20="No","No",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IF(Animals!X20="No","No",
IF(_xlfn.XLOOKUP(_xlfn.XLOOKUP(B20,'Base stats'!B:B,'Base stats'!E:E),Groups!A:A,Groups!BD:BD)=1,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IF(Animals!AI20="No","No",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stats'!AN:AN)*_xlfn.XLOOKUP(_xlfn.XLOOKUP(B20,'Base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stats'!AN:AN)*0.01,2)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IF(Animals!S21="No","No",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IF(Animals!AI21="No","No",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stats'!AN:AN)*_xlfn.XLOOKUP(_xlfn.XLOOKUP(B21,'Base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stats'!AN:AN)*0.01,2)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IF(Animals!S22="No","No",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IF(Animals!X22="No","No",
IF(_xlfn.XLOOKUP(_xlfn.XLOOKUP(B22,'Base stats'!B:B,'Base stats'!E:E),Groups!A:A,Groups!BD:BD)=1,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IF(Animals!AI22="No","No",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stats'!AN:AN)*_xlfn.XLOOKUP(_xlfn.XLOOKUP(B22,'Base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stats'!AN:AN)*0.01,2)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IF(Animals!S23="No","No",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IF(Animals!X23="No","No",
IF(_xlfn.XLOOKUP(_xlfn.XLOOKUP(B23,'Base stats'!B:B,'Base stats'!E:E),Groups!A:A,Groups!BD:BD)=1,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IF(Animals!AI23="No","No",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stats'!AN:AN)*_xlfn.XLOOKUP(_xlfn.XLOOKUP(B23,'Base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stats'!AN:AN)*0.01,2)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IF(Animals!S24="No","No",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IF(Animals!X24="No","No",
IF(_xlfn.XLOOKUP(_xlfn.XLOOKUP(B24,'Base stats'!B:B,'Base stats'!E:E),Groups!A:A,Groups!BD:BD)=1,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IF(Animals!AI24="No","No",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stats'!AN:AN)*_xlfn.XLOOKUP(_xlfn.XLOOKUP(B24,'Base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stats'!AN:AN)*0.01,2)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IF(Animals!S25="No","No",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IF(Animals!X25="No","No",
IF(_xlfn.XLOOKUP(_xlfn.XLOOKUP(B25,'Base stats'!B:B,'Base stats'!E:E),Groups!A:A,Groups!BD:BD)=1,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stats'!E:E),Groups!A:A,Groups!BD:BD)=1,"No",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IF(Animals!AI25="No","No",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stats'!AN:AN)*_xlfn.XLOOKUP(_xlfn.XLOOKUP(B25,'Base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stats'!AN:AN)*0.01,2)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IF(Animals!S26="No","No",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IF(Animals!X26="No","No",
IF(_xlfn.XLOOKUP(_xlfn.XLOOKUP(B26,'Base stats'!B:B,'Base stats'!E:E),Groups!A:A,Groups!BD:BD)=1,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stats'!E:E),Groups!A:A,Groups!BD:BD)=1,"No",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IF(Animals!AI26="No","No",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stats'!AN:AN)*_xlfn.XLOOKUP(_xlfn.XLOOKUP(B26,'Base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stats'!AN:AN)*0.01,2)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IF(Animals!S27="No","No",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IF(Animals!X27="No","No",
IF(_xlfn.XLOOKUP(_xlfn.XLOOKUP(B27,'Base stats'!B:B,'Base stats'!E:E),Groups!A:A,Groups!BD:BD)=1,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IF(Animals!AI27="No","No",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stats'!AN:AN)*_xlfn.XLOOKUP(_xlfn.XLOOKUP(B27,'Base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stats'!AN:AN)*0.01,2)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IF(Animals!S28="No","No",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IF(Animals!X28="No","No",
IF(_xlfn.XLOOKUP(_xlfn.XLOOKUP(B28,'Base stats'!B:B,'Base stats'!E:E),Groups!A:A,Groups!BD:BD)=1,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IF(Animals!AI28="No","No",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stats'!AN:AN)*_xlfn.XLOOKUP(_xlfn.XLOOKUP(B28,'Base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stats'!AN:AN)*0.01,2)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IF(Animals!S29="No","No",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IF(Animals!X29="No","No",
IF(_xlfn.XLOOKUP(_xlfn.XLOOKUP(B29,'Base stats'!B:B,'Base stats'!E:E),Groups!A:A,Groups!BD:BD)=1,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stats'!E:E),Groups!A:A,Groups!BD:BD)=1,"No",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IF(Animals!AI29="No","No",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stats'!AN:AN)*_xlfn.XLOOKUP(_xlfn.XLOOKUP(B29,'Base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stats'!AN:AN)*0.01,2)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IF(Animals!S30="No","No",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IF(Animals!X30="No","No",
IF(_xlfn.XLOOKUP(_xlfn.XLOOKUP(B30,'Base stats'!B:B,'Base stats'!E:E),Groups!A:A,Groups!BD:BD)=1,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IF(Animals!AI30="No","No",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stats'!AN:AN)*_xlfn.XLOOKUP(_xlfn.XLOOKUP(B30,'Base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stats'!AN:AN)*0.01,2)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IF(Animals!S31="No","No",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IF(Animals!X31="No","No",
IF(_xlfn.XLOOKUP(_xlfn.XLOOKUP(B31,'Base stats'!B:B,'Base stats'!E:E),Groups!A:A,Groups!BD:BD)=1,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IF(Animals!AI31="No","No",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stats'!AN:AN)*_xlfn.XLOOKUP(_xlfn.XLOOKUP(B31,'Base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stats'!AN:AN)*0.01,2)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IF(Animals!S32="No","No",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IF(Animals!X32="No","No",
IF(_xlfn.XLOOKUP(_xlfn.XLOOKUP(B32,'Base stats'!B:B,'Base stats'!E:E),Groups!A:A,Groups!BD:BD)=1,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IF(Animals!AI32="No","No",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stats'!AN:AN)*_xlfn.XLOOKUP(_xlfn.XLOOKUP(B32,'Base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stats'!AN:AN)*0.01,2)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IF(Animals!S33="No","No",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IF(Animals!X33="No","No",
IF(_xlfn.XLOOKUP(_xlfn.XLOOKUP(B33,'Base stats'!B:B,'Base stats'!E:E),Groups!A:A,Groups!BD:BD)=1,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IF(Animals!AI33="No","No",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stats'!AN:AN)*_xlfn.XLOOKUP(_xlfn.XLOOKUP(B33,'Base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stats'!AN:AN)*0.01,2)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IF(Animals!S34="No","No",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IF(Animals!X34="No","No",
IF(_xlfn.XLOOKUP(_xlfn.XLOOKUP(B34,'Base stats'!B:B,'Base stats'!E:E),Groups!A:A,Groups!BD:BD)=1,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IF(Animals!AI34="No","No",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stats'!AN:AN)*_xlfn.XLOOKUP(_xlfn.XLOOKUP(B34,'Base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stats'!AN:AN)*0.01,2)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IF(Animals!S35="No","No",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IF(Animals!X35="No","No",
IF(_xlfn.XLOOKUP(_xlfn.XLOOKUP(B35,'Base stats'!B:B,'Base stats'!E:E),Groups!A:A,Groups!BD:BD)=1,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IF(Animals!AI35="No","No",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stats'!AN:AN)*_xlfn.XLOOKUP(_xlfn.XLOOKUP(B35,'Base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stats'!AN:AN)*0.01,2)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IF(Animals!S36="No","No",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IF(Animals!X36="No","No",
IF(_xlfn.XLOOKUP(_xlfn.XLOOKUP(B36,'Base stats'!B:B,'Base stats'!E:E),Groups!A:A,Groups!BD:BD)=1,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IF(Animals!AI36="No","No",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stats'!AN:AN)*_xlfn.XLOOKUP(_xlfn.XLOOKUP(B36,'Base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stats'!AN:AN)*0.01,2)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IF(Animals!S37="No","No",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IF(Animals!X37="No","No",
IF(_xlfn.XLOOKUP(_xlfn.XLOOKUP(B37,'Base stats'!B:B,'Base stats'!E:E),Groups!A:A,Groups!BD:BD)=1,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IF(Animals!AI37="No","No",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stats'!AN:AN)*_xlfn.XLOOKUP(_xlfn.XLOOKUP(B37,'Base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stats'!AN:AN)*0.01,2)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IF(Animals!S38="No","No",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IF(Animals!X38="No","No",
IF(_xlfn.XLOOKUP(_xlfn.XLOOKUP(B38,'Base stats'!B:B,'Base stats'!E:E),Groups!A:A,Groups!BD:BD)=1,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IF(Animals!AI38="No","No",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stats'!AN:AN)*_xlfn.XLOOKUP(_xlfn.XLOOKUP(B38,'Base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stats'!AN:AN)*0.01,2)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IF(Animals!S39="No","No",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IF(Animals!X39="No","No",
IF(_xlfn.XLOOKUP(_xlfn.XLOOKUP(B39,'Base stats'!B:B,'Base stats'!E:E),Groups!A:A,Groups!BD:BD)=1,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IF(Animals!AI39="No","No",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stats'!AN:AN)*_xlfn.XLOOKUP(_xlfn.XLOOKUP(B39,'Base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stats'!AN:AN)*0.01,2)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IF(Animals!S40="No","No",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IF(Animals!X40="No","No",
IF(_xlfn.XLOOKUP(_xlfn.XLOOKUP(B40,'Base stats'!B:B,'Base stats'!E:E),Groups!A:A,Groups!BD:BD)=1,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IF(Animals!AI40="No","No",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stats'!AN:AN)*_xlfn.XLOOKUP(_xlfn.XLOOKUP(B40,'Base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stats'!AN:AN)*0.01,2)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IF(Animals!S41="No","No",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IF(Animals!X41="No","No",
IF(_xlfn.XLOOKUP(_xlfn.XLOOKUP(B41,'Base stats'!B:B,'Base stats'!E:E),Groups!A:A,Groups!BD:BD)=1,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IF(Animals!AI41="No","No",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stats'!AN:AN)*_xlfn.XLOOKUP(_xlfn.XLOOKUP(B41,'Base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stats'!AN:AN)*0.01,2)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IF(Animals!S42="No","No",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IF(Animals!X42="No","No",
IF(_xlfn.XLOOKUP(_xlfn.XLOOKUP(B42,'Base stats'!B:B,'Base stats'!E:E),Groups!A:A,Groups!BD:BD)=1,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stats'!E:E),Groups!A:A,Groups!BD:BD)=1,"No",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IF(Animals!AI42="No","No",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stats'!AN:AN)*_xlfn.XLOOKUP(_xlfn.XLOOKUP(B42,'Base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stats'!AN:AN)*0.01,2)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IF(Animals!S43="No","No",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IF(Animals!X43="No","No",
IF(_xlfn.XLOOKUP(_xlfn.XLOOKUP(B43,'Base stats'!B:B,'Base stats'!E:E),Groups!A:A,Groups!BD:BD)=1,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stats'!E:E),Groups!A:A,Groups!BD:BD)=1,"No",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IF(Animals!AI43="No","No",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stats'!AN:AN)*_xlfn.XLOOKUP(_xlfn.XLOOKUP(B43,'Base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stats'!AN:AN)*0.01,2)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IF(Animals!S44="No","No",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IF(Animals!X44="No","No",
IF(_xlfn.XLOOKUP(_xlfn.XLOOKUP(B44,'Base stats'!B:B,'Base stats'!E:E),Groups!A:A,Groups!BD:BD)=1,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IF(Animals!AI44="No","No",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stats'!AN:AN)*_xlfn.XLOOKUP(_xlfn.XLOOKUP(B44,'Base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stats'!AN:AN)*0.01,2)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IF(Animals!S45="No","No",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IF(Animals!X45="No","No",
IF(_xlfn.XLOOKUP(_xlfn.XLOOKUP(B45,'Base stats'!B:B,'Base stats'!E:E),Groups!A:A,Groups!BD:BD)=1,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stats'!E:E),Groups!A:A,Groups!BD:BD)=1,"No",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IF(Animals!AI45="No","No",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stats'!AN:AN)*_xlfn.XLOOKUP(_xlfn.XLOOKUP(B45,'Base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stats'!AN:AN)*0.01,2)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IF(Animals!S46="No","No",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IF(Animals!X46="No","No",
IF(_xlfn.XLOOKUP(_xlfn.XLOOKUP(B46,'Base stats'!B:B,'Base stats'!E:E),Groups!A:A,Groups!BD:BD)=1,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stats'!E:E),Groups!A:A,Groups!BD:BD)=1,"No",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IF(Animals!AI46="No","No",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stats'!AN:AN)*_xlfn.XLOOKUP(_xlfn.XLOOKUP(B46,'Base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stats'!AN:AN)*0.01,2)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IF(Animals!S47="No","No",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IF(Animals!AI47="No","No",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stats'!AN:AN)*_xlfn.XLOOKUP(_xlfn.XLOOKUP(B47,'Base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stats'!AN:AN)*0.01,2)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IF(Animals!S48="No","No",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IF(Animals!AI48="No","No",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stats'!AN:AN)*_xlfn.XLOOKUP(_xlfn.XLOOKUP(B48,'Base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stats'!AN:AN)*0.01,2)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IF(Animals!S49="No","No",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IF(Animals!X49="No","No",
IF(_xlfn.XLOOKUP(_xlfn.XLOOKUP(B49,'Base stats'!B:B,'Base stats'!E:E),Groups!A:A,Groups!BD:BD)=1,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stats'!E:E),Groups!A:A,Groups!BD:BD)=1,"No",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IF(Animals!AI49="No","No",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stats'!AN:AN)*_xlfn.XLOOKUP(_xlfn.XLOOKUP(B49,'Base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stats'!AN:AN)*0.01,2)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IF(Animals!S50="No","No",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IF(Animals!X50="No","No",
IF(_xlfn.XLOOKUP(_xlfn.XLOOKUP(B50,'Base stats'!B:B,'Base stats'!E:E),Groups!A:A,Groups!BD:BD)=1,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IF(Animals!AI50="No","No",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stats'!AN:AN)*_xlfn.XLOOKUP(_xlfn.XLOOKUP(B50,'Base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stats'!AN:AN)*0.01,2)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IF(Animals!S51="No","No",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IF(Animals!X51="No","No",
IF(_xlfn.XLOOKUP(_xlfn.XLOOKUP(B51,'Base stats'!B:B,'Base stats'!E:E),Groups!A:A,Groups!BD:BD)=1,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stats'!E:E),Groups!A:A,Groups!BD:BD)=1,"No",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IF(Animals!AI51="No","No",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stats'!AN:AN)*_xlfn.XLOOKUP(_xlfn.XLOOKUP(B51,'Base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stats'!AN:AN)*0.01,2)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IF(Animals!S52="No","No",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IF(Animals!X52="No","No",
IF(_xlfn.XLOOKUP(_xlfn.XLOOKUP(B52,'Base stats'!B:B,'Base stats'!E:E),Groups!A:A,Groups!BD:BD)=1,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IF(Animals!AI52="No","No",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stats'!AN:AN)*_xlfn.XLOOKUP(_xlfn.XLOOKUP(B52,'Base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stats'!AN:AN)*0.01,2)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IF(Animals!S53="No","No",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IF(Animals!X53="No","No",
IF(_xlfn.XLOOKUP(_xlfn.XLOOKUP(B53,'Base stats'!B:B,'Base stats'!E:E),Groups!A:A,Groups!BD:BD)=1,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stats'!E:E),Groups!A:A,Groups!BD:BD)=1,"No",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IF(Animals!AI53="No","No",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stats'!AN:AN)*_xlfn.XLOOKUP(_xlfn.XLOOKUP(B53,'Base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stats'!AN:AN)*0.01,2)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IF(Animals!S54="No","No",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IF(Animals!X54="No","No",
IF(_xlfn.XLOOKUP(_xlfn.XLOOKUP(B54,'Base stats'!B:B,'Base stats'!E:E),Groups!A:A,Groups!BD:BD)=1,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IF(Animals!AI54="No","No",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stats'!AN:AN)*_xlfn.XLOOKUP(_xlfn.XLOOKUP(B54,'Base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stats'!AN:AN)*0.01,2)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IF(Animals!S55="No","No",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IF(Animals!X55="No","No",
IF(_xlfn.XLOOKUP(_xlfn.XLOOKUP(B55,'Base stats'!B:B,'Base stats'!E:E),Groups!A:A,Groups!BD:BD)=1,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IF(Animals!AI55="No","No",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stats'!AN:AN)*_xlfn.XLOOKUP(_xlfn.XLOOKUP(B55,'Base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stats'!AN:AN)*0.01,2)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IF(Animals!S56="No","No",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IF(Animals!X56="No","No",
IF(_xlfn.XLOOKUP(_xlfn.XLOOKUP(B56,'Base stats'!B:B,'Base stats'!E:E),Groups!A:A,Groups!BD:BD)=1,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IF(Animals!AI56="No","No",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stats'!AN:AN)*_xlfn.XLOOKUP(_xlfn.XLOOKUP(B56,'Base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stats'!AN:AN)*0.01,2)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IF(Animals!S57="No","No",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IF(Animals!X57="No","No",
IF(_xlfn.XLOOKUP(_xlfn.XLOOKUP(B57,'Base stats'!B:B,'Base stats'!E:E),Groups!A:A,Groups!BD:BD)=1,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IF(Animals!AI57="No","No",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stats'!AN:AN)*_xlfn.XLOOKUP(_xlfn.XLOOKUP(B57,'Base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stats'!AN:AN)*0.01,2)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IF(Animals!S58="No","No",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IF(Animals!X58="No","No",
IF(_xlfn.XLOOKUP(_xlfn.XLOOKUP(B58,'Base stats'!B:B,'Base stats'!E:E),Groups!A:A,Groups!BD:BD)=1,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IF(Animals!AI58="No","No",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stats'!AN:AN)*_xlfn.XLOOKUP(_xlfn.XLOOKUP(B58,'Base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stats'!AN:AN)*0.01,2)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IF(Animals!S59="No","No",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IF(Animals!X59="No","No",
IF(_xlfn.XLOOKUP(_xlfn.XLOOKUP(B59,'Base stats'!B:B,'Base stats'!E:E),Groups!A:A,Groups!BD:BD)=1,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IF(Animals!AI59="No","No",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stats'!AN:AN)*_xlfn.XLOOKUP(_xlfn.XLOOKUP(B59,'Base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stats'!AN:AN)*0.01,2)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IF(Animals!S60="No","No",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IF(Animals!X60="No","No",
IF(_xlfn.XLOOKUP(_xlfn.XLOOKUP(B60,'Base stats'!B:B,'Base stats'!E:E),Groups!A:A,Groups!BD:BD)=1,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IF(Animals!AI60="No","No",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stats'!AN:AN)*_xlfn.XLOOKUP(_xlfn.XLOOKUP(B60,'Base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stats'!AN:AN)*0.01,2)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IF(Animals!S61="No","No",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IF(Animals!X61="No","No",
IF(_xlfn.XLOOKUP(_xlfn.XLOOKUP(B61,'Base stats'!B:B,'Base stats'!E:E),Groups!A:A,Groups!BD:BD)=1,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IF(Animals!AI61="No","No",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stats'!AN:AN)*_xlfn.XLOOKUP(_xlfn.XLOOKUP(B61,'Base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stats'!AN:AN)*0.01,2)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IF(Animals!S62="No","No",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IF(Animals!X62="No","No",
IF(_xlfn.XLOOKUP(_xlfn.XLOOKUP(B62,'Base stats'!B:B,'Base stats'!E:E),Groups!A:A,Groups!BD:BD)=1,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IF(Animals!AI62="No","No",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stats'!AN:AN)*_xlfn.XLOOKUP(_xlfn.XLOOKUP(B62,'Base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stats'!AN:AN)*0.01,2)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IF(Animals!S63="No","No",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IF(Animals!X63="No","No",
IF(_xlfn.XLOOKUP(_xlfn.XLOOKUP(B63,'Base stats'!B:B,'Base stats'!E:E),Groups!A:A,Groups!BD:BD)=1,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IF(Animals!AI63="No","No",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stats'!AN:AN)*_xlfn.XLOOKUP(_xlfn.XLOOKUP(B63,'Base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stats'!AN:AN)*0.01,2)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IF(Animals!S64="No","No",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IF(Animals!X64="No","No",
IF(_xlfn.XLOOKUP(_xlfn.XLOOKUP(B64,'Base stats'!B:B,'Base stats'!E:E),Groups!A:A,Groups!BD:BD)=1,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IF(Animals!AI64="No","No",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stats'!AN:AN)*_xlfn.XLOOKUP(_xlfn.XLOOKUP(B64,'Base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stats'!AN:AN)*0.01,2)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IF(Animals!S65="No","No",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IF(Animals!X65="No","No",
IF(_xlfn.XLOOKUP(_xlfn.XLOOKUP(B65,'Base stats'!B:B,'Base stats'!E:E),Groups!A:A,Groups!BD:BD)=1,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IF(Animals!AI65="No","No",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stats'!AN:AN)*_xlfn.XLOOKUP(_xlfn.XLOOKUP(B65,'Base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stats'!AN:AN)*0.01,2)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IF(Animals!S66="No","No",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IF(Animals!X66="No","No",
IF(_xlfn.XLOOKUP(_xlfn.XLOOKUP(B66,'Base stats'!B:B,'Base stats'!E:E),Groups!A:A,Groups!BD:BD)=1,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IF(Animals!AI66="No","No",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stats'!AN:AN)*_xlfn.XLOOKUP(_xlfn.XLOOKUP(B66,'Base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stats'!AN:AN)*0.01,2)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IF(Animals!S67="No","No",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IF(Animals!AI67="No","No",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stats'!AN:AN)*_xlfn.XLOOKUP(_xlfn.XLOOKUP(B67,'Base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stats'!AN:AN)*0.01,2)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IF(Animals!S68="No","No",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IF(Animals!X68="No","No",
IF(_xlfn.XLOOKUP(_xlfn.XLOOKUP(B68,'Base stats'!B:B,'Base stats'!E:E),Groups!A:A,Groups!BD:BD)=1,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IF(Animals!AI68="No","No",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stats'!AN:AN)*_xlfn.XLOOKUP(_xlfn.XLOOKUP(B68,'Base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stats'!AN:AN)*0.01,2)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IF(Animals!S69="No","No",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IF(Animals!X69="No","No",
IF(_xlfn.XLOOKUP(_xlfn.XLOOKUP(B69,'Base stats'!B:B,'Base stats'!E:E),Groups!A:A,Groups!BD:BD)=1,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IF(Animals!AI69="No","No",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stats'!AN:AN)*_xlfn.XLOOKUP(_xlfn.XLOOKUP(B69,'Base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stats'!AN:AN)*0.01,2)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IF(Animals!S70="No","No",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IF(Animals!X70="No","No",
IF(_xlfn.XLOOKUP(_xlfn.XLOOKUP(B70,'Base stats'!B:B,'Base stats'!E:E),Groups!A:A,Groups!BD:BD)=1,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IF(Animals!AI70="No","No",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stats'!AN:AN)*_xlfn.XLOOKUP(_xlfn.XLOOKUP(B70,'Base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stats'!AN:AN)*0.01,2)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1.1000000000000001</v>
      </c>
      <c r="E71" s="11">
        <f>MAX(0.01,MROUND(_xlfn.XLOOKUP(B71,'Base stats'!B:B,'Base stats'!BD:BD) * 0.01 * 2, 0.01))</f>
        <v>0.85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IF(Animals!S71="No","No",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IF(Animals!X71="No","No",
IF(_xlfn.XLOOKUP(_xlfn.XLOOKUP(B71,'Base stats'!B:B,'Base stats'!E:E),Groups!A:A,Groups!BD:BD)=1,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3.2</v>
      </c>
      <c r="P71" s="11">
        <f>IF(O71="No","No",
MAX(0.01,MROUND(_xlfn.XLOOKUP(B71,'Base stats'!B:B,'Base stats'!BG:BG) * 0.01 * 2, 0.01))
)</f>
        <v>0.17</v>
      </c>
      <c r="Q71" s="5">
        <f>IF(O71="No","No",
MAX(0.01,MROUND(_xlfn.XLOOKUP(B71,'Base stats'!B:B,'Base stats'!BS:BS)/10000,0.01))
)</f>
        <v>0.01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IF(Animals!AI71="No","No",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stats'!AN:AN)*_xlfn.XLOOKUP(_xlfn.XLOOKUP(B71,'Base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stats'!AN:AN)*0.01,2)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IF(Animals!S72="No","No",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IF(Animals!X72="No","No",
IF(_xlfn.XLOOKUP(_xlfn.XLOOKUP(B72,'Base stats'!B:B,'Base stats'!E:E),Groups!A:A,Groups!BD:BD)=1,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IF(Animals!AI72="No","No",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stats'!AN:AN)*_xlfn.XLOOKUP(_xlfn.XLOOKUP(B72,'Base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stats'!AN:AN)*0.01,2)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IF(Animals!S73="No","No",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IF(Animals!X73="No","No",
IF(_xlfn.XLOOKUP(_xlfn.XLOOKUP(B73,'Base stats'!B:B,'Base stats'!E:E),Groups!A:A,Groups!BD:BD)=1,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IF(Animals!AI73="No","No",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stats'!AN:AN)*_xlfn.XLOOKUP(_xlfn.XLOOKUP(B73,'Base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stats'!AN:AN)*0.01,2)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IF(Animals!S74="No","No",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IF(Animals!X74="No","No",
IF(_xlfn.XLOOKUP(_xlfn.XLOOKUP(B74,'Base stats'!B:B,'Base stats'!E:E),Groups!A:A,Groups!BD:BD)=1,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IF(Animals!AI74="No","No",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stats'!AN:AN)*_xlfn.XLOOKUP(_xlfn.XLOOKUP(B74,'Base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stats'!AN:AN)*0.01,2)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IF(Animals!S75="No","No",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IF(Animals!X75="No","No",
IF(_xlfn.XLOOKUP(_xlfn.XLOOKUP(B75,'Base stats'!B:B,'Base stats'!E:E),Groups!A:A,Groups!BD:BD)=1,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IF(Animals!AI75="No","No",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stats'!AN:AN)*_xlfn.XLOOKUP(_xlfn.XLOOKUP(B75,'Base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stats'!AN:AN)*0.01,2)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IF(Animals!S76="No","No",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IF(Animals!X76="No","No",
IF(_xlfn.XLOOKUP(_xlfn.XLOOKUP(B76,'Base stats'!B:B,'Base stats'!E:E),Groups!A:A,Groups!BD:BD)=1,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IF(Animals!AI76="No","No",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stats'!AN:AN)*_xlfn.XLOOKUP(_xlfn.XLOOKUP(B76,'Base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stats'!AN:AN)*0.01,2)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IF(Animals!S77="No","No",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IF(Animals!X77="No","No",
IF(_xlfn.XLOOKUP(_xlfn.XLOOKUP(B77,'Base stats'!B:B,'Base stats'!E:E),Groups!A:A,Groups!BD:BD)=1,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IF(Animals!AI77="No","No",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stats'!AN:AN)*_xlfn.XLOOKUP(_xlfn.XLOOKUP(B77,'Base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stats'!AN:AN)*0.01,2)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IF(Animals!S78="No","No",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IF(Animals!X78="No","No",
IF(_xlfn.XLOOKUP(_xlfn.XLOOKUP(B78,'Base stats'!B:B,'Base stats'!E:E),Groups!A:A,Groups!BD:BD)=1,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IF(Animals!AI78="No","No",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stats'!AN:AN)*_xlfn.XLOOKUP(_xlfn.XLOOKUP(B78,'Base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stats'!AN:AN)*0.01,2)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IF(Animals!S79="No","No",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IF(Animals!X79="No","No",
IF(_xlfn.XLOOKUP(_xlfn.XLOOKUP(B79,'Base stats'!B:B,'Base stats'!E:E),Groups!A:A,Groups!BD:BD)=1,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stats'!E:E),Groups!A:A,Groups!BD:BD)=1,"No",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IF(Animals!AI79="No","No",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stats'!AN:AN)*_xlfn.XLOOKUP(_xlfn.XLOOKUP(B79,'Base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stats'!AN:AN)*0.01,2)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IF(Animals!S80="No","No",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IF(Animals!X80="No","No",
IF(_xlfn.XLOOKUP(_xlfn.XLOOKUP(B80,'Base stats'!B:B,'Base stats'!E:E),Groups!A:A,Groups!BD:BD)=1,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IF(Animals!AI80="No","No",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stats'!AN:AN)*_xlfn.XLOOKUP(_xlfn.XLOOKUP(B80,'Base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stats'!AN:AN)*0.01,2)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0.30000000000000004</v>
      </c>
      <c r="E81" s="11">
        <f>MAX(0.01,MROUND(_xlfn.XLOOKUP(B81,'Base stats'!B:B,'Base stats'!BD:BD) * 0.01 * 2, 0.01))</f>
        <v>0.19</v>
      </c>
      <c r="F81" s="7">
        <f>MROUND(_xlfn.XLOOKUP(B81,'Base stats'!B:B,'Base stats'!BA:BA)^0.25 / (_xlfn.XLOOKUP(B81,'Base stats'!B:B,'Base stats'!BH:BH) * 10) * 150 + 0.5 + _xlfn.XLOOKUP(B81,'Base stats'!B:B,'Base stats'!BT:BT), 0.05)</f>
        <v>1.4500000000000002</v>
      </c>
      <c r="G81" s="3" t="str">
        <f>IF(Animals!S81="No","No",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IF(Animals!X81="No","No",
IF(_xlfn.XLOOKUP(_xlfn.XLOOKUP(B81,'Base stats'!B:B,'Base stats'!E:E),Groups!A:A,Groups!BD:BD)=1,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3.6</v>
      </c>
      <c r="P81" s="11">
        <f>IF(O81="No","No",
MAX(0.01,MROUND(_xlfn.XLOOKUP(B81,'Base stats'!B:B,'Base stats'!BG:BG) * 0.01 * 2, 0.01))
)</f>
        <v>0.3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1.8</v>
      </c>
      <c r="S81" s="3" t="str">
        <f>IF(Animals!AI81="No","No",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stats'!AN:AN)*_xlfn.XLOOKUP(_xlfn.XLOOKUP(B81,'Base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stats'!AN:AN)*0.01,2)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IF(Animals!S82="No","No",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IF(Animals!X82="No","No",
IF(_xlfn.XLOOKUP(_xlfn.XLOOKUP(B82,'Base stats'!B:B,'Base stats'!E:E),Groups!A:A,Groups!BD:BD)=1,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IF(Animals!AI82="No","No",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stats'!AN:AN)*_xlfn.XLOOKUP(_xlfn.XLOOKUP(B82,'Base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stats'!AN:AN)*0.01,2)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IF(Animals!S83="No","No",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IF(Animals!X83="No","No",
IF(_xlfn.XLOOKUP(_xlfn.XLOOKUP(B83,'Base stats'!B:B,'Base stats'!E:E),Groups!A:A,Groups!BD:BD)=1,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IF(Animals!AI83="No","No",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stats'!AN:AN)*_xlfn.XLOOKUP(_xlfn.XLOOKUP(B83,'Base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stats'!AN:AN)*0.01,2)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IF(Animals!S84="No","No",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IF(Animals!X84="No","No",
IF(_xlfn.XLOOKUP(_xlfn.XLOOKUP(B84,'Base stats'!B:B,'Base stats'!E:E),Groups!A:A,Groups!BD:BD)=1,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IF(Animals!AI84="No","No",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stats'!AN:AN)*_xlfn.XLOOKUP(_xlfn.XLOOKUP(B84,'Base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stats'!AN:AN)*0.01,2)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IF(Animals!S85="No","No",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IF(Animals!X85="No","No",
IF(_xlfn.XLOOKUP(_xlfn.XLOOKUP(B85,'Base stats'!B:B,'Base stats'!E:E),Groups!A:A,Groups!BD:BD)=1,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IF(Animals!AI85="No","No",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stats'!AN:AN)*_xlfn.XLOOKUP(_xlfn.XLOOKUP(B85,'Base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stats'!AN:AN)*0.01,2)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5</v>
      </c>
      <c r="E86" s="11">
        <f>MAX(0.01,MROUND(_xlfn.XLOOKUP(B86,'Base stats'!B:B,'Base stats'!BD:BD) * 0.01 * 2, 0.01))</f>
        <v>4.41</v>
      </c>
      <c r="F86" s="7">
        <f>MROUND(_xlfn.XLOOKUP(B86,'Base stats'!B:B,'Base stats'!BA:BA)^0.25 / (_xlfn.XLOOKUP(B86,'Base stats'!B:B,'Base stats'!BH:BH) * 10) * 150 + 0.5 + _xlfn.XLOOKUP(B86,'Base stats'!B:B,'Base stats'!BT:BT), 0.05)</f>
        <v>2.15</v>
      </c>
      <c r="G86" s="3" t="str">
        <f>IF(Animals!S86="No","No",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IF(Animals!X86="No","No",
IF(_xlfn.XLOOKUP(_xlfn.XLOOKUP(B86,'Base stats'!B:B,'Base stats'!E:E),Groups!A:A,Groups!BD:BD)=1,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16.5</v>
      </c>
      <c r="P86" s="11">
        <f>IF(O86="No","No",
MAX(0.01,MROUND(_xlfn.XLOOKUP(B86,'Base stats'!B:B,'Base stats'!BG:BG) * 0.01 * 2, 0.01))
)</f>
        <v>4.93</v>
      </c>
      <c r="Q86" s="5">
        <f>IF(O86="No","No",
MAX(0.01,MROUND(_xlfn.XLOOKUP(B86,'Base stats'!B:B,'Base stats'!BS:BS)/10000,0.01))
)</f>
        <v>0.2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2.3000000000000003</v>
      </c>
      <c r="S86" s="3" t="str">
        <f>IF(Animals!AI86="No","No",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stats'!AN:AN)*_xlfn.XLOOKUP(_xlfn.XLOOKUP(B86,'Base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stats'!AN:AN)*0.01,2)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3.4000000000000004</v>
      </c>
      <c r="E87" s="11">
        <f>MAX(0.01,MROUND(_xlfn.XLOOKUP(B87,'Base stats'!B:B,'Base stats'!BD:BD) * 0.01 * 2, 0.01))</f>
        <v>2.94</v>
      </c>
      <c r="F87" s="7">
        <f>MROUND(_xlfn.XLOOKUP(B87,'Base stats'!B:B,'Base stats'!BA:BA)^0.25 / (_xlfn.XLOOKUP(B87,'Base stats'!B:B,'Base stats'!BH:BH) * 10) * 150 + 0.5 + _xlfn.XLOOKUP(B87,'Base stats'!B:B,'Base stats'!BT:BT), 0.05)</f>
        <v>2</v>
      </c>
      <c r="G87" s="3" t="str">
        <f>IF(Animals!S87="No","No",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IF(Animals!X87="No","No",
IF(_xlfn.XLOOKUP(_xlfn.XLOOKUP(B87,'Base stats'!B:B,'Base stats'!E:E),Groups!A:A,Groups!BD:BD)=1,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13.600000000000001</v>
      </c>
      <c r="P87" s="11">
        <f>IF(O87="No","No",
MAX(0.01,MROUND(_xlfn.XLOOKUP(B87,'Base stats'!B:B,'Base stats'!BG:BG) * 0.01 * 2, 0.01))
)</f>
        <v>3.43</v>
      </c>
      <c r="Q87" s="5">
        <f>IF(O87="No","No",
MAX(0.01,MROUND(_xlfn.XLOOKUP(B87,'Base stats'!B:B,'Base stats'!BS:BS)/10000,0.01))
)</f>
        <v>0.17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2.2000000000000002</v>
      </c>
      <c r="S87" s="3" t="str">
        <f>IF(Animals!AI87="No","No",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stats'!AN:AN)*_xlfn.XLOOKUP(_xlfn.XLOOKUP(B87,'Base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stats'!AN:AN)*0.01,2)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21.5</v>
      </c>
      <c r="E88" s="11">
        <f>MAX(0.01,MROUND(_xlfn.XLOOKUP(B88,'Base stats'!B:B,'Base stats'!BD:BD) * 0.01 * 2, 0.01))</f>
        <v>21.2</v>
      </c>
      <c r="F88" s="7">
        <f>MROUND(_xlfn.XLOOKUP(B88,'Base stats'!B:B,'Base stats'!BA:BA)^0.25 / (_xlfn.XLOOKUP(B88,'Base stats'!B:B,'Base stats'!BH:BH) * 10) * 150 + 0.5 + _xlfn.XLOOKUP(B88,'Base stats'!B:B,'Base stats'!BT:BT), 0.05)</f>
        <v>2.6500000000000004</v>
      </c>
      <c r="G88" s="3" t="str">
        <f>IF(Animals!S88="No","No",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IF(Animals!X88="No","No",
IF(_xlfn.XLOOKUP(_xlfn.XLOOKUP(B88,'Base stats'!B:B,'Base stats'!E:E),Groups!A:A,Groups!BD:BD)=1,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41.6</v>
      </c>
      <c r="L88" s="11">
        <f>IF(K88="No","No",
MAX(0.01,MROUND(_xlfn.XLOOKUP(B88,'Base stats'!B:B,'Base stats'!BF:BF) * 0.01 *2, 0.01))
)</f>
        <v>28.14</v>
      </c>
      <c r="M88" s="5">
        <f>IF(K88="No","No",IF(_xlfn.XLOOKUP(_xlfn.XLOOKUP(B88,'Base stats'!B:B,'Base stats'!E:E),Groups!A:A,Groups!BD:BD)=1,"No",
MAX(0.01,MROUND(_xlfn.XLOOKUP(B88,'Base stats'!B:B,'Base stats'!BR:BR)/10000,0.01))
))</f>
        <v>1.3900000000000001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IF(Animals!AI88="No","No",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stats'!AN:AN)*_xlfn.XLOOKUP(_xlfn.XLOOKUP(B88,'Base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stats'!AN:AN)*0.01,2)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IF(Animals!S89="No","No",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IF(Animals!X89="No","No",
IF(_xlfn.XLOOKUP(_xlfn.XLOOKUP(B89,'Base stats'!B:B,'Base stats'!E:E),Groups!A:A,Groups!BD:BD)=1,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IF(Animals!AI89="No","No",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stats'!AN:AN)*_xlfn.XLOOKUP(_xlfn.XLOOKUP(B89,'Base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stats'!AN:AN)*0.01,2)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2.7</v>
      </c>
      <c r="E90" s="11">
        <f>MAX(0.01,MROUND(_xlfn.XLOOKUP(B90,'Base stats'!B:B,'Base stats'!BD:BD) * 0.01 * 2, 0.01))</f>
        <v>2.2800000000000002</v>
      </c>
      <c r="F90" s="7">
        <f>MROUND(_xlfn.XLOOKUP(B90,'Base stats'!B:B,'Base stats'!BA:BA)^0.25 / (_xlfn.XLOOKUP(B90,'Base stats'!B:B,'Base stats'!BH:BH) * 10) * 150 + 0.5 + _xlfn.XLOOKUP(B90,'Base stats'!B:B,'Base stats'!BT:BT), 0.05)</f>
        <v>2.0500000000000003</v>
      </c>
      <c r="G90" s="3" t="str">
        <f>IF(Animals!S90="No","No",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IF(Animals!X90="No","No",
IF(_xlfn.XLOOKUP(_xlfn.XLOOKUP(B90,'Base stats'!B:B,'Base stats'!E:E),Groups!A:A,Groups!BD:BD)=1,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13.100000000000001</v>
      </c>
      <c r="P90" s="11">
        <f>IF(O90="No","No",
MAX(0.01,MROUND(_xlfn.XLOOKUP(B90,'Base stats'!B:B,'Base stats'!BG:BG) * 0.01 * 2, 0.01))
)</f>
        <v>4.2700000000000005</v>
      </c>
      <c r="Q90" s="5">
        <f>IF(O90="No","No",
MAX(0.01,MROUND(_xlfn.XLOOKUP(B90,'Base stats'!B:B,'Base stats'!BS:BS)/10000,0.01))
)</f>
        <v>0.24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IF(Animals!AI90="No","No",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10.4</v>
      </c>
      <c r="T90" s="11">
        <f>IF(S90="No","No",
MAX(0.01,MROUND(_xlfn.XLOOKUP(B90,'Base stats'!B:B,'Base stats'!BE:BE) * 0.01 * 2, 0.01))
)</f>
        <v>2.89</v>
      </c>
      <c r="U90" s="5">
        <f>IF(S90="No","No",IF(_xlfn.XLOOKUP(B90,'Base stats'!B:B,'Base stats'!U:U)="No","No",
MAX(0.01,MROUND(_xlfn.XLOOKUP(B90,'Base stats'!B:B,'Base stats'!BQ:BQ)/10000,0.01))
))</f>
        <v>0.16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stats'!AN:AN)*_xlfn.XLOOKUP(_xlfn.XLOOKUP(B90,'Base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stats'!AN:AN)*0.01,2)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IF(Animals!S91="No","No",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IF(Animals!X91="No","No",
IF(_xlfn.XLOOKUP(_xlfn.XLOOKUP(B91,'Base stats'!B:B,'Base stats'!E:E),Groups!A:A,Groups!BD:BD)=1,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IF(Animals!AI91="No","No",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stats'!AN:AN)*_xlfn.XLOOKUP(_xlfn.XLOOKUP(B91,'Base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stats'!AN:AN)*0.01,2)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IF(Animals!S92="No","No",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IF(Animals!X92="No","No",
IF(_xlfn.XLOOKUP(_xlfn.XLOOKUP(B92,'Base stats'!B:B,'Base stats'!E:E),Groups!A:A,Groups!BD:BD)=1,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IF(Animals!AI92="No","No",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stats'!AN:AN)*_xlfn.XLOOKUP(_xlfn.XLOOKUP(B92,'Base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stats'!AN:AN)*0.01,2)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0.04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IF(Animals!S93="No","No",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IF(Animals!X93="No","No",
IF(_xlfn.XLOOKUP(_xlfn.XLOOKUP(B93,'Base stats'!B:B,'Base stats'!E:E),Groups!A:A,Groups!BD:BD)=1,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1.5</v>
      </c>
      <c r="P93" s="11">
        <f>IF(O93="No","No",
MAX(0.01,MROUND(_xlfn.XLOOKUP(B93,'Base stats'!B:B,'Base stats'!BG:BG) * 0.01 * 2, 0.01))
)</f>
        <v>0.09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</v>
      </c>
      <c r="S93" s="3" t="str">
        <f>IF(Animals!AI93="No","No",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stats'!AN:AN)*_xlfn.XLOOKUP(_xlfn.XLOOKUP(B93,'Base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stats'!AN:AN)*0.01,2)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IF(Animals!S94="No","No",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IF(Animals!X94="No","No",
IF(_xlfn.XLOOKUP(_xlfn.XLOOKUP(B94,'Base stats'!B:B,'Base stats'!E:E),Groups!A:A,Groups!BD:BD)=1,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IF(Animals!AI94="No","No",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stats'!AN:AN)*_xlfn.XLOOKUP(_xlfn.XLOOKUP(B94,'Base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stats'!AN:AN)*0.01,2)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IF(Animals!S95="No","No",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IF(Animals!X95="No","No",
IF(_xlfn.XLOOKUP(_xlfn.XLOOKUP(B95,'Base stats'!B:B,'Base stats'!E:E),Groups!A:A,Groups!BD:BD)=1,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IF(Animals!AI95="No","No",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stats'!AN:AN)*_xlfn.XLOOKUP(_xlfn.XLOOKUP(B95,'Base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stats'!AN:AN)*0.01,2)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9.5</v>
      </c>
      <c r="E96" s="11">
        <f>MAX(0.01,MROUND(_xlfn.XLOOKUP(B96,'Base stats'!B:B,'Base stats'!BD:BD) * 0.01 * 2, 0.01))</f>
        <v>8.82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IF(Animals!S96="No","No",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16</v>
      </c>
      <c r="H96" s="11">
        <f>IF(G96="No","No",
MAX(0.01,MROUND(_xlfn.XLOOKUP(B96,'Base stats'!B:B,'Base stats'!BE:BE) * 0.01 * 2, 0.01))
)</f>
        <v>10.3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2.75</v>
      </c>
      <c r="K96" s="3">
        <f>IF(Animals!X96="No","No",
IF(_xlfn.XLOOKUP(_xlfn.XLOOKUP(B96,'Base stats'!B:B,'Base stats'!E:E),Groups!A:A,Groups!BD:BD)=1,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29</v>
      </c>
      <c r="L96" s="11">
        <f>IF(K96="No","No",
MAX(0.01,MROUND(_xlfn.XLOOKUP(B96,'Base stats'!B:B,'Base stats'!BF:BF) * 0.01 *2, 0.01))
)</f>
        <v>12.36</v>
      </c>
      <c r="M96" s="5">
        <f>IF(K96="No","No",IF(_xlfn.XLOOKUP(_xlfn.XLOOKUP(B96,'Base stats'!B:B,'Base stats'!E:E),Groups!A:A,Groups!BD:BD)=1,"No",
MAX(0.01,MROUND(_xlfn.XLOOKUP(B96,'Base stats'!B:B,'Base stats'!BR:BR)/10000,0.01))
))</f>
        <v>0.67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IF(Animals!AI96="No","No",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stats'!AN:AN)*_xlfn.XLOOKUP(_xlfn.XLOOKUP(B96,'Base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stats'!AN:AN)*0.01,2)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11.3</v>
      </c>
      <c r="E97" s="11">
        <f>MAX(0.01,MROUND(_xlfn.XLOOKUP(B97,'Base stats'!B:B,'Base stats'!BD:BD) * 0.01 * 2, 0.01))</f>
        <v>10.27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IF(Animals!S97="No","No",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13.700000000000001</v>
      </c>
      <c r="H97" s="11">
        <f>IF(G97="No","No",
MAX(0.01,MROUND(_xlfn.XLOOKUP(B97,'Base stats'!B:B,'Base stats'!BE:BE) * 0.01 * 2, 0.01))
)</f>
        <v>8.66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IF(Animals!X97="No","No",
IF(_xlfn.XLOOKUP(_xlfn.XLOOKUP(B97,'Base stats'!B:B,'Base stats'!E:E),Groups!A:A,Groups!BD:BD)=1,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13.5</v>
      </c>
      <c r="L97" s="11">
        <f>IF(K97="No","No",
MAX(0.01,MROUND(_xlfn.XLOOKUP(B97,'Base stats'!B:B,'Base stats'!BF:BF)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IF(Animals!AI97="No","No",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stats'!AN:AN)*_xlfn.XLOOKUP(_xlfn.XLOOKUP(B97,'Base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stats'!AN:AN)*0.01,2)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IF(Animals!S98="No","No",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IF(Animals!X98="No","No",
IF(_xlfn.XLOOKUP(_xlfn.XLOOKUP(B98,'Base stats'!B:B,'Base stats'!E:E),Groups!A:A,Groups!BD:BD)=1,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IF(Animals!AI98="No","No",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stats'!AN:AN)*_xlfn.XLOOKUP(_xlfn.XLOOKUP(B98,'Base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stats'!AN:AN)*0.01,2)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IF(Animals!S99="No","No",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IF(Animals!X99="No","No",
IF(_xlfn.XLOOKUP(_xlfn.XLOOKUP(B99,'Base stats'!B:B,'Base stats'!E:E),Groups!A:A,Groups!BD:BD)=1,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IF(Animals!AI99="No","No",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stats'!AN:AN)*_xlfn.XLOOKUP(_xlfn.XLOOKUP(B99,'Base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stats'!AN:AN)*0.01,2)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IF(Animals!S100="No","No",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IF(Animals!X100="No","No",
IF(_xlfn.XLOOKUP(_xlfn.XLOOKUP(B100,'Base stats'!B:B,'Base stats'!E:E),Groups!A:A,Groups!BD:BD)=1,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IF(Animals!AI100="No","No",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stats'!AN:AN)*_xlfn.XLOOKUP(_xlfn.XLOOKUP(B100,'Base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stats'!AN:AN)*0.01,2)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IF(Animals!S101="No","No",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IF(Animals!X101="No","No",
IF(_xlfn.XLOOKUP(_xlfn.XLOOKUP(B101,'Base stats'!B:B,'Base stats'!E:E),Groups!A:A,Groups!BD:BD)=1,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IF(Animals!AI101="No","No",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stats'!AN:AN)*_xlfn.XLOOKUP(_xlfn.XLOOKUP(B101,'Base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stats'!AN:AN)*0.01,2)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IF(Animals!S102="No","No",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IF(Animals!X102="No","No",
IF(_xlfn.XLOOKUP(_xlfn.XLOOKUP(B102,'Base stats'!B:B,'Base stats'!E:E),Groups!A:A,Groups!BD:BD)=1,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IF(Animals!AI102="No","No",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stats'!AN:AN)*_xlfn.XLOOKUP(_xlfn.XLOOKUP(B102,'Base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stats'!AN:AN)*0.01,2)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IF(Animals!S103="No","No",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IF(Animals!X103="No","No",
IF(_xlfn.XLOOKUP(_xlfn.XLOOKUP(B103,'Base stats'!B:B,'Base stats'!E:E),Groups!A:A,Groups!BD:BD)=1,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IF(Animals!AI103="No","No",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stats'!AN:AN)*_xlfn.XLOOKUP(_xlfn.XLOOKUP(B103,'Base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stats'!AN:AN)*0.01,2)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IF(Animals!S104="No","No",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IF(Animals!X104="No","No",
IF(_xlfn.XLOOKUP(_xlfn.XLOOKUP(B104,'Base stats'!B:B,'Base stats'!E:E),Groups!A:A,Groups!BD:BD)=1,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IF(Animals!AI104="No","No",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stats'!AN:AN)*_xlfn.XLOOKUP(_xlfn.XLOOKUP(B104,'Base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stats'!AN:AN)*0.01,2)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IF(Animals!S105="No","No",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IF(Animals!X105="No","No",
IF(_xlfn.XLOOKUP(_xlfn.XLOOKUP(B105,'Base stats'!B:B,'Base stats'!E:E),Groups!A:A,Groups!BD:BD)=1,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IF(Animals!AI105="No","No",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stats'!AN:AN)*_xlfn.XLOOKUP(_xlfn.XLOOKUP(B105,'Base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stats'!AN:AN)*0.01,2)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IF(Animals!S106="No","No",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IF(Animals!X106="No","No",
IF(_xlfn.XLOOKUP(_xlfn.XLOOKUP(B106,'Base stats'!B:B,'Base stats'!E:E),Groups!A:A,Groups!BD:BD)=1,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IF(Animals!AI106="No","No",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stats'!AN:AN)*_xlfn.XLOOKUP(_xlfn.XLOOKUP(B106,'Base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stats'!AN:AN)*0.01,2)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IF(Animals!S107="No","No",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IF(Animals!X107="No","No",
IF(_xlfn.XLOOKUP(_xlfn.XLOOKUP(B107,'Base stats'!B:B,'Base stats'!E:E),Groups!A:A,Groups!BD:BD)=1,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IF(Animals!AI107="No","No",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stats'!AN:AN)*_xlfn.XLOOKUP(_xlfn.XLOOKUP(B107,'Base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stats'!AN:AN)*0.01,2)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IF(Animals!S108="No","No",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IF(Animals!X108="No","No",
IF(_xlfn.XLOOKUP(_xlfn.XLOOKUP(B108,'Base stats'!B:B,'Base stats'!E:E),Groups!A:A,Groups!BD:BD)=1,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IF(Animals!AI108="No","No",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stats'!AN:AN)*_xlfn.XLOOKUP(_xlfn.XLOOKUP(B108,'Base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stats'!AN:AN)*0.01,2)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IF(Animals!S109="No","No",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IF(Animals!X109="No","No",
IF(_xlfn.XLOOKUP(_xlfn.XLOOKUP(B109,'Base stats'!B:B,'Base stats'!E:E),Groups!A:A,Groups!BD:BD)=1,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IF(Animals!AI109="No","No",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stats'!AN:AN)*_xlfn.XLOOKUP(_xlfn.XLOOKUP(B109,'Base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stats'!AN:AN)*0.01,2)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IF(Animals!S110="No","No",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IF(Animals!X110="No","No",
IF(_xlfn.XLOOKUP(_xlfn.XLOOKUP(B110,'Base stats'!B:B,'Base stats'!E:E),Groups!A:A,Groups!BD:BD)=1,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IF(Animals!AI110="No","No",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stats'!AN:AN)*_xlfn.XLOOKUP(_xlfn.XLOOKUP(B110,'Base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stats'!AN:AN)*0.01,2)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IF(Animals!S111="No","No",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IF(Animals!X111="No","No",
IF(_xlfn.XLOOKUP(_xlfn.XLOOKUP(B111,'Base stats'!B:B,'Base stats'!E:E),Groups!A:A,Groups!BD:BD)=1,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IF(Animals!AI111="No","No",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stats'!AN:AN)*_xlfn.XLOOKUP(_xlfn.XLOOKUP(B111,'Base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stats'!AN:AN)*0.01,2)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IF(Animals!S112="No","No",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IF(Animals!X112="No","No",
IF(_xlfn.XLOOKUP(_xlfn.XLOOKUP(B112,'Base stats'!B:B,'Base stats'!E:E),Groups!A:A,Groups!BD:BD)=1,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IF(Animals!AI112="No","No",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stats'!AN:AN)*_xlfn.XLOOKUP(_xlfn.XLOOKUP(B112,'Base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stats'!AN:AN)*0.01,2)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IF(Animals!S113="No","No",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IF(Animals!X113="No","No",
IF(_xlfn.XLOOKUP(_xlfn.XLOOKUP(B113,'Base stats'!B:B,'Base stats'!E:E),Groups!A:A,Groups!BD:BD)=1,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IF(Animals!AI113="No","No",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stats'!AN:AN)*_xlfn.XLOOKUP(_xlfn.XLOOKUP(B113,'Base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stats'!AN:AN)*0.01,2)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1.8</v>
      </c>
      <c r="E114" s="11">
        <f>MAX(0.01,MROUND(_xlfn.XLOOKUP(B114,'Base stats'!B:B,'Base stats'!BD:BD) * 0.01 * 2, 0.01))</f>
        <v>1.46</v>
      </c>
      <c r="F114" s="7">
        <f>MROUND(_xlfn.XLOOKUP(B114,'Base stats'!B:B,'Base stats'!BA:BA)^0.25 / (_xlfn.XLOOKUP(B114,'Base stats'!B:B,'Base stats'!BH:BH) * 10) * 150 + 0.5 + _xlfn.XLOOKUP(B114,'Base stats'!B:B,'Base stats'!BT:BT), 0.05)</f>
        <v>1.9000000000000001</v>
      </c>
      <c r="G114" s="3" t="str">
        <f>IF(Animals!S114="No","No",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IF(Animals!X114="No","No",
IF(_xlfn.XLOOKUP(_xlfn.XLOOKUP(B114,'Base stats'!B:B,'Base stats'!E:E),Groups!A:A,Groups!BD:BD)=1,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11.5</v>
      </c>
      <c r="P114" s="11">
        <f>IF(O114="No","No",
MAX(0.01,MROUND(_xlfn.XLOOKUP(B114,'Base stats'!B:B,'Base stats'!BG:BG) * 0.01 * 2, 0.01))
)</f>
        <v>2.4700000000000002</v>
      </c>
      <c r="Q114" s="5">
        <f>IF(O114="No","No",
MAX(0.01,MROUND(_xlfn.XLOOKUP(B114,'Base stats'!B:B,'Base stats'!BS:BS)/10000,0.01))
)</f>
        <v>0.17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1.8</v>
      </c>
      <c r="S114" s="3">
        <f>IF(Animals!AI114="No","No",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9.2000000000000011</v>
      </c>
      <c r="T114" s="11">
        <f>IF(S114="No","No",
MAX(0.01,MROUND(_xlfn.XLOOKUP(B114,'Base stats'!B:B,'Base stats'!BE:BE) * 0.01 * 2, 0.01))
)</f>
        <v>1.9100000000000001</v>
      </c>
      <c r="U114" s="5">
        <f>IF(S114="No","No",IF(_xlfn.XLOOKUP(B114,'Base stats'!B:B,'Base stats'!U:U)="No","No",
MAX(0.01,MROUND(_xlfn.XLOOKUP(B114,'Base stats'!B:B,'Base stats'!BQ:BQ)/10000,0.01))
))</f>
        <v>0.13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stats'!AN:AN)*_xlfn.XLOOKUP(_xlfn.XLOOKUP(B114,'Base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stats'!AN:AN)*0.01,2)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IF(Animals!S115="No","No",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IF(Animals!X115="No","No",
IF(_xlfn.XLOOKUP(_xlfn.XLOOKUP(B115,'Base stats'!B:B,'Base stats'!E:E),Groups!A:A,Groups!BD:BD)=1,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IF(Animals!AI115="No","No",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stats'!AN:AN)*_xlfn.XLOOKUP(_xlfn.XLOOKUP(B115,'Base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stats'!AN:AN)*0.01,2)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IF(Animals!S116="No","No",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IF(Animals!AI116="No","No",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stats'!AN:AN)*_xlfn.XLOOKUP(_xlfn.XLOOKUP(B116,'Base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stats'!AN:AN)*0.01,2)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IF(Animals!S117="No","No",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IF(Animals!X117="No","No",
IF(_xlfn.XLOOKUP(_xlfn.XLOOKUP(B117,'Base stats'!B:B,'Base stats'!E:E),Groups!A:A,Groups!BD:BD)=1,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IF(Animals!AI117="No","No",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stats'!AN:AN)*_xlfn.XLOOKUP(_xlfn.XLOOKUP(B117,'Base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stats'!AN:AN)*0.01,2)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IF(Animals!S118="No","No",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IF(Animals!X118="No","No",
IF(_xlfn.XLOOKUP(_xlfn.XLOOKUP(B118,'Base stats'!B:B,'Base stats'!E:E),Groups!A:A,Groups!BD:BD)=1,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IF(Animals!AI118="No","No",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stats'!AN:AN)*_xlfn.XLOOKUP(_xlfn.XLOOKUP(B118,'Base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stats'!AN:AN)*0.01,2)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IF(Animals!S119="No","No",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IF(Animals!X119="No","No",
IF(_xlfn.XLOOKUP(_xlfn.XLOOKUP(B119,'Base stats'!B:B,'Base stats'!E:E),Groups!A:A,Groups!BD:BD)=1,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IF(Animals!AI119="No","No",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stats'!AN:AN)*_xlfn.XLOOKUP(_xlfn.XLOOKUP(B119,'Base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stats'!AN:AN)*0.01,2)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IF(Animals!S120="No","No",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IF(Animals!X120="No","No",
IF(_xlfn.XLOOKUP(_xlfn.XLOOKUP(B120,'Base stats'!B:B,'Base stats'!E:E),Groups!A:A,Groups!BD:BD)=1,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IF(Animals!AI120="No","No",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stats'!AN:AN)*_xlfn.XLOOKUP(_xlfn.XLOOKUP(B120,'Base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stats'!AN:AN)*0.01,2)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IF(Animals!S121="No","No",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IF(Animals!X121="No","No",
IF(_xlfn.XLOOKUP(_xlfn.XLOOKUP(B121,'Base stats'!B:B,'Base stats'!E:E),Groups!A:A,Groups!BD:BD)=1,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IF(Animals!AI121="No","No",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stats'!AN:AN)*_xlfn.XLOOKUP(_xlfn.XLOOKUP(B121,'Base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stats'!AN:AN)*0.01,2)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IF(Animals!S122="No","No",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IF(Animals!X122="No","No",
IF(_xlfn.XLOOKUP(_xlfn.XLOOKUP(B122,'Base stats'!B:B,'Base stats'!E:E),Groups!A:A,Groups!BD:BD)=1,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IF(Animals!AI122="No","No",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stats'!AN:AN)*_xlfn.XLOOKUP(_xlfn.XLOOKUP(B122,'Base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stats'!AN:AN)*0.01,2)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IF(Animals!S123="No","No",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IF(Animals!X123="No","No",
IF(_xlfn.XLOOKUP(_xlfn.XLOOKUP(B123,'Base stats'!B:B,'Base stats'!E:E),Groups!A:A,Groups!BD:BD)=1,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IF(Animals!AI123="No","No",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stats'!AN:AN)*_xlfn.XLOOKUP(_xlfn.XLOOKUP(B123,'Base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stats'!AN:AN)*0.01,2)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IF(Animals!S124="No","No",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IF(Animals!X124="No","No",
IF(_xlfn.XLOOKUP(_xlfn.XLOOKUP(B124,'Base stats'!B:B,'Base stats'!E:E),Groups!A:A,Groups!BD:BD)=1,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IF(Animals!AI124="No","No",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stats'!AN:AN)*_xlfn.XLOOKUP(_xlfn.XLOOKUP(B124,'Base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stats'!AN:AN)*0.01,2)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IF(Animals!S125="No","No",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IF(Animals!X125="No","No",
IF(_xlfn.XLOOKUP(_xlfn.XLOOKUP(B125,'Base stats'!B:B,'Base stats'!E:E),Groups!A:A,Groups!BD:BD)=1,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IF(Animals!AI125="No","No",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stats'!AN:AN)*_xlfn.XLOOKUP(_xlfn.XLOOKUP(B125,'Base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stats'!AN:AN)*0.01,2)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IF(Animals!S126="No","No",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IF(Animals!X126="No","No",
IF(_xlfn.XLOOKUP(_xlfn.XLOOKUP(B126,'Base stats'!B:B,'Base stats'!E:E),Groups!A:A,Groups!BD:BD)=1,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IF(Animals!AI126="No","No",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stats'!AN:AN)*_xlfn.XLOOKUP(_xlfn.XLOOKUP(B126,'Base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stats'!AN:AN)*0.01,2)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IF(Animals!S127="No","No",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IF(Animals!X127="No","No",
IF(_xlfn.XLOOKUP(_xlfn.XLOOKUP(B127,'Base stats'!B:B,'Base stats'!E:E),Groups!A:A,Groups!BD:BD)=1,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stats'!E:E),Groups!A:A,Groups!BD:BD)=1,"No",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IF(Animals!AI127="No","No",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stats'!E:E),Groups!A:A,Groups!BG:BG)*_xlfn.XLOOKUP(B127,'Base stats'!B:B,'Base stats'!C:C)^-0.165,0.01)</f>
        <v>0.09</v>
      </c>
      <c r="X127" s="1">
        <f>MROUND(_xlfn.XLOOKUP(_xlfn.XLOOKUP(B127,'Base stats'!B:B,'Base stats'!E:E),Groups!A:A,Groups!BH:BH)*_xlfn.XLOOKUP(B127,'Base stats'!B:B,'Base stats'!C:C)^0.165,0.01)</f>
        <v>0.27</v>
      </c>
      <c r="Y127" s="8">
        <f>MROUND(_xlfn.XLOOKUP(_xlfn.XLOOKUP(B127,'Base stats'!B:B,'Base stats'!E:E),Groups!A:A,Groups!BI:BI)*_xlfn.XLOOKUP(B127,'Base stats'!B:B,'Base stats'!C:C)^0.165,0.01)</f>
        <v>7.0000000000000007E-2</v>
      </c>
      <c r="Z127" s="18">
        <f>ROUND(_xlfn.XLOOKUP(B127,'Base stats'!B:B,'Base stats'!AN:AN)*_xlfn.XLOOKUP(_xlfn.XLOOKUP(B127,'Base stats'!B:B,'Base stats'!E:E),Groups!A:A,Groups!H:H)/1000,2)</f>
        <v>1.86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stats'!AN:AN)*0.01,2)</f>
        <v>0.13</v>
      </c>
      <c r="AB127" s="18">
        <f>250*(Animals!AO127+Animals!AP127)</f>
        <v>1375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IF(Animals!S128="No","No",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IF(Animals!X128="No","No",
IF(_xlfn.XLOOKUP(_xlfn.XLOOKUP(B128,'Base stats'!B:B,'Base stats'!E:E),Groups!A:A,Groups!BD:BD)=1,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IF(Animals!AI128="No","No",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stats'!AN:AN)*_xlfn.XLOOKUP(_xlfn.XLOOKUP(B128,'Base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stats'!AN:AN)*0.01,2)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IF(Animals!S129="No","No",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IF(Animals!X129="No","No",
IF(_xlfn.XLOOKUP(_xlfn.XLOOKUP(B129,'Base stats'!B:B,'Base stats'!E:E),Groups!A:A,Groups!BD:BD)=1,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IF(Animals!AI129="No","No",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stats'!AN:AN)*_xlfn.XLOOKUP(_xlfn.XLOOKUP(B129,'Base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stats'!AN:AN)*0.01,2)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IF(Animals!S130="No","No",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IF(Animals!X130="No","No",
IF(_xlfn.XLOOKUP(_xlfn.XLOOKUP(B130,'Base stats'!B:B,'Base stats'!E:E),Groups!A:A,Groups!BD:BD)=1,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IF(Animals!AI130="No","No",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stats'!AN:AN)*_xlfn.XLOOKUP(_xlfn.XLOOKUP(B130,'Base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stats'!AN:AN)*0.01,2)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IF(Animals!S131="No","No",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IF(Animals!X131="No","No",
IF(_xlfn.XLOOKUP(_xlfn.XLOOKUP(B131,'Base stats'!B:B,'Base stats'!E:E),Groups!A:A,Groups!BD:BD)=1,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IF(Animals!AI131="No","No",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stats'!AN:AN)*_xlfn.XLOOKUP(_xlfn.XLOOKUP(B131,'Base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stats'!AN:AN)*0.01,2)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IF(Animals!S132="No","No",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IF(Animals!X132="No","No",
IF(_xlfn.XLOOKUP(_xlfn.XLOOKUP(B132,'Base stats'!B:B,'Base stats'!E:E),Groups!A:A,Groups!BD:BD)=1,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IF(Animals!AI132="No","No",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stats'!AN:AN)*_xlfn.XLOOKUP(_xlfn.XLOOKUP(B132,'Base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stats'!AN:AN)*0.01,2)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IF(Animals!S133="No","No",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IF(Animals!X133="No","No",
IF(_xlfn.XLOOKUP(_xlfn.XLOOKUP(B133,'Base stats'!B:B,'Base stats'!E:E),Groups!A:A,Groups!BD:BD)=1,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IF(Animals!AI133="No","No",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stats'!AN:AN)*_xlfn.XLOOKUP(_xlfn.XLOOKUP(B133,'Base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stats'!AN:AN)*0.01,2)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IF(Animals!S134="No","No",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IF(Animals!X134="No","No",
IF(_xlfn.XLOOKUP(_xlfn.XLOOKUP(B134,'Base stats'!B:B,'Base stats'!E:E),Groups!A:A,Groups!BD:BD)=1,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IF(Animals!AI134="No","No",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stats'!AN:AN)*_xlfn.XLOOKUP(_xlfn.XLOOKUP(B134,'Base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stats'!AN:AN)*0.01,2)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IF(Animals!S135="No","No",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IF(Animals!AI135="No","No",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stats'!AN:AN)*_xlfn.XLOOKUP(_xlfn.XLOOKUP(B135,'Base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stats'!AN:AN)*0.01,2)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IF(Animals!S136="No","No",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IF(Animals!X136="No","No",
IF(_xlfn.XLOOKUP(_xlfn.XLOOKUP(B136,'Base stats'!B:B,'Base stats'!E:E),Groups!A:A,Groups!BD:BD)=1,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IF(Animals!AI136="No","No",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stats'!AN:AN)*_xlfn.XLOOKUP(_xlfn.XLOOKUP(B136,'Base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stats'!AN:AN)*0.01,2)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IF(Animals!S137="No","No",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IF(Animals!X137="No","No",
IF(_xlfn.XLOOKUP(_xlfn.XLOOKUP(B137,'Base stats'!B:B,'Base stats'!E:E),Groups!A:A,Groups!BD:BD)=1,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IF(Animals!AI137="No","No",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stats'!AN:AN)*_xlfn.XLOOKUP(_xlfn.XLOOKUP(B137,'Base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stats'!AN:AN)*0.01,2)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IF(Animals!S138="No","No",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IF(Animals!X138="No","No",
IF(_xlfn.XLOOKUP(_xlfn.XLOOKUP(B138,'Base stats'!B:B,'Base stats'!E:E),Groups!A:A,Groups!BD:BD)=1,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IF(Animals!AI138="No","No",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stats'!AN:AN)*_xlfn.XLOOKUP(_xlfn.XLOOKUP(B138,'Base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stats'!AN:AN)*0.01,2)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IF(Animals!S139="No","No",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IF(Animals!X139="No","No",
IF(_xlfn.XLOOKUP(_xlfn.XLOOKUP(B139,'Base stats'!B:B,'Base stats'!E:E),Groups!A:A,Groups!BD:BD)=1,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IF(Animals!AI139="No","No",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stats'!AN:AN)*_xlfn.XLOOKUP(_xlfn.XLOOKUP(B139,'Base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stats'!AN:AN)*0.01,2)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IF(Animals!S140="No","No",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IF(Animals!X140="No","No",
IF(_xlfn.XLOOKUP(_xlfn.XLOOKUP(B140,'Base stats'!B:B,'Base stats'!E:E),Groups!A:A,Groups!BD:BD)=1,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IF(Animals!AI140="No","No",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stats'!AN:AN)*_xlfn.XLOOKUP(_xlfn.XLOOKUP(B140,'Base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stats'!AN:AN)*0.01,2)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IF(Animals!S141="No","No",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IF(Animals!X141="No","No",
IF(_xlfn.XLOOKUP(_xlfn.XLOOKUP(B141,'Base stats'!B:B,'Base stats'!E:E),Groups!A:A,Groups!BD:BD)=1,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IF(Animals!AI141="No","No",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stats'!AN:AN)*_xlfn.XLOOKUP(_xlfn.XLOOKUP(B141,'Base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stats'!AN:AN)*0.01,2)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IF(Animals!S142="No","No",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IF(Animals!X142="No","No",
IF(_xlfn.XLOOKUP(_xlfn.XLOOKUP(B142,'Base stats'!B:B,'Base stats'!E:E),Groups!A:A,Groups!BD:BD)=1,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IF(Animals!AI142="No","No",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stats'!AN:AN)*_xlfn.XLOOKUP(_xlfn.XLOOKUP(B142,'Base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stats'!AN:AN)*0.01,2)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IF(Animals!S143="No","No",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IF(Animals!X143="No","No",
IF(_xlfn.XLOOKUP(_xlfn.XLOOKUP(B143,'Base stats'!B:B,'Base stats'!E:E),Groups!A:A,Groups!BD:BD)=1,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IF(Animals!AI143="No","No",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stats'!AN:AN)*_xlfn.XLOOKUP(_xlfn.XLOOKUP(B143,'Base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stats'!AN:AN)*0.01,2)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IF(Animals!S144="No","No",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IF(Animals!X144="No","No",
IF(_xlfn.XLOOKUP(_xlfn.XLOOKUP(B144,'Base stats'!B:B,'Base stats'!E:E),Groups!A:A,Groups!BD:BD)=1,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IF(Animals!AI144="No","No",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stats'!AN:AN)*_xlfn.XLOOKUP(_xlfn.XLOOKUP(B144,'Base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stats'!AN:AN)*0.01,2)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IF(Animals!S145="No","No",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IF(Animals!X145="No","No",
IF(_xlfn.XLOOKUP(_xlfn.XLOOKUP(B145,'Base stats'!B:B,'Base stats'!E:E),Groups!A:A,Groups!BD:BD)=1,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IF(Animals!AI145="No","No",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stats'!AN:AN)*_xlfn.XLOOKUP(_xlfn.XLOOKUP(B145,'Base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stats'!AN:AN)*0.01,2)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IF(Animals!S146="No","No",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IF(Animals!X146="No","No",
IF(_xlfn.XLOOKUP(_xlfn.XLOOKUP(B146,'Base stats'!B:B,'Base stats'!E:E),Groups!A:A,Groups!BD:BD)=1,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IF(Animals!AI146="No","No",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stats'!AN:AN)*_xlfn.XLOOKUP(_xlfn.XLOOKUP(B146,'Base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stats'!AN:AN)*0.01,2)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IF(Animals!S147="No","No",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IF(Animals!X147="No","No",
IF(_xlfn.XLOOKUP(_xlfn.XLOOKUP(B147,'Base stats'!B:B,'Base stats'!E:E),Groups!A:A,Groups!BD:BD)=1,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IF(Animals!AI147="No","No",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stats'!AN:AN)*_xlfn.XLOOKUP(_xlfn.XLOOKUP(B147,'Base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stats'!AN:AN)*0.01,2)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IF(Animals!S148="No","No",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IF(Animals!X148="No","No",
IF(_xlfn.XLOOKUP(_xlfn.XLOOKUP(B148,'Base stats'!B:B,'Base stats'!E:E),Groups!A:A,Groups!BD:BD)=1,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IF(Animals!AI148="No","No",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stats'!AN:AN)*_xlfn.XLOOKUP(_xlfn.XLOOKUP(B148,'Base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stats'!AN:AN)*0.01,2)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IF(Animals!S149="No","No",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IF(Animals!X149="No","No",
IF(_xlfn.XLOOKUP(_xlfn.XLOOKUP(B149,'Base stats'!B:B,'Base stats'!E:E),Groups!A:A,Groups!BD:BD)=1,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IF(Animals!AI149="No","No",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stats'!AN:AN)*_xlfn.XLOOKUP(_xlfn.XLOOKUP(B149,'Base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stats'!AN:AN)*0.01,2)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IF(Animals!S150="No","No",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IF(Animals!X150="No","No",
IF(_xlfn.XLOOKUP(_xlfn.XLOOKUP(B150,'Base stats'!B:B,'Base stats'!E:E),Groups!A:A,Groups!BD:BD)=1,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IF(Animals!AI150="No","No",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stats'!AN:AN)*_xlfn.XLOOKUP(_xlfn.XLOOKUP(B150,'Base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stats'!AN:AN)*0.01,2)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IF(Animals!S151="No","No",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IF(Animals!X151="No","No",
IF(_xlfn.XLOOKUP(_xlfn.XLOOKUP(B151,'Base stats'!B:B,'Base stats'!E:E),Groups!A:A,Groups!BD:BD)=1,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IF(Animals!AI151="No","No",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stats'!AN:AN)*_xlfn.XLOOKUP(_xlfn.XLOOKUP(B151,'Base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stats'!AN:AN)*0.01,2)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IF(Animals!S152="No","No",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IF(Animals!X152="No","No",
IF(_xlfn.XLOOKUP(_xlfn.XLOOKUP(B152,'Base stats'!B:B,'Base stats'!E:E),Groups!A:A,Groups!BD:BD)=1,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IF(Animals!AI152="No","No",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stats'!AN:AN)*_xlfn.XLOOKUP(_xlfn.XLOOKUP(B152,'Base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stats'!AN:AN)*0.01,2)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IF(Animals!S153="No","No",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IF(Animals!X153="No","No",
IF(_xlfn.XLOOKUP(_xlfn.XLOOKUP(B153,'Base stats'!B:B,'Base stats'!E:E),Groups!A:A,Groups!BD:BD)=1,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IF(Animals!AI153="No","No",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stats'!AN:AN)*_xlfn.XLOOKUP(_xlfn.XLOOKUP(B153,'Base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stats'!AN:AN)*0.01,2)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IF(Animals!S154="No","No",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IF(Animals!X154="No","No",
IF(_xlfn.XLOOKUP(_xlfn.XLOOKUP(B154,'Base stats'!B:B,'Base stats'!E:E),Groups!A:A,Groups!BD:BD)=1,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IF(Animals!AI154="No","No",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stats'!AN:AN)*_xlfn.XLOOKUP(_xlfn.XLOOKUP(B154,'Base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stats'!AN:AN)*0.01,2)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IF(Animals!S155="No","No",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IF(Animals!X155="No","No",
IF(_xlfn.XLOOKUP(_xlfn.XLOOKUP(B155,'Base stats'!B:B,'Base stats'!E:E),Groups!A:A,Groups!BD:BD)=1,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IF(Animals!AI155="No","No",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stats'!AN:AN)*_xlfn.XLOOKUP(_xlfn.XLOOKUP(B155,'Base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stats'!AN:AN)*0.01,2)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IF(Animals!S156="No","No",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IF(Animals!X156="No","No",
IF(_xlfn.XLOOKUP(_xlfn.XLOOKUP(B156,'Base stats'!B:B,'Base stats'!E:E),Groups!A:A,Groups!BD:BD)=1,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IF(Animals!AI156="No","No",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stats'!AN:AN)*_xlfn.XLOOKUP(_xlfn.XLOOKUP(B156,'Base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stats'!AN:AN)*0.01,2)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IF(Animals!S157="No","No",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IF(Animals!X157="No","No",
IF(_xlfn.XLOOKUP(_xlfn.XLOOKUP(B157,'Base stats'!B:B,'Base stats'!E:E),Groups!A:A,Groups!BD:BD)=1,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IF(Animals!AI157="No","No",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stats'!AN:AN)*_xlfn.XLOOKUP(_xlfn.XLOOKUP(B157,'Base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stats'!AN:AN)*0.01,2)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IF(Animals!S158="No","No",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IF(Animals!X158="No","No",
IF(_xlfn.XLOOKUP(_xlfn.XLOOKUP(B158,'Base stats'!B:B,'Base stats'!E:E),Groups!A:A,Groups!BD:BD)=1,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IF(Animals!AI158="No","No",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stats'!AN:AN)*_xlfn.XLOOKUP(_xlfn.XLOOKUP(B158,'Base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stats'!AN:AN)*0.01,2)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IF(Animals!S159="No","No",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IF(Animals!X159="No","No",
IF(_xlfn.XLOOKUP(_xlfn.XLOOKUP(B159,'Base stats'!B:B,'Base stats'!E:E),Groups!A:A,Groups!BD:BD)=1,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IF(Animals!AI159="No","No",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stats'!AN:AN)*_xlfn.XLOOKUP(_xlfn.XLOOKUP(B159,'Base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stats'!AN:AN)*0.01,2)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IF(Animals!S160="No","No",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IF(Animals!X160="No","No",
IF(_xlfn.XLOOKUP(_xlfn.XLOOKUP(B160,'Base stats'!B:B,'Base stats'!E:E),Groups!A:A,Groups!BD:BD)=1,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IF(Animals!AI160="No","No",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stats'!AN:AN)*_xlfn.XLOOKUP(_xlfn.XLOOKUP(B160,'Base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stats'!AN:AN)*0.01,2)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IF(Animals!S161="No","No",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IF(Animals!X161="No","No",
IF(_xlfn.XLOOKUP(_xlfn.XLOOKUP(B161,'Base stats'!B:B,'Base stats'!E:E),Groups!A:A,Groups!BD:BD)=1,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IF(Animals!AI161="No","No",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stats'!AN:AN)*_xlfn.XLOOKUP(_xlfn.XLOOKUP(B161,'Base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stats'!AN:AN)*0.01,2)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stats'!BP:BP) * (_xlfn.XLOOKUP(B162,'Base stats'!B:B,'Base stats'!AL:AL)*5%)^0.9 / 21,0.1),0.05)</f>
        <v>0.1</v>
      </c>
      <c r="E162" s="11">
        <f>MAX(0.01,MROUND(_xlfn.XLOOKUP(B162,'Base stats'!B:B,'Base stats'!BD:BD) * 0.01 * 2, 0.01))</f>
        <v>0.04</v>
      </c>
      <c r="F162" s="7">
        <f>MROUND(_xlfn.XLOOKUP(B162,'Base stats'!B:B,'Base stats'!BA:BA)^0.25 / (_xlfn.XLOOKUP(B162,'Base stats'!B:B,'Base stats'!BH:BH) * 10) * 150 + 0.5 + _xlfn.XLOOKUP(B162,'Base stats'!B:B,'Base stats'!BT:BT), 0.05)</f>
        <v>1.2000000000000002</v>
      </c>
      <c r="G162" s="3">
        <f>IF(Animals!S162="No","No",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MAX(MROUND(((MIN(10,_xlfn.XLOOKUP(B162,'Base stats'!B:B,'Base stats'!U:U)))^0.4*_xlfn.XLOOKUP(B162,'Base stats'!B:B,'Base stats'!BE:BE)^0.73)^0.6 * _xlfn.XLOOKUP(B162,'Base stats'!B:B,'Base stats'!BU:BU),0.1),0.05)
))</f>
        <v>1.6</v>
      </c>
      <c r="H162" s="11">
        <f>IF(G162="No","No",
MAX(0.01,MROUND(_xlfn.XLOOKUP(B162,'Base stats'!B:B,'Base stats'!BE:BE) * 0.01 * 2, 0.01))
)</f>
        <v>7.0000000000000007E-2</v>
      </c>
      <c r="I162" s="11">
        <f>IF(G162="No","No",IF(_xlfn.XLOOKUP(B162,'Base stats'!B:B,'Base stats'!U:U)="No","No",
MAX(0.01,MROUND(_xlfn.XLOOKUP(B162,'Base stats'!B:B,'Base stats'!BQ:BQ)/10000,0.01))
))</f>
        <v>0.02</v>
      </c>
      <c r="J162" s="4">
        <f>IF(G162="No","No",
MROUND(_xlfn.XLOOKUP(B162,'Base stats'!B:B,'Base stats'!BB:BB)^0.25
/((_xlfn.XLOOKUP(B162,'Base stats'!B:B,'Base stats'!BI:BI))*10)*_xlfn.XLOOKUP(_xlfn.XLOOKUP(B162,'Base stats'!B:B,'Base stats'!E:E),Groups!A:A,Groups!Q:Q)*150 + 0.5 + _xlfn.XLOOKUP(B162,'Base stats'!B:B,'Base stats'!BT:BT),
0.05))</f>
        <v>1.8</v>
      </c>
      <c r="K162" s="3" t="str">
        <f>IF(Animals!X162="No","No",
IF(_xlfn.XLOOKUP(_xlfn.XLOOKUP(B162,'Base stats'!B:B,'Base stats'!E:E),Groups!A:A,Groups!BD:BD)=1,
MAX(MROUND(_xlfn.XLOOKUP(B162,'Base stats'!B:B,'Base stats'!BR:BR) * _xlfn.XLOOKUP(B162,'Base stats'!B:B,'Base stats'!BN:BN)^0.9 / 21 *_xlfn.XLOOKUP(B162,'Base stats'!B:B,'Base stats'!BU:BU),0.1),0.05),
MAX(MROUND(((MIN(10,_xlfn.XLOOKUP(B162,'Base stats'!B:B,'Base stats'!W:W)))^0.4*_xlfn.XLOOKUP(B162,'Base stats'!B:B,'Base stats'!BF:BF)^0.73)^0.6 *_xlfn.XLOOKUP(B162,'Base stats'!B:B,'Base stats'!BU:BU),0.1),0.05)
))</f>
        <v>No</v>
      </c>
      <c r="L162" s="11" t="str">
        <f>IF(K162="No","No",
MAX(0.01,MROUND(_xlfn.XLOOKUP(B162,'Base stats'!B:B,'Base stats'!BF:BF)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stats'!BR:BR)/10000,0.01))
))</f>
        <v>No</v>
      </c>
      <c r="N162" s="4" t="str">
        <f>IF(K162="No","No",
MROUND(
  _xlfn.XLOOKUP(B162,'Base stats'!B:B,'Base stats'!AZ:AZ)^0.25
  / (_xlfn.XLOOKUP(B162,'Base stats'!B:B,'Base stats'!BJ:BJ)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stats'!BT:BT),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stats'!BG:BG)^0.73)^0.6 *_xlfn.XLOOKUP(B162,'Base stats'!B:B,'Base stats'!BU:BU),0.1),0.05)
)</f>
        <v>0.70000000000000007</v>
      </c>
      <c r="P162" s="11">
        <f>IF(O162="No","No",
MAX(0.01,MROUND(_xlfn.XLOOKUP(B162,'Base stats'!B:B,'Base stats'!BG:BG) * 0.01 * 2, 0.01))
)</f>
        <v>0.01</v>
      </c>
      <c r="Q162" s="5">
        <f>IF(O162="No","No",
MAX(0.01,MROUND(_xlfn.XLOOKUP(B162,'Base stats'!B:B,'Base stats'!BS:BS)/10000,0.01))
)</f>
        <v>0.01</v>
      </c>
      <c r="R162" s="4">
        <f>IF(O162="No","No",
MROUND(_xlfn.XLOOKUP(B162,'Base stats'!B:B,'Base stats'!AY:AY)^0.25
/((_xlfn.XLOOKUP(B162,'Base stats'!B:B,'Base stats'!BK:BK))*10)*_xlfn.XLOOKUP(_xlfn.XLOOKUP(B162,'Base stats'!B:B,'Base stats'!E:E),Groups!A:A,Groups!Z:Z)*150 + 0.5 + _xlfn.XLOOKUP(B162,'Base stats'!B:B,'Base stats'!BT:BT),
0.05))</f>
        <v>1.9000000000000001</v>
      </c>
      <c r="S162" s="3" t="str">
        <f>IF(Animals!AI162="No","No",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MAX(MROUND(((MIN(12,_xlfn.XLOOKUP(B162,'Base stats'!B:B,'Base stats'!U:U)))^0.4*_xlfn.XLOOKUP(B162,'Base stats'!B:B,'Base stats'!BE:BE)^0.73)^0.6 * _xlfn.XLOOKUP(B162,'Base stats'!B:B,'Base stats'!BU:BU),0.1),0.05)
))</f>
        <v>No</v>
      </c>
      <c r="T162" s="11" t="str">
        <f>IF(S162="No","No",
MAX(0.01,MROUND(_xlfn.XLOOKUP(B162,'Base stats'!B:B,'Base stats'!BE:BE) * 0.01 * 2, 0.01))
)</f>
        <v>No</v>
      </c>
      <c r="U162" s="5" t="str">
        <f>IF(S162="No","No",IF(_xlfn.XLOOKUP(B162,'Base stats'!B:B,'Base stats'!U:U)="No","No",
MAX(0.01,MROUND(_xlfn.XLOOKUP(B162,'Base stats'!B:B,'Base stats'!BQ:BQ)/10000,0.01))
))</f>
        <v>No</v>
      </c>
      <c r="V162" s="4" t="str">
        <f>IF(S162="No","No",
MROUND(_xlfn.XLOOKUP(B162,'Base stats'!B:B,'Base stats'!BC:BC)^0.25
/((_xlfn.XLOOKUP(B162,'Base stats'!B:B,'Base stats'!BL:BL))*10)*_xlfn.XLOOKUP(_xlfn.XLOOKUP(B162,'Base stats'!B:B,'Base stats'!E:E),Groups!A:A,Groups!AE:AE)*150 + 0.5 + _xlfn.XLOOKUP(B162,'Base stats'!B:B,'Base stats'!BT:BT),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stats'!AN:AN)*_xlfn.XLOOKUP(_xlfn.XLOOKUP(B162,'Base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stats'!AN:AN)*0.01,2)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stats'!BP:BP) * (_xlfn.XLOOKUP(B163,'Base stats'!B:B,'Base stats'!AL:AL)*5%)^0.9 / 21,0.1),0.05)</f>
        <v>2.1</v>
      </c>
      <c r="E163" s="11">
        <f>MAX(0.01,MROUND(_xlfn.XLOOKUP(B163,'Base stats'!B:B,'Base stats'!BD:BD) * 0.01 * 2, 0.01))</f>
        <v>1.73</v>
      </c>
      <c r="F163" s="7">
        <f>MROUND(_xlfn.XLOOKUP(B163,'Base stats'!B:B,'Base stats'!BA:BA)^0.25 / (_xlfn.XLOOKUP(B163,'Base stats'!B:B,'Base stats'!BH:BH) * 10) * 150 + 0.5 + _xlfn.XLOOKUP(B163,'Base stats'!B:B,'Base stats'!BT:BT), 0.05)</f>
        <v>1.6500000000000001</v>
      </c>
      <c r="G163" s="3" t="str">
        <f>IF(Animals!S163="No","No",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MAX(MROUND(((MIN(10,_xlfn.XLOOKUP(B163,'Base stats'!B:B,'Base stats'!U:U)))^0.4*_xlfn.XLOOKUP(B163,'Base stats'!B:B,'Base stats'!BE:BE)^0.73)^0.6 * _xlfn.XLOOKUP(B163,'Base stats'!B:B,'Base stats'!BU:BU),0.1),0.05)
))</f>
        <v>No</v>
      </c>
      <c r="H163" s="11" t="str">
        <f>IF(G163="No","No",
MAX(0.01,MROUND(_xlfn.XLOOKUP(B163,'Base stats'!B:B,'Base stats'!BE:BE) * 0.01 * 2, 0.01))
)</f>
        <v>No</v>
      </c>
      <c r="I163" s="11" t="str">
        <f>IF(G163="No","No",IF(_xlfn.XLOOKUP(B163,'Base stats'!B:B,'Base stats'!U:U)="No","No",
MAX(0.01,MROUND(_xlfn.XLOOKUP(B163,'Base stats'!B:B,'Base stats'!BQ:BQ)/10000,0.01))
))</f>
        <v>No</v>
      </c>
      <c r="J163" s="4" t="str">
        <f>IF(G163="No","No",
MROUND(_xlfn.XLOOKUP(B163,'Base stats'!B:B,'Base stats'!BB:BB)^0.25
/((_xlfn.XLOOKUP(B163,'Base stats'!B:B,'Base stats'!BI:BI))*10)*_xlfn.XLOOKUP(_xlfn.XLOOKUP(B163,'Base stats'!B:B,'Base stats'!E:E),Groups!A:A,Groups!Q:Q)*150 + 0.5 + _xlfn.XLOOKUP(B163,'Base stats'!B:B,'Base stats'!BT:BT),
0.05))</f>
        <v>No</v>
      </c>
      <c r="K163" s="3" t="str">
        <f>IF(Animals!X163="No","No",
IF(_xlfn.XLOOKUP(_xlfn.XLOOKUP(B163,'Base stats'!B:B,'Base stats'!E:E),Groups!A:A,Groups!BD:BD)=1,
MAX(MROUND(_xlfn.XLOOKUP(B163,'Base stats'!B:B,'Base stats'!BR:BR) * _xlfn.XLOOKUP(B163,'Base stats'!B:B,'Base stats'!BN:BN)^0.9 / 21 *_xlfn.XLOOKUP(B163,'Base stats'!B:B,'Base stats'!BU:BU),0.1),0.05),
MAX(MROUND(((MIN(10,_xlfn.XLOOKUP(B163,'Base stats'!B:B,'Base stats'!W:W)))^0.4*_xlfn.XLOOKUP(B163,'Base stats'!B:B,'Base stats'!BF:BF)^0.73)^0.6 *_xlfn.XLOOKUP(B163,'Base stats'!B:B,'Base stats'!BU:BU),0.1),0.05)
))</f>
        <v>No</v>
      </c>
      <c r="L163" s="11" t="str">
        <f>IF(K163="No","No",
MAX(0.01,MROUND(_xlfn.XLOOKUP(B163,'Base stats'!B:B,'Base stats'!BF:BF)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stats'!BR:BR)/10000,0.01))
))</f>
        <v>No</v>
      </c>
      <c r="N163" s="4" t="str">
        <f>IF(K163="No","No",
MROUND(
  _xlfn.XLOOKUP(B163,'Base stats'!B:B,'Base stats'!AZ:AZ)^0.25
  / (_xlfn.XLOOKUP(B163,'Base stats'!B:B,'Base stats'!BJ:BJ)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stats'!BT:BT),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stats'!BG:BG)^0.73)^0.6 *_xlfn.XLOOKUP(B163,'Base stats'!B:B,'Base stats'!BU:BU),0.1),0.05)
)</f>
        <v>10.200000000000001</v>
      </c>
      <c r="P163" s="11">
        <f>IF(O163="No","No",
MAX(0.01,MROUND(_xlfn.XLOOKUP(B163,'Base stats'!B:B,'Base stats'!BG:BG) * 0.01 * 2, 0.01))
)</f>
        <v>2.2200000000000002</v>
      </c>
      <c r="Q163" s="5">
        <f>IF(O163="No","No",
MAX(0.01,MROUND(_xlfn.XLOOKUP(B163,'Base stats'!B:B,'Base stats'!BS:BS)/10000,0.01))
)</f>
        <v>0.14000000000000001</v>
      </c>
      <c r="R163" s="4">
        <f>IF(O163="No","No",
MROUND(_xlfn.XLOOKUP(B163,'Base stats'!B:B,'Base stats'!AY:AY)^0.25
/((_xlfn.XLOOKUP(B163,'Base stats'!B:B,'Base stats'!BK:BK))*10)*_xlfn.XLOOKUP(_xlfn.XLOOKUP(B163,'Base stats'!B:B,'Base stats'!E:E),Groups!A:A,Groups!Z:Z)*150 + 0.5 + _xlfn.XLOOKUP(B163,'Base stats'!B:B,'Base stats'!BT:BT),
0.05))</f>
        <v>2.0500000000000003</v>
      </c>
      <c r="S163" s="3">
        <f>IF(Animals!AI163="No","No",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MAX(MROUND(((MIN(12,_xlfn.XLOOKUP(B163,'Base stats'!B:B,'Base stats'!U:U)))^0.4*_xlfn.XLOOKUP(B163,'Base stats'!B:B,'Base stats'!BE:BE)^0.73)^0.6 * _xlfn.XLOOKUP(B163,'Base stats'!B:B,'Base stats'!BU:BU),0.1),0.05)
))</f>
        <v>4.8000000000000007</v>
      </c>
      <c r="T163" s="11">
        <f>IF(S163="No","No",
MAX(0.01,MROUND(_xlfn.XLOOKUP(B163,'Base stats'!B:B,'Base stats'!BE:BE) * 0.01 * 2, 0.01))
)</f>
        <v>2.2400000000000002</v>
      </c>
      <c r="U163" s="5" t="str">
        <f>IF(S163="No","No",IF(_xlfn.XLOOKUP(B163,'Base stats'!B:B,'Base stats'!U:U)="No","No",
MAX(0.01,MROUND(_xlfn.XLOOKUP(B163,'Base stats'!B:B,'Base stats'!BQ:BQ)/10000,0.01))
))</f>
        <v>No</v>
      </c>
      <c r="V163" s="4">
        <f>IF(S163="No","No",
MROUND(_xlfn.XLOOKUP(B163,'Base stats'!B:B,'Base stats'!BC:BC)^0.25
/((_xlfn.XLOOKUP(B163,'Base stats'!B:B,'Base stats'!BL:BL))*10)*_xlfn.XLOOKUP(_xlfn.XLOOKUP(B163,'Base stats'!B:B,'Base stats'!E:E),Groups!A:A,Groups!AE:AE)*150 + 0.5 + _xlfn.XLOOKUP(B163,'Base stats'!B:B,'Base stats'!BT:BT),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stats'!AN:AN)*_xlfn.XLOOKUP(_xlfn.XLOOKUP(B163,'Base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stats'!AN:AN)*0.01,2)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stats'!BP:BP) * (_xlfn.XLOOKUP(B164,'Base stats'!B:B,'Base stats'!AL:AL)*5%)^0.9 / 21,0.1),0.05)</f>
        <v>0.2</v>
      </c>
      <c r="E164" s="11">
        <f>MAX(0.01,MROUND(_xlfn.XLOOKUP(B164,'Base stats'!B:B,'Base stats'!BD:BD) * 0.01 * 2, 0.01))</f>
        <v>0.17</v>
      </c>
      <c r="F164" s="7">
        <f>MROUND(_xlfn.XLOOKUP(B164,'Base stats'!B:B,'Base stats'!BA:BA)^0.25 / (_xlfn.XLOOKUP(B164,'Base stats'!B:B,'Base stats'!BH:BH) * 10) * 150 + 0.5 + _xlfn.XLOOKUP(B164,'Base stats'!B:B,'Base stats'!BT:BT), 0.05)</f>
        <v>1.3</v>
      </c>
      <c r="G164" s="3">
        <f>IF(Animals!S164="No","No",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MAX(MROUND(((MIN(10,_xlfn.XLOOKUP(B164,'Base stats'!B:B,'Base stats'!U:U)))^0.4*_xlfn.XLOOKUP(B164,'Base stats'!B:B,'Base stats'!BE:BE)^0.73)^0.6 * _xlfn.XLOOKUP(B164,'Base stats'!B:B,'Base stats'!BU:BU),0.1),0.05)
))</f>
        <v>3.6</v>
      </c>
      <c r="H164" s="11">
        <f>IF(G164="No","No",
MAX(0.01,MROUND(_xlfn.XLOOKUP(B164,'Base stats'!B:B,'Base stats'!BE:BE) * 0.01 * 2, 0.01))
)</f>
        <v>0.25</v>
      </c>
      <c r="I164" s="11">
        <f>IF(G164="No","No",IF(_xlfn.XLOOKUP(B164,'Base stats'!B:B,'Base stats'!U:U)="No","No",
MAX(0.01,MROUND(_xlfn.XLOOKUP(B164,'Base stats'!B:B,'Base stats'!BQ:BQ)/10000,0.01))
))</f>
        <v>0.04</v>
      </c>
      <c r="J164" s="4">
        <f>IF(G164="No","No",
MROUND(_xlfn.XLOOKUP(B164,'Base stats'!B:B,'Base stats'!BB:BB)^0.25
/((_xlfn.XLOOKUP(B164,'Base stats'!B:B,'Base stats'!BI:BI))*10)*_xlfn.XLOOKUP(_xlfn.XLOOKUP(B164,'Base stats'!B:B,'Base stats'!E:E),Groups!A:A,Groups!Q:Q)*150 + 0.5 + _xlfn.XLOOKUP(B164,'Base stats'!B:B,'Base stats'!BT:BT),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stats'!BR:BR) * _xlfn.XLOOKUP(B164,'Base stats'!B:B,'Base stats'!BN:BN)^0.9 / 21 *_xlfn.XLOOKUP(B164,'Base stats'!B:B,'Base stats'!BU:BU),0.1),0.05),
MAX(MROUND(((MIN(10,_xlfn.XLOOKUP(B164,'Base stats'!B:B,'Base stats'!W:W)))^0.4*_xlfn.XLOOKUP(B164,'Base stats'!B:B,'Base stats'!BF:BF)^0.73)^0.6 *_xlfn.XLOOKUP(B164,'Base stats'!B:B,'Base stats'!BU:BU),0.1),0.05)
))</f>
        <v>No</v>
      </c>
      <c r="L164" s="11" t="str">
        <f>IF(K164="No","No",
MAX(0.01,MROUND(_xlfn.XLOOKUP(B164,'Base stats'!B:B,'Base stats'!BF:BF)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stats'!BR:BR)/10000,0.01))
))</f>
        <v>No</v>
      </c>
      <c r="N164" s="4" t="str">
        <f>IF(K164="No","No",
MROUND(
  _xlfn.XLOOKUP(B164,'Base stats'!B:B,'Base stats'!AZ:AZ)^0.25
  / (_xlfn.XLOOKUP(B164,'Base stats'!B:B,'Base stats'!BJ:BJ)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stats'!BT:BT),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stats'!BG:BG)^0.73)^0.6 *_xlfn.XLOOKUP(B164,'Base stats'!B:B,'Base stats'!BU:BU),0.1),0.05)
)</f>
        <v>1.3</v>
      </c>
      <c r="P164" s="11">
        <f>IF(O164="No","No",
MAX(0.01,MROUND(_xlfn.XLOOKUP(B164,'Base stats'!B:B,'Base stats'!BG:BG) * 0.01 * 2, 0.01))
)</f>
        <v>0.05</v>
      </c>
      <c r="Q164" s="5">
        <f>IF(O164="No","No",
MAX(0.01,MROUND(_xlfn.XLOOKUP(B164,'Base stats'!B:B,'Base stats'!BS:BS)/10000,0.01))
)</f>
        <v>0.01</v>
      </c>
      <c r="R164" s="4">
        <f>IF(O164="No","No",
MROUND(_xlfn.XLOOKUP(B164,'Base stats'!B:B,'Base stats'!AY:AY)^0.25
/((_xlfn.XLOOKUP(B164,'Base stats'!B:B,'Base stats'!BK:BK))*10)*_xlfn.XLOOKUP(_xlfn.XLOOKUP(B164,'Base stats'!B:B,'Base stats'!E:E),Groups!A:A,Groups!Z:Z)*150 + 0.5 + _xlfn.XLOOKUP(B164,'Base stats'!B:B,'Base stats'!BT:BT),
0.05))</f>
        <v>2</v>
      </c>
      <c r="S164" s="3" t="str">
        <f>IF(Animals!AI164="No","No",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MAX(MROUND(((MIN(12,_xlfn.XLOOKUP(B164,'Base stats'!B:B,'Base stats'!U:U)))^0.4*_xlfn.XLOOKUP(B164,'Base stats'!B:B,'Base stats'!BE:BE)^0.73)^0.6 * _xlfn.XLOOKUP(B164,'Base stats'!B:B,'Base stats'!BU:BU),0.1),0.05)
))</f>
        <v>No</v>
      </c>
      <c r="T164" s="11" t="str">
        <f>IF(S164="No","No",
MAX(0.01,MROUND(_xlfn.XLOOKUP(B164,'Base stats'!B:B,'Base stats'!BE:BE) * 0.01 * 2, 0.01))
)</f>
        <v>No</v>
      </c>
      <c r="U164" s="5" t="str">
        <f>IF(S164="No","No",IF(_xlfn.XLOOKUP(B164,'Base stats'!B:B,'Base stats'!U:U)="No","No",
MAX(0.01,MROUND(_xlfn.XLOOKUP(B164,'Base stats'!B:B,'Base stats'!BQ:BQ)/10000,0.01))
))</f>
        <v>No</v>
      </c>
      <c r="V164" s="4" t="str">
        <f>IF(S164="No","No",
MROUND(_xlfn.XLOOKUP(B164,'Base stats'!B:B,'Base stats'!BC:BC)^0.25
/((_xlfn.XLOOKUP(B164,'Base stats'!B:B,'Base stats'!BL:BL))*10)*_xlfn.XLOOKUP(_xlfn.XLOOKUP(B164,'Base stats'!B:B,'Base stats'!E:E),Groups!A:A,Groups!AE:AE)*150 + 0.5 + _xlfn.XLOOKUP(B164,'Base stats'!B:B,'Base stats'!BT:BT),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stats'!AN:AN)*_xlfn.XLOOKUP(_xlfn.XLOOKUP(B164,'Base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stats'!AN:AN)*0.01,2)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stats'!BP:BP) * (_xlfn.XLOOKUP(B165,'Base stats'!B:B,'Base stats'!AL:AL)*5%)^0.9 / 21,0.1),0.05)</f>
        <v>0.4</v>
      </c>
      <c r="E165" s="11">
        <f>MAX(0.01,MROUND(_xlfn.XLOOKUP(B165,'Base stats'!B:B,'Base stats'!BD:BD) * 0.01 * 2, 0.01))</f>
        <v>0.28000000000000003</v>
      </c>
      <c r="F165" s="7">
        <f>MROUND(_xlfn.XLOOKUP(B165,'Base stats'!B:B,'Base stats'!BA:BA)^0.25 / (_xlfn.XLOOKUP(B165,'Base stats'!B:B,'Base stats'!BH:BH) * 10) * 150 + 0.5 + _xlfn.XLOOKUP(B165,'Base stats'!B:B,'Base stats'!BT:BT), 0.05)</f>
        <v>1.55</v>
      </c>
      <c r="G165" s="3" t="str">
        <f>IF(Animals!S165="No","No",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MAX(MROUND(((MIN(10,_xlfn.XLOOKUP(B165,'Base stats'!B:B,'Base stats'!U:U)))^0.4*_xlfn.XLOOKUP(B165,'Base stats'!B:B,'Base stats'!BE:BE)^0.73)^0.6 * _xlfn.XLOOKUP(B165,'Base stats'!B:B,'Base stats'!BU:BU),0.1),0.05)
))</f>
        <v>No</v>
      </c>
      <c r="H165" s="11" t="str">
        <f>IF(G165="No","No",
MAX(0.01,MROUND(_xlfn.XLOOKUP(B165,'Base stats'!B:B,'Base stats'!BE:BE) * 0.01 * 2, 0.01))
)</f>
        <v>No</v>
      </c>
      <c r="I165" s="11" t="str">
        <f>IF(G165="No","No",IF(_xlfn.XLOOKUP(B165,'Base stats'!B:B,'Base stats'!U:U)="No","No",
MAX(0.01,MROUND(_xlfn.XLOOKUP(B165,'Base stats'!B:B,'Base stats'!BQ:BQ)/10000,0.01))
))</f>
        <v>No</v>
      </c>
      <c r="J165" s="4" t="str">
        <f>IF(G165="No","No",
MROUND(_xlfn.XLOOKUP(B165,'Base stats'!B:B,'Base stats'!BB:BB)^0.25
/((_xlfn.XLOOKUP(B165,'Base stats'!B:B,'Base stats'!BI:BI))*10)*_xlfn.XLOOKUP(_xlfn.XLOOKUP(B165,'Base stats'!B:B,'Base stats'!E:E),Groups!A:A,Groups!Q:Q)*150 + 0.5 + _xlfn.XLOOKUP(B165,'Base stats'!B:B,'Base stats'!BT:BT),
0.05))</f>
        <v>No</v>
      </c>
      <c r="K165" s="3" t="str">
        <f>IF(Animals!X165="No","No",
IF(_xlfn.XLOOKUP(_xlfn.XLOOKUP(B165,'Base stats'!B:B,'Base stats'!E:E),Groups!A:A,Groups!BD:BD)=1,
MAX(MROUND(_xlfn.XLOOKUP(B165,'Base stats'!B:B,'Base stats'!BR:BR) * _xlfn.XLOOKUP(B165,'Base stats'!B:B,'Base stats'!BN:BN)^0.9 / 21 *_xlfn.XLOOKUP(B165,'Base stats'!B:B,'Base stats'!BU:BU),0.1),0.05),
MAX(MROUND(((MIN(10,_xlfn.XLOOKUP(B165,'Base stats'!B:B,'Base stats'!W:W)))^0.4*_xlfn.XLOOKUP(B165,'Base stats'!B:B,'Base stats'!BF:BF)^0.73)^0.6 *_xlfn.XLOOKUP(B165,'Base stats'!B:B,'Base stats'!BU:BU),0.1),0.05)
))</f>
        <v>No</v>
      </c>
      <c r="L165" s="11" t="str">
        <f>IF(K165="No","No",
MAX(0.01,MROUND(_xlfn.XLOOKUP(B165,'Base stats'!B:B,'Base stats'!BF:BF)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stats'!BR:BR)/10000,0.01))
))</f>
        <v>No</v>
      </c>
      <c r="N165" s="4" t="str">
        <f>IF(K165="No","No",
MROUND(
  _xlfn.XLOOKUP(B165,'Base stats'!B:B,'Base stats'!AZ:AZ)^0.25
  / (_xlfn.XLOOKUP(B165,'Base stats'!B:B,'Base stats'!BJ:BJ)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stats'!BT:BT),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stats'!BG:BG)^0.73)^0.6 *_xlfn.XLOOKUP(B165,'Base stats'!B:B,'Base stats'!BU:BU),0.1),0.05)
)</f>
        <v>2.5</v>
      </c>
      <c r="P165" s="11">
        <f>IF(O165="No","No",
MAX(0.01,MROUND(_xlfn.XLOOKUP(B165,'Base stats'!B:B,'Base stats'!BG:BG) * 0.01 * 2, 0.01))
)</f>
        <v>7.0000000000000007E-2</v>
      </c>
      <c r="Q165" s="5">
        <f>IF(O165="No","No",
MAX(0.01,MROUND(_xlfn.XLOOKUP(B165,'Base stats'!B:B,'Base stats'!BS:BS)/10000,0.01))
)</f>
        <v>0.01</v>
      </c>
      <c r="R165" s="4">
        <f>IF(O165="No","No",
MROUND(_xlfn.XLOOKUP(B165,'Base stats'!B:B,'Base stats'!AY:AY)^0.25
/((_xlfn.XLOOKUP(B165,'Base stats'!B:B,'Base stats'!BK:BK))*10)*_xlfn.XLOOKUP(_xlfn.XLOOKUP(B165,'Base stats'!B:B,'Base stats'!E:E),Groups!A:A,Groups!Z:Z)*150 + 0.5 + _xlfn.XLOOKUP(B165,'Base stats'!B:B,'Base stats'!BT:BT),
0.05))</f>
        <v>1.8</v>
      </c>
      <c r="S165" s="3" t="str">
        <f>IF(Animals!AI165="No","No",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MAX(MROUND(((MIN(12,_xlfn.XLOOKUP(B165,'Base stats'!B:B,'Base stats'!U:U)))^0.4*_xlfn.XLOOKUP(B165,'Base stats'!B:B,'Base stats'!BE:BE)^0.73)^0.6 * _xlfn.XLOOKUP(B165,'Base stats'!B:B,'Base stats'!BU:BU),0.1),0.05)
))</f>
        <v>No</v>
      </c>
      <c r="T165" s="11" t="str">
        <f>IF(S165="No","No",
MAX(0.01,MROUND(_xlfn.XLOOKUP(B165,'Base stats'!B:B,'Base stats'!BE:BE) * 0.01 * 2, 0.01))
)</f>
        <v>No</v>
      </c>
      <c r="U165" s="5" t="str">
        <f>IF(S165="No","No",IF(_xlfn.XLOOKUP(B165,'Base stats'!B:B,'Base stats'!U:U)="No","No",
MAX(0.01,MROUND(_xlfn.XLOOKUP(B165,'Base stats'!B:B,'Base stats'!BQ:BQ)/10000,0.01))
))</f>
        <v>No</v>
      </c>
      <c r="V165" s="4" t="str">
        <f>IF(S165="No","No",
MROUND(_xlfn.XLOOKUP(B165,'Base stats'!B:B,'Base stats'!BC:BC)^0.25
/((_xlfn.XLOOKUP(B165,'Base stats'!B:B,'Base stats'!BL:BL))*10)*_xlfn.XLOOKUP(_xlfn.XLOOKUP(B165,'Base stats'!B:B,'Base stats'!E:E),Groups!A:A,Groups!AE:AE)*150 + 0.5 + _xlfn.XLOOKUP(B165,'Base stats'!B:B,'Base stats'!BT:BT),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stats'!AN:AN)*_xlfn.XLOOKUP(_xlfn.XLOOKUP(B165,'Base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stats'!AN:AN)*0.01,2)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stats'!BP:BP) * (_xlfn.XLOOKUP(B166,'Base stats'!B:B,'Base stats'!AL:AL)*5%)^0.9 / 21,0.1),0.05)</f>
        <v>0.2</v>
      </c>
      <c r="E166" s="11">
        <f>MAX(0.01,MROUND(_xlfn.XLOOKUP(B166,'Base stats'!B:B,'Base stats'!BD:BD) * 0.01 * 2, 0.01))</f>
        <v>0.13</v>
      </c>
      <c r="F166" s="7">
        <f>MROUND(_xlfn.XLOOKUP(B166,'Base stats'!B:B,'Base stats'!BA:BA)^0.25 / (_xlfn.XLOOKUP(B166,'Base stats'!B:B,'Base stats'!BH:BH) * 10) * 150 + 0.5 + _xlfn.XLOOKUP(B166,'Base stats'!B:B,'Base stats'!BT:BT), 0.05)</f>
        <v>1.3</v>
      </c>
      <c r="G166" s="3" t="str">
        <f>IF(Animals!S166="No","No",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MAX(MROUND(((MIN(10,_xlfn.XLOOKUP(B166,'Base stats'!B:B,'Base stats'!U:U)))^0.4*_xlfn.XLOOKUP(B166,'Base stats'!B:B,'Base stats'!BE:BE)^0.73)^0.6 * _xlfn.XLOOKUP(B166,'Base stats'!B:B,'Base stats'!BU:BU),0.1),0.05)
))</f>
        <v>No</v>
      </c>
      <c r="H166" s="11" t="str">
        <f>IF(G166="No","No",
MAX(0.01,MROUND(_xlfn.XLOOKUP(B166,'Base stats'!B:B,'Base stats'!BE:BE) * 0.01 * 2, 0.01))
)</f>
        <v>No</v>
      </c>
      <c r="I166" s="11" t="str">
        <f>IF(G166="No","No",IF(_xlfn.XLOOKUP(B166,'Base stats'!B:B,'Base stats'!U:U)="No","No",
MAX(0.01,MROUND(_xlfn.XLOOKUP(B166,'Base stats'!B:B,'Base stats'!BQ:BQ)/10000,0.01))
))</f>
        <v>No</v>
      </c>
      <c r="J166" s="4" t="str">
        <f>IF(G166="No","No",
MROUND(_xlfn.XLOOKUP(B166,'Base stats'!B:B,'Base stats'!BB:BB)^0.25
/((_xlfn.XLOOKUP(B166,'Base stats'!B:B,'Base stats'!BI:BI))*10)*_xlfn.XLOOKUP(_xlfn.XLOOKUP(B166,'Base stats'!B:B,'Base stats'!E:E),Groups!A:A,Groups!Q:Q)*150 + 0.5 + _xlfn.XLOOKUP(B166,'Base stats'!B:B,'Base stats'!BT:BT),
0.05))</f>
        <v>No</v>
      </c>
      <c r="K166" s="3" t="str">
        <f>IF(Animals!X166="No","No",
IF(_xlfn.XLOOKUP(_xlfn.XLOOKUP(B166,'Base stats'!B:B,'Base stats'!E:E),Groups!A:A,Groups!BD:BD)=1,
MAX(MROUND(_xlfn.XLOOKUP(B166,'Base stats'!B:B,'Base stats'!BR:BR) * _xlfn.XLOOKUP(B166,'Base stats'!B:B,'Base stats'!BN:BN)^0.9 / 21 *_xlfn.XLOOKUP(B166,'Base stats'!B:B,'Base stats'!BU:BU),0.1),0.05),
MAX(MROUND(((MIN(10,_xlfn.XLOOKUP(B166,'Base stats'!B:B,'Base stats'!W:W)))^0.4*_xlfn.XLOOKUP(B166,'Base stats'!B:B,'Base stats'!BF:BF)^0.73)^0.6 *_xlfn.XLOOKUP(B166,'Base stats'!B:B,'Base stats'!BU:BU),0.1),0.05)
))</f>
        <v>No</v>
      </c>
      <c r="L166" s="11" t="str">
        <f>IF(K166="No","No",
MAX(0.01,MROUND(_xlfn.XLOOKUP(B166,'Base stats'!B:B,'Base stats'!BF:BF)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stats'!BR:BR)/10000,0.01))
))</f>
        <v>No</v>
      </c>
      <c r="N166" s="4" t="str">
        <f>IF(K166="No","No",
MROUND(
  _xlfn.XLOOKUP(B166,'Base stats'!B:B,'Base stats'!AZ:AZ)^0.25
  / (_xlfn.XLOOKUP(B166,'Base stats'!B:B,'Base stats'!BJ:BJ)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stats'!BT:BT),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stats'!BG:BG)^0.73)^0.6 *_xlfn.XLOOKUP(B166,'Base stats'!B:B,'Base stats'!BU:BU),0.1),0.05)
)</f>
        <v>2.4000000000000004</v>
      </c>
      <c r="P166" s="11">
        <f>IF(O166="No","No",
MAX(0.01,MROUND(_xlfn.XLOOKUP(B166,'Base stats'!B:B,'Base stats'!BG:BG) * 0.01 * 2, 0.01))
)</f>
        <v>0.18</v>
      </c>
      <c r="Q166" s="5">
        <f>IF(O166="No","No",
MAX(0.01,MROUND(_xlfn.XLOOKUP(B166,'Base stats'!B:B,'Base stats'!BS:BS)/10000,0.01))
)</f>
        <v>0.04</v>
      </c>
      <c r="R166" s="4">
        <f>IF(O166="No","No",
MROUND(_xlfn.XLOOKUP(B166,'Base stats'!B:B,'Base stats'!AY:AY)^0.25
/((_xlfn.XLOOKUP(B166,'Base stats'!B:B,'Base stats'!BK:BK))*10)*_xlfn.XLOOKUP(_xlfn.XLOOKUP(B166,'Base stats'!B:B,'Base stats'!E:E),Groups!A:A,Groups!Z:Z)*150 + 0.5 + _xlfn.XLOOKUP(B166,'Base stats'!B:B,'Base stats'!BT:BT),
0.05))</f>
        <v>2.1</v>
      </c>
      <c r="S166" s="3" t="str">
        <f>IF(Animals!AI166="No","No",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MAX(MROUND(((MIN(12,_xlfn.XLOOKUP(B166,'Base stats'!B:B,'Base stats'!U:U)))^0.4*_xlfn.XLOOKUP(B166,'Base stats'!B:B,'Base stats'!BE:BE)^0.73)^0.6 * _xlfn.XLOOKUP(B166,'Base stats'!B:B,'Base stats'!BU:BU),0.1),0.05)
))</f>
        <v>No</v>
      </c>
      <c r="T166" s="11" t="str">
        <f>IF(S166="No","No",
MAX(0.01,MROUND(_xlfn.XLOOKUP(B166,'Base stats'!B:B,'Base stats'!BE:BE) * 0.01 * 2, 0.01))
)</f>
        <v>No</v>
      </c>
      <c r="U166" s="5" t="str">
        <f>IF(S166="No","No",IF(_xlfn.XLOOKUP(B166,'Base stats'!B:B,'Base stats'!U:U)="No","No",
MAX(0.01,MROUND(_xlfn.XLOOKUP(B166,'Base stats'!B:B,'Base stats'!BQ:BQ)/10000,0.01))
))</f>
        <v>No</v>
      </c>
      <c r="V166" s="4" t="str">
        <f>IF(S166="No","No",
MROUND(_xlfn.XLOOKUP(B166,'Base stats'!B:B,'Base stats'!BC:BC)^0.25
/((_xlfn.XLOOKUP(B166,'Base stats'!B:B,'Base stats'!BL:BL))*10)*_xlfn.XLOOKUP(_xlfn.XLOOKUP(B166,'Base stats'!B:B,'Base stats'!E:E),Groups!A:A,Groups!AE:AE)*150 + 0.5 + _xlfn.XLOOKUP(B166,'Base stats'!B:B,'Base stats'!BT:BT),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stats'!AN:AN)*_xlfn.XLOOKUP(_xlfn.XLOOKUP(B166,'Base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stats'!AN:AN)*0.01,2)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stats'!BP:BP) * (_xlfn.XLOOKUP(B167,'Base stats'!B:B,'Base stats'!AL:AL)*5%)^0.9 / 21,0.1),0.05)</f>
        <v>107.7</v>
      </c>
      <c r="E167" s="11">
        <f>MAX(0.01,MROUND(_xlfn.XLOOKUP(B167,'Base stats'!B:B,'Base stats'!BD:BD) * 0.01 * 2, 0.01))</f>
        <v>122.9</v>
      </c>
      <c r="F167" s="7">
        <f>MROUND(_xlfn.XLOOKUP(B167,'Base stats'!B:B,'Base stats'!BA:BA)^0.25 / (_xlfn.XLOOKUP(B167,'Base stats'!B:B,'Base stats'!BH:BH) * 10) * 150 + 0.5 + _xlfn.XLOOKUP(B167,'Base stats'!B:B,'Base stats'!BT:BT), 0.05)</f>
        <v>3.5</v>
      </c>
      <c r="G167" s="3" t="str">
        <f>IF(Animals!S167="No","No",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MAX(MROUND(((MIN(10,_xlfn.XLOOKUP(B167,'Base stats'!B:B,'Base stats'!U:U)))^0.4*_xlfn.XLOOKUP(B167,'Base stats'!B:B,'Base stats'!BE:BE)^0.73)^0.6 * _xlfn.XLOOKUP(B167,'Base stats'!B:B,'Base stats'!BU:BU),0.1),0.05)
))</f>
        <v>No</v>
      </c>
      <c r="H167" s="11" t="str">
        <f>IF(G167="No","No",
MAX(0.01,MROUND(_xlfn.XLOOKUP(B167,'Base stats'!B:B,'Base stats'!BE:BE) * 0.01 * 2, 0.01))
)</f>
        <v>No</v>
      </c>
      <c r="I167" s="11" t="str">
        <f>IF(G167="No","No",IF(_xlfn.XLOOKUP(B167,'Base stats'!B:B,'Base stats'!U:U)="No","No",
MAX(0.01,MROUND(_xlfn.XLOOKUP(B167,'Base stats'!B:B,'Base stats'!BQ:BQ)/10000,0.01))
))</f>
        <v>No</v>
      </c>
      <c r="J167" s="4" t="str">
        <f>IF(G167="No","No",
MROUND(_xlfn.XLOOKUP(B167,'Base stats'!B:B,'Base stats'!BB:BB)^0.25
/((_xlfn.XLOOKUP(B167,'Base stats'!B:B,'Base stats'!BI:BI))*10)*_xlfn.XLOOKUP(_xlfn.XLOOKUP(B167,'Base stats'!B:B,'Base stats'!E:E),Groups!A:A,Groups!Q:Q)*150 + 0.5 + _xlfn.XLOOKUP(B167,'Base stats'!B:B,'Base stats'!BT:BT),
0.05))</f>
        <v>No</v>
      </c>
      <c r="K167" s="3" t="str">
        <f>IF(Animals!X167="No","No",
IF(_xlfn.XLOOKUP(_xlfn.XLOOKUP(B167,'Base stats'!B:B,'Base stats'!E:E),Groups!A:A,Groups!BD:BD)=1,
MAX(MROUND(_xlfn.XLOOKUP(B167,'Base stats'!B:B,'Base stats'!BR:BR) * _xlfn.XLOOKUP(B167,'Base stats'!B:B,'Base stats'!BN:BN)^0.9 / 21 *_xlfn.XLOOKUP(B167,'Base stats'!B:B,'Base stats'!BU:BU),0.1),0.05),
MAX(MROUND(((MIN(10,_xlfn.XLOOKUP(B167,'Base stats'!B:B,'Base stats'!W:W)))^0.4*_xlfn.XLOOKUP(B167,'Base stats'!B:B,'Base stats'!BF:BF)^0.73)^0.6 *_xlfn.XLOOKUP(B167,'Base stats'!B:B,'Base stats'!BU:BU),0.1),0.05)
))</f>
        <v>No</v>
      </c>
      <c r="L167" s="11" t="str">
        <f>IF(K167="No","No",
MAX(0.01,MROUND(_xlfn.XLOOKUP(B167,'Base stats'!B:B,'Base stats'!BF:BF)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stats'!BR:BR)/10000,0.01))
))</f>
        <v>No</v>
      </c>
      <c r="N167" s="4" t="str">
        <f>IF(K167="No","No",
MROUND(
  _xlfn.XLOOKUP(B167,'Base stats'!B:B,'Base stats'!AZ:AZ)^0.25
  / (_xlfn.XLOOKUP(B167,'Base stats'!B:B,'Base stats'!BJ:BJ)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stats'!BT:BT),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stats'!BG:BG)^0.73)^0.6 *_xlfn.XLOOKUP(B167,'Base stats'!B:B,'Base stats'!BU:BU),0.1),0.05)
)</f>
        <v>117.5</v>
      </c>
      <c r="P167" s="11">
        <f>IF(O167="No","No",
MAX(0.01,MROUND(_xlfn.XLOOKUP(B167,'Base stats'!B:B,'Base stats'!BG:BG) * 0.01 * 2, 0.01))
)</f>
        <v>301.49</v>
      </c>
      <c r="Q167" s="5">
        <f>IF(O167="No","No",
MAX(0.01,MROUND(_xlfn.XLOOKUP(B167,'Base stats'!B:B,'Base stats'!BS:BS)/10000,0.01))
)</f>
        <v>27.71</v>
      </c>
      <c r="R167" s="4">
        <f>IF(O167="No","No",
MROUND(_xlfn.XLOOKUP(B167,'Base stats'!B:B,'Base stats'!AY:AY)^0.25
/((_xlfn.XLOOKUP(B167,'Base stats'!B:B,'Base stats'!BK:BK))*10)*_xlfn.XLOOKUP(_xlfn.XLOOKUP(B167,'Base stats'!B:B,'Base stats'!E:E),Groups!A:A,Groups!Z:Z)*150 + 0.5 + _xlfn.XLOOKUP(B167,'Base stats'!B:B,'Base stats'!BT:BT),
0.05))</f>
        <v>2.4000000000000004</v>
      </c>
      <c r="S167" s="3">
        <f>IF(Animals!AI167="No","No",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MAX(MROUND(((MIN(12,_xlfn.XLOOKUP(B167,'Base stats'!B:B,'Base stats'!U:U)))^0.4*_xlfn.XLOOKUP(B167,'Base stats'!B:B,'Base stats'!BE:BE)^0.73)^0.6 * _xlfn.XLOOKUP(B167,'Base stats'!B:B,'Base stats'!BU:BU),0.1),0.05)
))</f>
        <v>82.600000000000009</v>
      </c>
      <c r="T167" s="11">
        <f>IF(S167="No","No",
MAX(0.01,MROUND(_xlfn.XLOOKUP(B167,'Base stats'!B:B,'Base stats'!BE:BE) * 0.01 * 2, 0.01))
)</f>
        <v>121.98</v>
      </c>
      <c r="U167" s="5">
        <f>IF(S167="No","No",IF(_xlfn.XLOOKUP(B167,'Base stats'!B:B,'Base stats'!U:U)="No","No",
MAX(0.01,MROUND(_xlfn.XLOOKUP(B167,'Base stats'!B:B,'Base stats'!BQ:BQ)/10000,0.01))
))</f>
        <v>11.21</v>
      </c>
      <c r="V167" s="4">
        <f>IF(S167="No","No",
MROUND(_xlfn.XLOOKUP(B167,'Base stats'!B:B,'Base stats'!BC:BC)^0.25
/((_xlfn.XLOOKUP(B167,'Base stats'!B:B,'Base stats'!BL:BL))*10)*_xlfn.XLOOKUP(_xlfn.XLOOKUP(B167,'Base stats'!B:B,'Base stats'!E:E),Groups!A:A,Groups!AE:AE)*150 + 0.5 + _xlfn.XLOOKUP(B167,'Base stats'!B:B,'Base stats'!BT:BT),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stats'!AN:AN)*_xlfn.XLOOKUP(_xlfn.XLOOKUP(B167,'Base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stats'!AN:AN)*0.01,2)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stats'!BP:BP) * (_xlfn.XLOOKUP(B168,'Base stats'!B:B,'Base stats'!AL:AL)*5%)^0.9 / 21,0.1),0.05)</f>
        <v>79.300000000000011</v>
      </c>
      <c r="E168" s="11">
        <f>MAX(0.01,MROUND(_xlfn.XLOOKUP(B168,'Base stats'!B:B,'Base stats'!BD:BD) * 0.01 * 2, 0.01))</f>
        <v>90.52</v>
      </c>
      <c r="F168" s="7">
        <f>MROUND(_xlfn.XLOOKUP(B168,'Base stats'!B:B,'Base stats'!BA:BA)^0.25 / (_xlfn.XLOOKUP(B168,'Base stats'!B:B,'Base stats'!BH:BH) * 10) * 150 + 0.5 + _xlfn.XLOOKUP(B168,'Base stats'!B:B,'Base stats'!BT:BT), 0.05)</f>
        <v>2.25</v>
      </c>
      <c r="G168" s="3">
        <f>IF(Animals!S168="No","No",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MAX(MROUND(((MIN(10,_xlfn.XLOOKUP(B168,'Base stats'!B:B,'Base stats'!U:U)))^0.4*_xlfn.XLOOKUP(B168,'Base stats'!B:B,'Base stats'!BE:BE)^0.73)^0.6 * _xlfn.XLOOKUP(B168,'Base stats'!B:B,'Base stats'!BU:BU),0.1),0.05)
))</f>
        <v>112.4</v>
      </c>
      <c r="H168" s="11">
        <f>IF(G168="No","No",
MAX(0.01,MROUND(_xlfn.XLOOKUP(B168,'Base stats'!B:B,'Base stats'!BE:BE) * 0.01 * 2, 0.01))
)</f>
        <v>91.55</v>
      </c>
      <c r="I168" s="11" t="str">
        <f>IF(G168="No","No",IF(_xlfn.XLOOKUP(B168,'Base stats'!B:B,'Base stats'!U:U)="No","No",
MAX(0.01,MROUND(_xlfn.XLOOKUP(B168,'Base stats'!B:B,'Base stats'!BQ:BQ)/10000,0.01))
))</f>
        <v>No</v>
      </c>
      <c r="J168" s="4">
        <f>IF(G168="No","No",
MROUND(_xlfn.XLOOKUP(B168,'Base stats'!B:B,'Base stats'!BB:BB)^0.25
/((_xlfn.XLOOKUP(B168,'Base stats'!B:B,'Base stats'!BI:BI))*10)*_xlfn.XLOOKUP(_xlfn.XLOOKUP(B168,'Base stats'!B:B,'Base stats'!E:E),Groups!A:A,Groups!Q:Q)*150 + 0.5 + _xlfn.XLOOKUP(B168,'Base stats'!B:B,'Base stats'!BT:BT),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stats'!BR:BR) * _xlfn.XLOOKUP(B168,'Base stats'!B:B,'Base stats'!BN:BN)^0.9 / 21 *_xlfn.XLOOKUP(B168,'Base stats'!B:B,'Base stats'!BU:BU),0.1),0.05),
MAX(MROUND(((MIN(10,_xlfn.XLOOKUP(B168,'Base stats'!B:B,'Base stats'!W:W)))^0.4*_xlfn.XLOOKUP(B168,'Base stats'!B:B,'Base stats'!BF:BF)^0.73)^0.6 *_xlfn.XLOOKUP(B168,'Base stats'!B:B,'Base stats'!BU:BU),0.1),0.05)
))</f>
        <v>75.100000000000009</v>
      </c>
      <c r="L168" s="11">
        <f>IF(K168="No","No",
MAX(0.01,MROUND(_xlfn.XLOOKUP(B168,'Base stats'!B:B,'Base stats'!BF:BF)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stats'!BR:BR)/10000,0.01))
))</f>
        <v>46.64</v>
      </c>
      <c r="N168" s="4">
        <f>IF(K168="No","No",
MROUND(
  _xlfn.XLOOKUP(B168,'Base stats'!B:B,'Base stats'!AZ:AZ)^0.25
  / (_xlfn.XLOOKUP(B168,'Base stats'!B:B,'Base stats'!BJ:BJ)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stats'!BT:BT),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stats'!BG:BG)^0.73)^0.6 *_xlfn.XLOOKUP(B168,'Base stats'!B:B,'Base stats'!BU:BU),0.1),0.05)
)</f>
        <v>No</v>
      </c>
      <c r="P168" s="11" t="str">
        <f>IF(O168="No","No",
MAX(0.01,MROUND(_xlfn.XLOOKUP(B168,'Base stats'!B:B,'Base stats'!BG:BG) * 0.01 * 2, 0.01))
)</f>
        <v>No</v>
      </c>
      <c r="Q168" s="5" t="str">
        <f>IF(O168="No","No",
MAX(0.01,MROUND(_xlfn.XLOOKUP(B168,'Base stats'!B:B,'Base stats'!BS:BS)/10000,0.01))
)</f>
        <v>No</v>
      </c>
      <c r="R168" s="4" t="str">
        <f>IF(O168="No","No",
MROUND(_xlfn.XLOOKUP(B168,'Base stats'!B:B,'Base stats'!AY:AY)^0.25
/((_xlfn.XLOOKUP(B168,'Base stats'!B:B,'Base stats'!BK:BK))*10)*_xlfn.XLOOKUP(_xlfn.XLOOKUP(B168,'Base stats'!B:B,'Base stats'!E:E),Groups!A:A,Groups!Z:Z)*150 + 0.5 + _xlfn.XLOOKUP(B168,'Base stats'!B:B,'Base stats'!BT:BT),
0.05))</f>
        <v>No</v>
      </c>
      <c r="S168" s="3" t="str">
        <f>IF(Animals!AI168="No","No",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MAX(MROUND(((MIN(12,_xlfn.XLOOKUP(B168,'Base stats'!B:B,'Base stats'!U:U)))^0.4*_xlfn.XLOOKUP(B168,'Base stats'!B:B,'Base stats'!BE:BE)^0.73)^0.6 * _xlfn.XLOOKUP(B168,'Base stats'!B:B,'Base stats'!BU:BU),0.1),0.05)
))</f>
        <v>No</v>
      </c>
      <c r="T168" s="11" t="str">
        <f>IF(S168="No","No",
MAX(0.01,MROUND(_xlfn.XLOOKUP(B168,'Base stats'!B:B,'Base stats'!BE:BE) * 0.01 * 2, 0.01))
)</f>
        <v>No</v>
      </c>
      <c r="U168" s="5" t="str">
        <f>IF(S168="No","No",IF(_xlfn.XLOOKUP(B168,'Base stats'!B:B,'Base stats'!U:U)="No","No",
MAX(0.01,MROUND(_xlfn.XLOOKUP(B168,'Base stats'!B:B,'Base stats'!BQ:BQ)/10000,0.01))
))</f>
        <v>No</v>
      </c>
      <c r="V168" s="4" t="str">
        <f>IF(S168="No","No",
MROUND(_xlfn.XLOOKUP(B168,'Base stats'!B:B,'Base stats'!BC:BC)^0.25
/((_xlfn.XLOOKUP(B168,'Base stats'!B:B,'Base stats'!BL:BL))*10)*_xlfn.XLOOKUP(_xlfn.XLOOKUP(B168,'Base stats'!B:B,'Base stats'!E:E),Groups!A:A,Groups!AE:AE)*150 + 0.5 + _xlfn.XLOOKUP(B168,'Base stats'!B:B,'Base stats'!BT:BT),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stats'!AN:AN)*_xlfn.XLOOKUP(_xlfn.XLOOKUP(B168,'Base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stats'!AN:AN)*0.01,2)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stats'!BP:BP) * (_xlfn.XLOOKUP(B169,'Base stats'!B:B,'Base stats'!AL:AL)*5%)^0.9 / 21,0.1),0.05)</f>
        <v>1.2000000000000002</v>
      </c>
      <c r="E169" s="11">
        <f>MAX(0.01,MROUND(_xlfn.XLOOKUP(B169,'Base stats'!B:B,'Base stats'!BD:BD) * 0.01 * 2, 0.01))</f>
        <v>1.3800000000000001</v>
      </c>
      <c r="F169" s="7">
        <f>MROUND(_xlfn.XLOOKUP(B169,'Base stats'!B:B,'Base stats'!BA:BA)^0.25 / (_xlfn.XLOOKUP(B169,'Base stats'!B:B,'Base stats'!BH:BH) * 10) * 150 + 0.5 + _xlfn.XLOOKUP(B169,'Base stats'!B:B,'Base stats'!BT:BT), 0.05)</f>
        <v>1.85</v>
      </c>
      <c r="G169" s="3" t="str">
        <f>IF(Animals!S169="No","No",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MAX(MROUND(((MIN(10,_xlfn.XLOOKUP(B169,'Base stats'!B:B,'Base stats'!U:U)))^0.4*_xlfn.XLOOKUP(B169,'Base stats'!B:B,'Base stats'!BE:BE)^0.73)^0.6 * _xlfn.XLOOKUP(B169,'Base stats'!B:B,'Base stats'!BU:BU),0.1),0.05)
))</f>
        <v>No</v>
      </c>
      <c r="H169" s="11" t="str">
        <f>IF(G169="No","No",
MAX(0.01,MROUND(_xlfn.XLOOKUP(B169,'Base stats'!B:B,'Base stats'!BE:BE) * 0.01 * 2, 0.01))
)</f>
        <v>No</v>
      </c>
      <c r="I169" s="11" t="str">
        <f>IF(G169="No","No",IF(_xlfn.XLOOKUP(B169,'Base stats'!B:B,'Base stats'!U:U)="No","No",
MAX(0.01,MROUND(_xlfn.XLOOKUP(B169,'Base stats'!B:B,'Base stats'!BQ:BQ)/10000,0.01))
))</f>
        <v>No</v>
      </c>
      <c r="J169" s="4" t="str">
        <f>IF(G169="No","No",
MROUND(_xlfn.XLOOKUP(B169,'Base stats'!B:B,'Base stats'!BB:BB)^0.25
/((_xlfn.XLOOKUP(B169,'Base stats'!B:B,'Base stats'!BI:BI))*10)*_xlfn.XLOOKUP(_xlfn.XLOOKUP(B169,'Base stats'!B:B,'Base stats'!E:E),Groups!A:A,Groups!Q:Q)*150 + 0.5 + _xlfn.XLOOKUP(B169,'Base stats'!B:B,'Base stats'!BT:BT),
0.05))</f>
        <v>No</v>
      </c>
      <c r="K169" s="3" t="str">
        <f>IF(Animals!X169="No","No",
IF(_xlfn.XLOOKUP(_xlfn.XLOOKUP(B169,'Base stats'!B:B,'Base stats'!E:E),Groups!A:A,Groups!BD:BD)=1,
MAX(MROUND(_xlfn.XLOOKUP(B169,'Base stats'!B:B,'Base stats'!BR:BR) * _xlfn.XLOOKUP(B169,'Base stats'!B:B,'Base stats'!BN:BN)^0.9 / 21 *_xlfn.XLOOKUP(B169,'Base stats'!B:B,'Base stats'!BU:BU),0.1),0.05),
MAX(MROUND(((MIN(10,_xlfn.XLOOKUP(B169,'Base stats'!B:B,'Base stats'!W:W)))^0.4*_xlfn.XLOOKUP(B169,'Base stats'!B:B,'Base stats'!BF:BF)^0.73)^0.6 *_xlfn.XLOOKUP(B169,'Base stats'!B:B,'Base stats'!BU:BU),0.1),0.05)
))</f>
        <v>No</v>
      </c>
      <c r="L169" s="11" t="str">
        <f>IF(K169="No","No",
MAX(0.01,MROUND(_xlfn.XLOOKUP(B169,'Base stats'!B:B,'Base stats'!BF:BF)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stats'!BR:BR)/10000,0.01))
))</f>
        <v>No</v>
      </c>
      <c r="N169" s="4" t="str">
        <f>IF(K169="No","No",
MROUND(
  _xlfn.XLOOKUP(B169,'Base stats'!B:B,'Base stats'!AZ:AZ)^0.25
  / (_xlfn.XLOOKUP(B169,'Base stats'!B:B,'Base stats'!BJ:BJ)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stats'!BT:BT),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stats'!BG:BG)^0.73)^0.6 *_xlfn.XLOOKUP(B169,'Base stats'!B:B,'Base stats'!BU:BU),0.1),0.05)
)</f>
        <v>14.100000000000001</v>
      </c>
      <c r="P169" s="11">
        <f>IF(O169="No","No",
MAX(0.01,MROUND(_xlfn.XLOOKUP(B169,'Base stats'!B:B,'Base stats'!BG:BG) * 0.01 * 2, 0.01))
)</f>
        <v>5.76</v>
      </c>
      <c r="Q169" s="5">
        <f>IF(O169="No","No",
MAX(0.01,MROUND(_xlfn.XLOOKUP(B169,'Base stats'!B:B,'Base stats'!BS:BS)/10000,0.01))
)</f>
        <v>3.97</v>
      </c>
      <c r="R169" s="4">
        <f>IF(O169="No","No",
MROUND(_xlfn.XLOOKUP(B169,'Base stats'!B:B,'Base stats'!AY:AY)^0.25
/((_xlfn.XLOOKUP(B169,'Base stats'!B:B,'Base stats'!BK:BK))*10)*_xlfn.XLOOKUP(_xlfn.XLOOKUP(B169,'Base stats'!B:B,'Base stats'!E:E),Groups!A:A,Groups!Z:Z)*150 + 0.5 + _xlfn.XLOOKUP(B169,'Base stats'!B:B,'Base stats'!BT:BT),
0.05))</f>
        <v>1.25</v>
      </c>
      <c r="S169" s="3">
        <f>IF(Animals!AI169="No","No",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MAX(MROUND(((MIN(12,_xlfn.XLOOKUP(B169,'Base stats'!B:B,'Base stats'!U:U)))^0.4*_xlfn.XLOOKUP(B169,'Base stats'!B:B,'Base stats'!BE:BE)^0.73)^0.6 * _xlfn.XLOOKUP(B169,'Base stats'!B:B,'Base stats'!BU:BU),0.1),0.05)
))</f>
        <v>18.8</v>
      </c>
      <c r="T169" s="11">
        <f>IF(S169="No","No",
MAX(0.01,MROUND(_xlfn.XLOOKUP(B169,'Base stats'!B:B,'Base stats'!BE:BE) * 0.01 * 2, 0.01))
)</f>
        <v>4.6100000000000003</v>
      </c>
      <c r="U169" s="5">
        <f>IF(S169="No","No",IF(_xlfn.XLOOKUP(B169,'Base stats'!B:B,'Base stats'!U:U)="No","No",
MAX(0.01,MROUND(_xlfn.XLOOKUP(B169,'Base stats'!B:B,'Base stats'!BQ:BQ)/10000,0.01))
))</f>
        <v>3.18</v>
      </c>
      <c r="V169" s="4">
        <f>IF(S169="No","No",
MROUND(_xlfn.XLOOKUP(B169,'Base stats'!B:B,'Base stats'!BC:BC)^0.25
/((_xlfn.XLOOKUP(B169,'Base stats'!B:B,'Base stats'!BL:BL))*10)*_xlfn.XLOOKUP(_xlfn.XLOOKUP(B169,'Base stats'!B:B,'Base stats'!E:E),Groups!A:A,Groups!AE:AE)*150 + 0.5 + _xlfn.XLOOKUP(B169,'Base stats'!B:B,'Base stats'!BT:BT),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stats'!AN:AN)*_xlfn.XLOOKUP(_xlfn.XLOOKUP(B169,'Base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stats'!AN:AN)*0.01,2)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stats'!BP:BP) * (_xlfn.XLOOKUP(B170,'Base stats'!B:B,'Base stats'!AL:AL)*5%)^0.9 / 21,0.1),0.05)</f>
        <v>2.3000000000000003</v>
      </c>
      <c r="E170" s="11">
        <f>MAX(0.01,MROUND(_xlfn.XLOOKUP(B170,'Base stats'!B:B,'Base stats'!BD:BD) * 0.01 * 2, 0.01))</f>
        <v>2.59</v>
      </c>
      <c r="F170" s="7">
        <f>MROUND(_xlfn.XLOOKUP(B170,'Base stats'!B:B,'Base stats'!BA:BA)^0.25 / (_xlfn.XLOOKUP(B170,'Base stats'!B:B,'Base stats'!BH:BH) * 10) * 150 + 0.5 + _xlfn.XLOOKUP(B170,'Base stats'!B:B,'Base stats'!BT:BT), 0.05)</f>
        <v>1.6500000000000001</v>
      </c>
      <c r="G170" s="3" t="str">
        <f>IF(Animals!S170="No","No",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MAX(MROUND(((MIN(10,_xlfn.XLOOKUP(B170,'Base stats'!B:B,'Base stats'!U:U)))^0.4*_xlfn.XLOOKUP(B170,'Base stats'!B:B,'Base stats'!BE:BE)^0.73)^0.6 * _xlfn.XLOOKUP(B170,'Base stats'!B:B,'Base stats'!BU:BU),0.1),0.05)
))</f>
        <v>No</v>
      </c>
      <c r="H170" s="11" t="str">
        <f>IF(G170="No","No",
MAX(0.01,MROUND(_xlfn.XLOOKUP(B170,'Base stats'!B:B,'Base stats'!BE:BE) * 0.01 * 2, 0.01))
)</f>
        <v>No</v>
      </c>
      <c r="I170" s="11" t="str">
        <f>IF(G170="No","No",IF(_xlfn.XLOOKUP(B170,'Base stats'!B:B,'Base stats'!U:U)="No","No",
MAX(0.01,MROUND(_xlfn.XLOOKUP(B170,'Base stats'!B:B,'Base stats'!BQ:BQ)/10000,0.01))
))</f>
        <v>No</v>
      </c>
      <c r="J170" s="4" t="str">
        <f>IF(G170="No","No",
MROUND(_xlfn.XLOOKUP(B170,'Base stats'!B:B,'Base stats'!BB:BB)^0.25
/((_xlfn.XLOOKUP(B170,'Base stats'!B:B,'Base stats'!BI:BI))*10)*_xlfn.XLOOKUP(_xlfn.XLOOKUP(B170,'Base stats'!B:B,'Base stats'!E:E),Groups!A:A,Groups!Q:Q)*150 + 0.5 + _xlfn.XLOOKUP(B170,'Base stats'!B:B,'Base stats'!BT:BT),
0.05))</f>
        <v>No</v>
      </c>
      <c r="K170" s="3" t="str">
        <f>IF(Animals!X170="No","No",
IF(_xlfn.XLOOKUP(_xlfn.XLOOKUP(B170,'Base stats'!B:B,'Base stats'!E:E),Groups!A:A,Groups!BD:BD)=1,
MAX(MROUND(_xlfn.XLOOKUP(B170,'Base stats'!B:B,'Base stats'!BR:BR) * _xlfn.XLOOKUP(B170,'Base stats'!B:B,'Base stats'!BN:BN)^0.9 / 21 *_xlfn.XLOOKUP(B170,'Base stats'!B:B,'Base stats'!BU:BU),0.1),0.05),
MAX(MROUND(((MIN(10,_xlfn.XLOOKUP(B170,'Base stats'!B:B,'Base stats'!W:W)))^0.4*_xlfn.XLOOKUP(B170,'Base stats'!B:B,'Base stats'!BF:BF)^0.73)^0.6 *_xlfn.XLOOKUP(B170,'Base stats'!B:B,'Base stats'!BU:BU),0.1),0.05)
))</f>
        <v>No</v>
      </c>
      <c r="L170" s="11" t="str">
        <f>IF(K170="No","No",
MAX(0.01,MROUND(_xlfn.XLOOKUP(B170,'Base stats'!B:B,'Base stats'!BF:BF)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stats'!BR:BR)/10000,0.01))
))</f>
        <v>No</v>
      </c>
      <c r="N170" s="4" t="str">
        <f>IF(K170="No","No",
MROUND(
  _xlfn.XLOOKUP(B170,'Base stats'!B:B,'Base stats'!AZ:AZ)^0.25
  / (_xlfn.XLOOKUP(B170,'Base stats'!B:B,'Base stats'!BJ:BJ)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stats'!BT:BT),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stats'!BG:BG)^0.73)^0.6 *_xlfn.XLOOKUP(B170,'Base stats'!B:B,'Base stats'!BU:BU),0.1),0.05)
)</f>
        <v>#VALUE!</v>
      </c>
      <c r="P170" s="11" t="e">
        <f>IF(O170="No","No",
MAX(0.01,MROUND(_xlfn.XLOOKUP(B170,'Base stats'!B:B,'Base stats'!BG:BG) * 0.01 * 2, 0.01))
)</f>
        <v>#VALUE!</v>
      </c>
      <c r="Q170" s="5" t="e">
        <f>IF(O170="No","No",
MAX(0.01,MROUND(_xlfn.XLOOKUP(B170,'Base stats'!B:B,'Base stats'!BS:BS)/10000,0.01))
)</f>
        <v>#VALUE!</v>
      </c>
      <c r="R170" s="4" t="e">
        <f>IF(O170="No","No",
MROUND(_xlfn.XLOOKUP(B170,'Base stats'!B:B,'Base stats'!AY:AY)^0.25
/((_xlfn.XLOOKUP(B170,'Base stats'!B:B,'Base stats'!BK:BK))*10)*_xlfn.XLOOKUP(_xlfn.XLOOKUP(B170,'Base stats'!B:B,'Base stats'!E:E),Groups!A:A,Groups!Z:Z)*150 + 0.5 + _xlfn.XLOOKUP(B170,'Base stats'!B:B,'Base stats'!BT:BT),
0.05))</f>
        <v>#VALUE!</v>
      </c>
      <c r="S170" s="3" t="str">
        <f>IF(Animals!AI170="No","No",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MAX(MROUND(((MIN(12,_xlfn.XLOOKUP(B170,'Base stats'!B:B,'Base stats'!U:U)))^0.4*_xlfn.XLOOKUP(B170,'Base stats'!B:B,'Base stats'!BE:BE)^0.73)^0.6 * _xlfn.XLOOKUP(B170,'Base stats'!B:B,'Base stats'!BU:BU),0.1),0.05)
))</f>
        <v>No</v>
      </c>
      <c r="T170" s="11" t="str">
        <f>IF(S170="No","No",
MAX(0.01,MROUND(_xlfn.XLOOKUP(B170,'Base stats'!B:B,'Base stats'!BE:BE) * 0.01 * 2, 0.01))
)</f>
        <v>No</v>
      </c>
      <c r="U170" s="5" t="str">
        <f>IF(S170="No","No",IF(_xlfn.XLOOKUP(B170,'Base stats'!B:B,'Base stats'!U:U)="No","No",
MAX(0.01,MROUND(_xlfn.XLOOKUP(B170,'Base stats'!B:B,'Base stats'!BQ:BQ)/10000,0.01))
))</f>
        <v>No</v>
      </c>
      <c r="V170" s="4" t="str">
        <f>IF(S170="No","No",
MROUND(_xlfn.XLOOKUP(B170,'Base stats'!B:B,'Base stats'!BC:BC)^0.25
/((_xlfn.XLOOKUP(B170,'Base stats'!B:B,'Base stats'!BL:BL))*10)*_xlfn.XLOOKUP(_xlfn.XLOOKUP(B170,'Base stats'!B:B,'Base stats'!E:E),Groups!A:A,Groups!AE:AE)*150 + 0.5 + _xlfn.XLOOKUP(B170,'Base stats'!B:B,'Base stats'!BT:BT),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stats'!AN:AN)*_xlfn.XLOOKUP(_xlfn.XLOOKUP(B170,'Base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stats'!AN:AN)*0.01,2)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stats'!BP:BP) * (_xlfn.XLOOKUP(B171,'Base stats'!B:B,'Base stats'!AL:AL)*5%)^0.9 / 21,0.1),0.05)</f>
        <v>0.1</v>
      </c>
      <c r="E171" s="11">
        <f>MAX(0.01,MROUND(_xlfn.XLOOKUP(B171,'Base stats'!B:B,'Base stats'!BD:BD) * 0.01 * 2, 0.01))</f>
        <v>0.04</v>
      </c>
      <c r="F171" s="7">
        <f>MROUND(_xlfn.XLOOKUP(B171,'Base stats'!B:B,'Base stats'!BA:BA)^0.25 / (_xlfn.XLOOKUP(B171,'Base stats'!B:B,'Base stats'!BH:BH) * 10) * 150 + 0.5 + _xlfn.XLOOKUP(B171,'Base stats'!B:B,'Base stats'!BT:BT), 0.05)</f>
        <v>1.1500000000000001</v>
      </c>
      <c r="G171" s="3" t="str">
        <f>IF(Animals!S171="No","No",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MAX(MROUND(((MIN(10,_xlfn.XLOOKUP(B171,'Base stats'!B:B,'Base stats'!U:U)))^0.4*_xlfn.XLOOKUP(B171,'Base stats'!B:B,'Base stats'!BE:BE)^0.73)^0.6 * _xlfn.XLOOKUP(B171,'Base stats'!B:B,'Base stats'!BU:BU),0.1),0.05)
))</f>
        <v>No</v>
      </c>
      <c r="H171" s="11" t="str">
        <f>IF(G171="No","No",
MAX(0.01,MROUND(_xlfn.XLOOKUP(B171,'Base stats'!B:B,'Base stats'!BE:BE) * 0.01 * 2, 0.01))
)</f>
        <v>No</v>
      </c>
      <c r="I171" s="11" t="str">
        <f>IF(G171="No","No",IF(_xlfn.XLOOKUP(B171,'Base stats'!B:B,'Base stats'!U:U)="No","No",
MAX(0.01,MROUND(_xlfn.XLOOKUP(B171,'Base stats'!B:B,'Base stats'!BQ:BQ)/10000,0.01))
))</f>
        <v>No</v>
      </c>
      <c r="J171" s="4" t="str">
        <f>IF(G171="No","No",
MROUND(_xlfn.XLOOKUP(B171,'Base stats'!B:B,'Base stats'!BB:BB)^0.25
/((_xlfn.XLOOKUP(B171,'Base stats'!B:B,'Base stats'!BI:BI))*10)*_xlfn.XLOOKUP(_xlfn.XLOOKUP(B171,'Base stats'!B:B,'Base stats'!E:E),Groups!A:A,Groups!Q:Q)*150 + 0.5 + _xlfn.XLOOKUP(B171,'Base stats'!B:B,'Base stats'!BT:BT),
0.05))</f>
        <v>No</v>
      </c>
      <c r="K171" s="3" t="str">
        <f>IF(Animals!X171="No","No",
IF(_xlfn.XLOOKUP(_xlfn.XLOOKUP(B171,'Base stats'!B:B,'Base stats'!E:E),Groups!A:A,Groups!BD:BD)=1,
MAX(MROUND(_xlfn.XLOOKUP(B171,'Base stats'!B:B,'Base stats'!BR:BR) * _xlfn.XLOOKUP(B171,'Base stats'!B:B,'Base stats'!BN:BN)^0.9 / 21 *_xlfn.XLOOKUP(B171,'Base stats'!B:B,'Base stats'!BU:BU),0.1),0.05),
MAX(MROUND(((MIN(10,_xlfn.XLOOKUP(B171,'Base stats'!B:B,'Base stats'!W:W)))^0.4*_xlfn.XLOOKUP(B171,'Base stats'!B:B,'Base stats'!BF:BF)^0.73)^0.6 *_xlfn.XLOOKUP(B171,'Base stats'!B:B,'Base stats'!BU:BU),0.1),0.05)
))</f>
        <v>No</v>
      </c>
      <c r="L171" s="11" t="str">
        <f>IF(K171="No","No",
MAX(0.01,MROUND(_xlfn.XLOOKUP(B171,'Base stats'!B:B,'Base stats'!BF:BF)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stats'!BR:BR)/10000,0.01))
))</f>
        <v>No</v>
      </c>
      <c r="N171" s="4" t="str">
        <f>IF(K171="No","No",
MROUND(
  _xlfn.XLOOKUP(B171,'Base stats'!B:B,'Base stats'!AZ:AZ)^0.25
  / (_xlfn.XLOOKUP(B171,'Base stats'!B:B,'Base stats'!BJ:BJ)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stats'!BT:BT),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stats'!BG:BG)^0.73)^0.6 *_xlfn.XLOOKUP(B171,'Base stats'!B:B,'Base stats'!BU:BU),0.1),0.05)
)</f>
        <v>1.7000000000000002</v>
      </c>
      <c r="P171" s="11">
        <f>IF(O171="No","No",
MAX(0.01,MROUND(_xlfn.XLOOKUP(B171,'Base stats'!B:B,'Base stats'!BG:BG) * 0.01 * 2, 0.01))
)</f>
        <v>0.08</v>
      </c>
      <c r="Q171" s="5">
        <f>IF(O171="No","No",
MAX(0.01,MROUND(_xlfn.XLOOKUP(B171,'Base stats'!B:B,'Base stats'!BS:BS)/10000,0.01))
)</f>
        <v>0.03</v>
      </c>
      <c r="R171" s="4">
        <f>IF(O171="No","No",
MROUND(_xlfn.XLOOKUP(B171,'Base stats'!B:B,'Base stats'!AY:AY)^0.25
/((_xlfn.XLOOKUP(B171,'Base stats'!B:B,'Base stats'!BK:BK))*10)*_xlfn.XLOOKUP(_xlfn.XLOOKUP(B171,'Base stats'!B:B,'Base stats'!E:E),Groups!A:A,Groups!Z:Z)*150 + 0.5 + _xlfn.XLOOKUP(B171,'Base stats'!B:B,'Base stats'!BT:BT),
0.05))</f>
        <v>1.75</v>
      </c>
      <c r="S171" s="3">
        <f>IF(Animals!AI171="No","No",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MAX(MROUND(((MIN(12,_xlfn.XLOOKUP(B171,'Base stats'!B:B,'Base stats'!U:U)))^0.4*_xlfn.XLOOKUP(B171,'Base stats'!B:B,'Base stats'!BE:BE)^0.73)^0.6 * _xlfn.XLOOKUP(B171,'Base stats'!B:B,'Base stats'!BU:BU),0.1),0.05)
))</f>
        <v>1.7000000000000002</v>
      </c>
      <c r="T171" s="11">
        <f>IF(S171="No","No",
MAX(0.01,MROUND(_xlfn.XLOOKUP(B171,'Base stats'!B:B,'Base stats'!BE:BE) * 0.01 * 2, 0.01))
)</f>
        <v>7.0000000000000007E-2</v>
      </c>
      <c r="U171" s="5">
        <f>IF(S171="No","No",IF(_xlfn.XLOOKUP(B171,'Base stats'!B:B,'Base stats'!U:U)="No","No",
MAX(0.01,MROUND(_xlfn.XLOOKUP(B171,'Base stats'!B:B,'Base stats'!BQ:BQ)/10000,0.01))
))</f>
        <v>0.02</v>
      </c>
      <c r="V171" s="4">
        <f>IF(S171="No","No",
MROUND(_xlfn.XLOOKUP(B171,'Base stats'!B:B,'Base stats'!BC:BC)^0.25
/((_xlfn.XLOOKUP(B171,'Base stats'!B:B,'Base stats'!BL:BL))*10)*_xlfn.XLOOKUP(_xlfn.XLOOKUP(B171,'Base stats'!B:B,'Base stats'!E:E),Groups!A:A,Groups!AE:AE)*150 + 0.5 + _xlfn.XLOOKUP(B171,'Base stats'!B:B,'Base stats'!BT:BT),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stats'!AN:AN)*_xlfn.XLOOKUP(_xlfn.XLOOKUP(B171,'Base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stats'!AN:AN)*0.01,2)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stats'!BP:BP) * (_xlfn.XLOOKUP(B172,'Base stats'!B:B,'Base stats'!AL:AL)*5%)^0.9 / 21,0.1),0.05)</f>
        <v>23.1</v>
      </c>
      <c r="E172" s="11">
        <f>MAX(0.01,MROUND(_xlfn.XLOOKUP(B172,'Base stats'!B:B,'Base stats'!BD:BD) * 0.01 * 2, 0.01))</f>
        <v>22.86</v>
      </c>
      <c r="F172" s="7">
        <f>MROUND(_xlfn.XLOOKUP(B172,'Base stats'!B:B,'Base stats'!BA:BA)^0.25 / (_xlfn.XLOOKUP(B172,'Base stats'!B:B,'Base stats'!BH:BH) * 10) * 150 + 0.5 + _xlfn.XLOOKUP(B172,'Base stats'!B:B,'Base stats'!BT:BT), 0.05)</f>
        <v>1.9500000000000002</v>
      </c>
      <c r="G172" s="3" t="str">
        <f>IF(Animals!S172="No","No",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MAX(MROUND(((MIN(10,_xlfn.XLOOKUP(B172,'Base stats'!B:B,'Base stats'!U:U)))^0.4*_xlfn.XLOOKUP(B172,'Base stats'!B:B,'Base stats'!BE:BE)^0.73)^0.6 * _xlfn.XLOOKUP(B172,'Base stats'!B:B,'Base stats'!BU:BU),0.1),0.05)
))</f>
        <v>No</v>
      </c>
      <c r="H172" s="11" t="str">
        <f>IF(G172="No","No",
MAX(0.01,MROUND(_xlfn.XLOOKUP(B172,'Base stats'!B:B,'Base stats'!BE:BE) * 0.01 * 2, 0.01))
)</f>
        <v>No</v>
      </c>
      <c r="I172" s="11" t="str">
        <f>IF(G172="No","No",IF(_xlfn.XLOOKUP(B172,'Base stats'!B:B,'Base stats'!U:U)="No","No",
MAX(0.01,MROUND(_xlfn.XLOOKUP(B172,'Base stats'!B:B,'Base stats'!BQ:BQ)/10000,0.01))
))</f>
        <v>No</v>
      </c>
      <c r="J172" s="4" t="str">
        <f>IF(G172="No","No",
MROUND(_xlfn.XLOOKUP(B172,'Base stats'!B:B,'Base stats'!BB:BB)^0.25
/((_xlfn.XLOOKUP(B172,'Base stats'!B:B,'Base stats'!BI:BI))*10)*_xlfn.XLOOKUP(_xlfn.XLOOKUP(B172,'Base stats'!B:B,'Base stats'!E:E),Groups!A:A,Groups!Q:Q)*150 + 0.5 + _xlfn.XLOOKUP(B172,'Base stats'!B:B,'Base stats'!BT:BT),
0.05))</f>
        <v>No</v>
      </c>
      <c r="K172" s="3">
        <f>IF(Animals!X172="No","No",
IF(_xlfn.XLOOKUP(_xlfn.XLOOKUP(B172,'Base stats'!B:B,'Base stats'!E:E),Groups!A:A,Groups!BD:BD)=1,
MAX(MROUND(_xlfn.XLOOKUP(B172,'Base stats'!B:B,'Base stats'!BR:BR) * _xlfn.XLOOKUP(B172,'Base stats'!B:B,'Base stats'!BN:BN)^0.9 / 21 *_xlfn.XLOOKUP(B172,'Base stats'!B:B,'Base stats'!BU:BU),0.1),0.05),
MAX(MROUND(((MIN(10,_xlfn.XLOOKUP(B172,'Base stats'!B:B,'Base stats'!W:W)))^0.4*_xlfn.XLOOKUP(B172,'Base stats'!B:B,'Base stats'!BF:BF)^0.73)^0.6 *_xlfn.XLOOKUP(B172,'Base stats'!B:B,'Base stats'!BU:BU),0.1),0.05)
))</f>
        <v>41.1</v>
      </c>
      <c r="L172" s="11">
        <f>IF(K172="No","No",
MAX(0.01,MROUND(_xlfn.XLOOKUP(B172,'Base stats'!B:B,'Base stats'!BF:BF)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stats'!BR:BR)/10000,0.01))
))</f>
        <v>1.35</v>
      </c>
      <c r="N172" s="4">
        <f>IF(K172="No","No",
MROUND(
  _xlfn.XLOOKUP(B172,'Base stats'!B:B,'Base stats'!AZ:AZ)^0.25
  / (_xlfn.XLOOKUP(B172,'Base stats'!B:B,'Base stats'!BJ:BJ)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stats'!BT:BT),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stats'!BG:BG)^0.73)^0.6 *_xlfn.XLOOKUP(B172,'Base stats'!B:B,'Base stats'!BU:BU),0.1),0.05)
)</f>
        <v>21.3</v>
      </c>
      <c r="P172" s="11">
        <f>IF(O172="No","No",
MAX(0.01,MROUND(_xlfn.XLOOKUP(B172,'Base stats'!B:B,'Base stats'!BG:BG) * 0.01 * 2, 0.01))
)</f>
        <v>13.89</v>
      </c>
      <c r="Q172" s="5">
        <f>IF(O172="No","No",
MAX(0.01,MROUND(_xlfn.XLOOKUP(B172,'Base stats'!B:B,'Base stats'!BS:BS)/10000,0.01))
)</f>
        <v>0.27</v>
      </c>
      <c r="R172" s="4">
        <f>IF(O172="No","No",
MROUND(_xlfn.XLOOKUP(B172,'Base stats'!B:B,'Base stats'!AY:AY)^0.25
/((_xlfn.XLOOKUP(B172,'Base stats'!B:B,'Base stats'!BK:BK))*10)*_xlfn.XLOOKUP(_xlfn.XLOOKUP(B172,'Base stats'!B:B,'Base stats'!E:E),Groups!A:A,Groups!Z:Z)*150 + 0.5 + _xlfn.XLOOKUP(B172,'Base stats'!B:B,'Base stats'!BT:BT),
0.05))</f>
        <v>2.95</v>
      </c>
      <c r="S172" s="3" t="str">
        <f>IF(Animals!AI172="No","No",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MAX(MROUND(((MIN(12,_xlfn.XLOOKUP(B172,'Base stats'!B:B,'Base stats'!U:U)))^0.4*_xlfn.XLOOKUP(B172,'Base stats'!B:B,'Base stats'!BE:BE)^0.73)^0.6 * _xlfn.XLOOKUP(B172,'Base stats'!B:B,'Base stats'!BU:BU),0.1),0.05)
))</f>
        <v>No</v>
      </c>
      <c r="T172" s="11" t="str">
        <f>IF(S172="No","No",
MAX(0.01,MROUND(_xlfn.XLOOKUP(B172,'Base stats'!B:B,'Base stats'!BE:BE) * 0.01 * 2, 0.01))
)</f>
        <v>No</v>
      </c>
      <c r="U172" s="5" t="str">
        <f>IF(S172="No","No",IF(_xlfn.XLOOKUP(B172,'Base stats'!B:B,'Base stats'!U:U)="No","No",
MAX(0.01,MROUND(_xlfn.XLOOKUP(B172,'Base stats'!B:B,'Base stats'!BQ:BQ)/10000,0.01))
))</f>
        <v>No</v>
      </c>
      <c r="V172" s="4" t="str">
        <f>IF(S172="No","No",
MROUND(_xlfn.XLOOKUP(B172,'Base stats'!B:B,'Base stats'!BC:BC)^0.25
/((_xlfn.XLOOKUP(B172,'Base stats'!B:B,'Base stats'!BL:BL))*10)*_xlfn.XLOOKUP(_xlfn.XLOOKUP(B172,'Base stats'!B:B,'Base stats'!E:E),Groups!A:A,Groups!AE:AE)*150 + 0.5 + _xlfn.XLOOKUP(B172,'Base stats'!B:B,'Base stats'!BT:BT),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stats'!AN:AN)*_xlfn.XLOOKUP(_xlfn.XLOOKUP(B172,'Base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stats'!AN:AN)*0.01,2)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stats'!BP:BP) * (_xlfn.XLOOKUP(B173,'Base stats'!B:B,'Base stats'!AL:AL)*5%)^0.9 / 21,0.1),0.05)</f>
        <v>1.4000000000000001</v>
      </c>
      <c r="E173" s="11">
        <f>MAX(0.01,MROUND(_xlfn.XLOOKUP(B173,'Base stats'!B:B,'Base stats'!BD:BD) * 0.01 * 2, 0.01))</f>
        <v>1.1200000000000001</v>
      </c>
      <c r="F173" s="7">
        <f>MROUND(_xlfn.XLOOKUP(B173,'Base stats'!B:B,'Base stats'!BA:BA)^0.25 / (_xlfn.XLOOKUP(B173,'Base stats'!B:B,'Base stats'!BH:BH) * 10) * 150 + 0.5 + _xlfn.XLOOKUP(B173,'Base stats'!B:B,'Base stats'!BT:BT), 0.05)</f>
        <v>1.55</v>
      </c>
      <c r="G173" s="3" t="str">
        <f>IF(Animals!S173="No","No",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MAX(MROUND(((MIN(10,_xlfn.XLOOKUP(B173,'Base stats'!B:B,'Base stats'!U:U)))^0.4*_xlfn.XLOOKUP(B173,'Base stats'!B:B,'Base stats'!BE:BE)^0.73)^0.6 * _xlfn.XLOOKUP(B173,'Base stats'!B:B,'Base stats'!BU:BU),0.1),0.05)
))</f>
        <v>No</v>
      </c>
      <c r="H173" s="11" t="str">
        <f>IF(G173="No","No",
MAX(0.01,MROUND(_xlfn.XLOOKUP(B173,'Base stats'!B:B,'Base stats'!BE:BE) * 0.01 * 2, 0.01))
)</f>
        <v>No</v>
      </c>
      <c r="I173" s="11" t="str">
        <f>IF(G173="No","No",IF(_xlfn.XLOOKUP(B173,'Base stats'!B:B,'Base stats'!U:U)="No","No",
MAX(0.01,MROUND(_xlfn.XLOOKUP(B173,'Base stats'!B:B,'Base stats'!BQ:BQ)/10000,0.01))
))</f>
        <v>No</v>
      </c>
      <c r="J173" s="4" t="str">
        <f>IF(G173="No","No",
MROUND(_xlfn.XLOOKUP(B173,'Base stats'!B:B,'Base stats'!BB:BB)^0.25
/((_xlfn.XLOOKUP(B173,'Base stats'!B:B,'Base stats'!BI:BI))*10)*_xlfn.XLOOKUP(_xlfn.XLOOKUP(B173,'Base stats'!B:B,'Base stats'!E:E),Groups!A:A,Groups!Q:Q)*150 + 0.5 + _xlfn.XLOOKUP(B173,'Base stats'!B:B,'Base stats'!BT:BT),
0.05))</f>
        <v>No</v>
      </c>
      <c r="K173" s="3" t="str">
        <f>IF(Animals!X173="No","No",
IF(_xlfn.XLOOKUP(_xlfn.XLOOKUP(B173,'Base stats'!B:B,'Base stats'!E:E),Groups!A:A,Groups!BD:BD)=1,
MAX(MROUND(_xlfn.XLOOKUP(B173,'Base stats'!B:B,'Base stats'!BR:BR) * _xlfn.XLOOKUP(B173,'Base stats'!B:B,'Base stats'!BN:BN)^0.9 / 21 *_xlfn.XLOOKUP(B173,'Base stats'!B:B,'Base stats'!BU:BU),0.1),0.05),
MAX(MROUND(((MIN(10,_xlfn.XLOOKUP(B173,'Base stats'!B:B,'Base stats'!W:W)))^0.4*_xlfn.XLOOKUP(B173,'Base stats'!B:B,'Base stats'!BF:BF)^0.73)^0.6 *_xlfn.XLOOKUP(B173,'Base stats'!B:B,'Base stats'!BU:BU),0.1),0.05)
))</f>
        <v>No</v>
      </c>
      <c r="L173" s="11" t="str">
        <f>IF(K173="No","No",
MAX(0.01,MROUND(_xlfn.XLOOKUP(B173,'Base stats'!B:B,'Base stats'!BF:BF)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stats'!BR:BR)/10000,0.01))
))</f>
        <v>No</v>
      </c>
      <c r="N173" s="4" t="str">
        <f>IF(K173="No","No",
MROUND(
  _xlfn.XLOOKUP(B173,'Base stats'!B:B,'Base stats'!AZ:AZ)^0.25
  / (_xlfn.XLOOKUP(B173,'Base stats'!B:B,'Base stats'!BJ:BJ)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stats'!BT:BT),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stats'!BG:BG)^0.73)^0.6 *_xlfn.XLOOKUP(B173,'Base stats'!B:B,'Base stats'!BU:BU),0.1),0.05)
)</f>
        <v>6.4</v>
      </c>
      <c r="P173" s="11">
        <f>IF(O173="No","No",
MAX(0.01,MROUND(_xlfn.XLOOKUP(B173,'Base stats'!B:B,'Base stats'!BG:BG) * 0.01 * 2, 0.01))
)</f>
        <v>0.77</v>
      </c>
      <c r="Q173" s="5">
        <f>IF(O173="No","No",
MAX(0.01,MROUND(_xlfn.XLOOKUP(B173,'Base stats'!B:B,'Base stats'!BS:BS)/10000,0.01))
)</f>
        <v>0.06</v>
      </c>
      <c r="R173" s="4">
        <f>IF(O173="No","No",
MROUND(_xlfn.XLOOKUP(B173,'Base stats'!B:B,'Base stats'!AY:AY)^0.25
/((_xlfn.XLOOKUP(B173,'Base stats'!B:B,'Base stats'!BK:BK))*10)*_xlfn.XLOOKUP(_xlfn.XLOOKUP(B173,'Base stats'!B:B,'Base stats'!E:E),Groups!A:A,Groups!Z:Z)*150 + 0.5 + _xlfn.XLOOKUP(B173,'Base stats'!B:B,'Base stats'!BT:BT),
0.05))</f>
        <v>1.9000000000000001</v>
      </c>
      <c r="S173" s="3">
        <f>IF(Animals!AI173="No","No",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MAX(MROUND(((MIN(12,_xlfn.XLOOKUP(B173,'Base stats'!B:B,'Base stats'!U:U)))^0.4*_xlfn.XLOOKUP(B173,'Base stats'!B:B,'Base stats'!BE:BE)^0.73)^0.6 * _xlfn.XLOOKUP(B173,'Base stats'!B:B,'Base stats'!BU:BU),0.1),0.05)
))</f>
        <v>3.3000000000000003</v>
      </c>
      <c r="T173" s="11">
        <f>IF(S173="No","No",
MAX(0.01,MROUND(_xlfn.XLOOKUP(B173,'Base stats'!B:B,'Base stats'!BE:BE) * 0.01 * 2, 0.01))
)</f>
        <v>1.49</v>
      </c>
      <c r="U173" s="5" t="str">
        <f>IF(S173="No","No",IF(_xlfn.XLOOKUP(B173,'Base stats'!B:B,'Base stats'!U:U)="No","No",
MAX(0.01,MROUND(_xlfn.XLOOKUP(B173,'Base stats'!B:B,'Base stats'!BQ:BQ)/10000,0.01))
))</f>
        <v>No</v>
      </c>
      <c r="V173" s="4">
        <f>IF(S173="No","No",
MROUND(_xlfn.XLOOKUP(B173,'Base stats'!B:B,'Base stats'!BC:BC)^0.25
/((_xlfn.XLOOKUP(B173,'Base stats'!B:B,'Base stats'!BL:BL))*10)*_xlfn.XLOOKUP(_xlfn.XLOOKUP(B173,'Base stats'!B:B,'Base stats'!E:E),Groups!A:A,Groups!AE:AE)*150 + 0.5 + _xlfn.XLOOKUP(B173,'Base stats'!B:B,'Base stats'!BT:BT),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stats'!AN:AN)*_xlfn.XLOOKUP(_xlfn.XLOOKUP(B173,'Base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stats'!AN:AN)*0.01,2)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stats'!BP:BP) * (_xlfn.XLOOKUP(B174,'Base stats'!B:B,'Base stats'!AL:AL)*5%)^0.9 / 21,0.1),0.05)</f>
        <v>4.5</v>
      </c>
      <c r="E174" s="11">
        <f>MAX(0.01,MROUND(_xlfn.XLOOKUP(B174,'Base stats'!B:B,'Base stats'!BD:BD) * 0.01 * 2, 0.01))</f>
        <v>3.92</v>
      </c>
      <c r="F174" s="7">
        <f>MROUND(_xlfn.XLOOKUP(B174,'Base stats'!B:B,'Base stats'!BA:BA)^0.25 / (_xlfn.XLOOKUP(B174,'Base stats'!B:B,'Base stats'!BH:BH) * 10) * 150 + 0.5 + _xlfn.XLOOKUP(B174,'Base stats'!B:B,'Base stats'!BT:BT), 0.05)</f>
        <v>1.75</v>
      </c>
      <c r="G174" s="3">
        <f>IF(Animals!S174="No","No",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MAX(MROUND(((MIN(10,_xlfn.XLOOKUP(B174,'Base stats'!B:B,'Base stats'!U:U)))^0.4*_xlfn.XLOOKUP(B174,'Base stats'!B:B,'Base stats'!BE:BE)^0.73)^0.6 * _xlfn.XLOOKUP(B174,'Base stats'!B:B,'Base stats'!BU:BU),0.1),0.05)
))</f>
        <v>17</v>
      </c>
      <c r="H174" s="11">
        <f>IF(G174="No","No",
MAX(0.01,MROUND(_xlfn.XLOOKUP(B174,'Base stats'!B:B,'Base stats'!BE:BE) * 0.01 * 2, 0.01))
)</f>
        <v>4.8100000000000005</v>
      </c>
      <c r="I174" s="11">
        <f>IF(G174="No","No",IF(_xlfn.XLOOKUP(B174,'Base stats'!B:B,'Base stats'!U:U)="No","No",
MAX(0.01,MROUND(_xlfn.XLOOKUP(B174,'Base stats'!B:B,'Base stats'!BQ:BQ)/10000,0.01))
))</f>
        <v>0.21</v>
      </c>
      <c r="J174" s="4">
        <f>IF(G174="No","No",
MROUND(_xlfn.XLOOKUP(B174,'Base stats'!B:B,'Base stats'!BB:BB)^0.25
/((_xlfn.XLOOKUP(B174,'Base stats'!B:B,'Base stats'!BI:BI))*10)*_xlfn.XLOOKUP(_xlfn.XLOOKUP(B174,'Base stats'!B:B,'Base stats'!E:E),Groups!A:A,Groups!Q:Q)*150 + 0.5 + _xlfn.XLOOKUP(B174,'Base stats'!B:B,'Base stats'!BT:BT),
0.05))</f>
        <v>3.1</v>
      </c>
      <c r="K174" s="3" t="str">
        <f>IF(Animals!X174="No","No",
IF(_xlfn.XLOOKUP(_xlfn.XLOOKUP(B174,'Base stats'!B:B,'Base stats'!E:E),Groups!A:A,Groups!BD:BD)=1,
MAX(MROUND(_xlfn.XLOOKUP(B174,'Base stats'!B:B,'Base stats'!BR:BR) * _xlfn.XLOOKUP(B174,'Base stats'!B:B,'Base stats'!BN:BN)^0.9 / 21 *_xlfn.XLOOKUP(B174,'Base stats'!B:B,'Base stats'!BU:BU),0.1),0.05),
MAX(MROUND(((MIN(10,_xlfn.XLOOKUP(B174,'Base stats'!B:B,'Base stats'!W:W)))^0.4*_xlfn.XLOOKUP(B174,'Base stats'!B:B,'Base stats'!BF:BF)^0.73)^0.6 *_xlfn.XLOOKUP(B174,'Base stats'!B:B,'Base stats'!BU:BU),0.1),0.05)
))</f>
        <v>No</v>
      </c>
      <c r="L174" s="11" t="str">
        <f>IF(K174="No","No",
MAX(0.01,MROUND(_xlfn.XLOOKUP(B174,'Base stats'!B:B,'Base stats'!BF:BF)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stats'!BR:BR)/10000,0.01))
))</f>
        <v>No</v>
      </c>
      <c r="N174" s="4" t="str">
        <f>IF(K174="No","No",
MROUND(
  _xlfn.XLOOKUP(B174,'Base stats'!B:B,'Base stats'!AZ:AZ)^0.25
  / (_xlfn.XLOOKUP(B174,'Base stats'!B:B,'Base stats'!BJ:BJ)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stats'!BT:BT),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stats'!BG:BG)^0.73)^0.6 *_xlfn.XLOOKUP(B174,'Base stats'!B:B,'Base stats'!BU:BU),0.1),0.05)
)</f>
        <v>5.6000000000000005</v>
      </c>
      <c r="P174" s="11">
        <f>IF(O174="No","No",
MAX(0.01,MROUND(_xlfn.XLOOKUP(B174,'Base stats'!B:B,'Base stats'!BG:BG) * 0.01 * 2, 0.01))
)</f>
        <v>0.6</v>
      </c>
      <c r="Q174" s="5">
        <f>IF(O174="No","No",
MAX(0.01,MROUND(_xlfn.XLOOKUP(B174,'Base stats'!B:B,'Base stats'!BS:BS)/10000,0.01))
)</f>
        <v>0.03</v>
      </c>
      <c r="R174" s="4">
        <f>IF(O174="No","No",
MROUND(_xlfn.XLOOKUP(B174,'Base stats'!B:B,'Base stats'!AY:AY)^0.25
/((_xlfn.XLOOKUP(B174,'Base stats'!B:B,'Base stats'!BK:BK))*10)*_xlfn.XLOOKUP(_xlfn.XLOOKUP(B174,'Base stats'!B:B,'Base stats'!E:E),Groups!A:A,Groups!Z:Z)*150 + 0.5 + _xlfn.XLOOKUP(B174,'Base stats'!B:B,'Base stats'!BT:BT),
0.05))</f>
        <v>2.35</v>
      </c>
      <c r="S174" s="3" t="str">
        <f>IF(Animals!AI174="No","No",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MAX(MROUND(((MIN(12,_xlfn.XLOOKUP(B174,'Base stats'!B:B,'Base stats'!U:U)))^0.4*_xlfn.XLOOKUP(B174,'Base stats'!B:B,'Base stats'!BE:BE)^0.73)^0.6 * _xlfn.XLOOKUP(B174,'Base stats'!B:B,'Base stats'!BU:BU),0.1),0.05)
))</f>
        <v>No</v>
      </c>
      <c r="T174" s="11" t="str">
        <f>IF(S174="No","No",
MAX(0.01,MROUND(_xlfn.XLOOKUP(B174,'Base stats'!B:B,'Base stats'!BE:BE) * 0.01 * 2, 0.01))
)</f>
        <v>No</v>
      </c>
      <c r="U174" s="5" t="str">
        <f>IF(S174="No","No",IF(_xlfn.XLOOKUP(B174,'Base stats'!B:B,'Base stats'!U:U)="No","No",
MAX(0.01,MROUND(_xlfn.XLOOKUP(B174,'Base stats'!B:B,'Base stats'!BQ:BQ)/10000,0.01))
))</f>
        <v>No</v>
      </c>
      <c r="V174" s="4" t="str">
        <f>IF(S174="No","No",
MROUND(_xlfn.XLOOKUP(B174,'Base stats'!B:B,'Base stats'!BC:BC)^0.25
/((_xlfn.XLOOKUP(B174,'Base stats'!B:B,'Base stats'!BL:BL))*10)*_xlfn.XLOOKUP(_xlfn.XLOOKUP(B174,'Base stats'!B:B,'Base stats'!E:E),Groups!A:A,Groups!AE:AE)*150 + 0.5 + _xlfn.XLOOKUP(B174,'Base stats'!B:B,'Base stats'!BT:BT),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stats'!AN:AN)*_xlfn.XLOOKUP(_xlfn.XLOOKUP(B174,'Base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stats'!AN:AN)*0.01,2)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stats'!BP:BP) * (_xlfn.XLOOKUP(B175,'Base stats'!B:B,'Base stats'!AL:AL)*5%)^0.9 / 21,0.1),0.05)</f>
        <v>7.3000000000000007</v>
      </c>
      <c r="E175" s="11">
        <f>MAX(0.01,MROUND(_xlfn.XLOOKUP(B175,'Base stats'!B:B,'Base stats'!BD:BD) * 0.01 * 2, 0.01))</f>
        <v>6.59</v>
      </c>
      <c r="F175" s="7">
        <f>MROUND(_xlfn.XLOOKUP(B175,'Base stats'!B:B,'Base stats'!BA:BA)^0.25 / (_xlfn.XLOOKUP(B175,'Base stats'!B:B,'Base stats'!BH:BH) * 10) * 150 + 0.5 + _xlfn.XLOOKUP(B175,'Base stats'!B:B,'Base stats'!BT:BT), 0.05)</f>
        <v>1.8</v>
      </c>
      <c r="G175" s="3">
        <f>IF(Animals!S175="No","No",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MAX(MROUND(((MIN(10,_xlfn.XLOOKUP(B175,'Base stats'!B:B,'Base stats'!U:U)))^0.4*_xlfn.XLOOKUP(B175,'Base stats'!B:B,'Base stats'!BE:BE)^0.73)^0.6 * _xlfn.XLOOKUP(B175,'Base stats'!B:B,'Base stats'!BU:BU),0.1),0.05)
))</f>
        <v>12.600000000000001</v>
      </c>
      <c r="H175" s="11">
        <f>IF(G175="No","No",
MAX(0.01,MROUND(_xlfn.XLOOKUP(B175,'Base stats'!B:B,'Base stats'!BE:BE) * 0.01 * 2, 0.01))
)</f>
        <v>7.83</v>
      </c>
      <c r="I175" s="11" t="str">
        <f>IF(G175="No","No",IF(_xlfn.XLOOKUP(B175,'Base stats'!B:B,'Base stats'!U:U)="No","No",
MAX(0.01,MROUND(_xlfn.XLOOKUP(B175,'Base stats'!B:B,'Base stats'!BQ:BQ)/10000,0.01))
))</f>
        <v>No</v>
      </c>
      <c r="J175" s="4">
        <f>IF(G175="No","No",
MROUND(_xlfn.XLOOKUP(B175,'Base stats'!B:B,'Base stats'!BB:BB)^0.25
/((_xlfn.XLOOKUP(B175,'Base stats'!B:B,'Base stats'!BI:BI))*10)*_xlfn.XLOOKUP(_xlfn.XLOOKUP(B175,'Base stats'!B:B,'Base stats'!E:E),Groups!A:A,Groups!Q:Q)*150 + 0.5 + _xlfn.XLOOKUP(B175,'Base stats'!B:B,'Base stats'!BT:BT),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stats'!BR:BR) * _xlfn.XLOOKUP(B175,'Base stats'!B:B,'Base stats'!BN:BN)^0.9 / 21 *_xlfn.XLOOKUP(B175,'Base stats'!B:B,'Base stats'!BU:BU),0.1),0.05),
MAX(MROUND(((MIN(10,_xlfn.XLOOKUP(B175,'Base stats'!B:B,'Base stats'!W:W)))^0.4*_xlfn.XLOOKUP(B175,'Base stats'!B:B,'Base stats'!BF:BF)^0.73)^0.6 *_xlfn.XLOOKUP(B175,'Base stats'!B:B,'Base stats'!BU:BU),0.1),0.05)
))</f>
        <v>No</v>
      </c>
      <c r="L175" s="11" t="str">
        <f>IF(K175="No","No",
MAX(0.01,MROUND(_xlfn.XLOOKUP(B175,'Base stats'!B:B,'Base stats'!BF:BF)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stats'!BR:BR)/10000,0.01))
))</f>
        <v>No</v>
      </c>
      <c r="N175" s="4" t="str">
        <f>IF(K175="No","No",
MROUND(
  _xlfn.XLOOKUP(B175,'Base stats'!B:B,'Base stats'!AZ:AZ)^0.25
  / (_xlfn.XLOOKUP(B175,'Base stats'!B:B,'Base stats'!BJ:BJ)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stats'!BT:BT),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stats'!BG:BG)^0.73)^0.6 *_xlfn.XLOOKUP(B175,'Base stats'!B:B,'Base stats'!BU:BU),0.1),0.05)
)</f>
        <v>12.600000000000001</v>
      </c>
      <c r="P175" s="11">
        <f>IF(O175="No","No",
MAX(0.01,MROUND(_xlfn.XLOOKUP(B175,'Base stats'!B:B,'Base stats'!BG:BG) * 0.01 * 2, 0.01))
)</f>
        <v>5.21</v>
      </c>
      <c r="Q175" s="5">
        <f>IF(O175="No","No",
MAX(0.01,MROUND(_xlfn.XLOOKUP(B175,'Base stats'!B:B,'Base stats'!BS:BS)/10000,0.01))
)</f>
        <v>0.12</v>
      </c>
      <c r="R175" s="4">
        <f>IF(O175="No","No",
MROUND(_xlfn.XLOOKUP(B175,'Base stats'!B:B,'Base stats'!AY:AY)^0.25
/((_xlfn.XLOOKUP(B175,'Base stats'!B:B,'Base stats'!BK:BK))*10)*_xlfn.XLOOKUP(_xlfn.XLOOKUP(B175,'Base stats'!B:B,'Base stats'!E:E),Groups!A:A,Groups!Z:Z)*150 + 0.5 + _xlfn.XLOOKUP(B175,'Base stats'!B:B,'Base stats'!BT:BT),
0.05))</f>
        <v>2.75</v>
      </c>
      <c r="S175" s="3" t="str">
        <f>IF(Animals!AI175="No","No",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MAX(MROUND(((MIN(12,_xlfn.XLOOKUP(B175,'Base stats'!B:B,'Base stats'!U:U)))^0.4*_xlfn.XLOOKUP(B175,'Base stats'!B:B,'Base stats'!BE:BE)^0.73)^0.6 * _xlfn.XLOOKUP(B175,'Base stats'!B:B,'Base stats'!BU:BU),0.1),0.05)
))</f>
        <v>No</v>
      </c>
      <c r="T175" s="11" t="str">
        <f>IF(S175="No","No",
MAX(0.01,MROUND(_xlfn.XLOOKUP(B175,'Base stats'!B:B,'Base stats'!BE:BE) * 0.01 * 2, 0.01))
)</f>
        <v>No</v>
      </c>
      <c r="U175" s="5" t="str">
        <f>IF(S175="No","No",IF(_xlfn.XLOOKUP(B175,'Base stats'!B:B,'Base stats'!U:U)="No","No",
MAX(0.01,MROUND(_xlfn.XLOOKUP(B175,'Base stats'!B:B,'Base stats'!BQ:BQ)/10000,0.01))
))</f>
        <v>No</v>
      </c>
      <c r="V175" s="4" t="str">
        <f>IF(S175="No","No",
MROUND(_xlfn.XLOOKUP(B175,'Base stats'!B:B,'Base stats'!BC:BC)^0.25
/((_xlfn.XLOOKUP(B175,'Base stats'!B:B,'Base stats'!BL:BL))*10)*_xlfn.XLOOKUP(_xlfn.XLOOKUP(B175,'Base stats'!B:B,'Base stats'!E:E),Groups!A:A,Groups!AE:AE)*150 + 0.5 + _xlfn.XLOOKUP(B175,'Base stats'!B:B,'Base stats'!BT:BT),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stats'!AN:AN)*_xlfn.XLOOKUP(_xlfn.XLOOKUP(B175,'Base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stats'!AN:AN)*0.01,2)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stats'!BP:BP) * (_xlfn.XLOOKUP(B176,'Base stats'!B:B,'Base stats'!AL:AL)*5%)^0.9 / 21,0.1),0.05)</f>
        <v>0.2</v>
      </c>
      <c r="E176" s="11">
        <f>MAX(0.01,MROUND(_xlfn.XLOOKUP(B176,'Base stats'!B:B,'Base stats'!BD:BD) * 0.01 * 2, 0.01))</f>
        <v>0.15</v>
      </c>
      <c r="F176" s="7">
        <f>MROUND(_xlfn.XLOOKUP(B176,'Base stats'!B:B,'Base stats'!BA:BA)^0.25 / (_xlfn.XLOOKUP(B176,'Base stats'!B:B,'Base stats'!BH:BH) * 10) * 150 + 0.5 + _xlfn.XLOOKUP(B176,'Base stats'!B:B,'Base stats'!BT:BT), 0.05)</f>
        <v>1.4000000000000001</v>
      </c>
      <c r="G176" s="3" t="str">
        <f>IF(Animals!S176="No","No",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MAX(MROUND(((MIN(10,_xlfn.XLOOKUP(B176,'Base stats'!B:B,'Base stats'!U:U)))^0.4*_xlfn.XLOOKUP(B176,'Base stats'!B:B,'Base stats'!BE:BE)^0.73)^0.6 * _xlfn.XLOOKUP(B176,'Base stats'!B:B,'Base stats'!BU:BU),0.1),0.05)
))</f>
        <v>No</v>
      </c>
      <c r="H176" s="11" t="str">
        <f>IF(G176="No","No",
MAX(0.01,MROUND(_xlfn.XLOOKUP(B176,'Base stats'!B:B,'Base stats'!BE:BE) * 0.01 * 2, 0.01))
)</f>
        <v>No</v>
      </c>
      <c r="I176" s="11" t="str">
        <f>IF(G176="No","No",IF(_xlfn.XLOOKUP(B176,'Base stats'!B:B,'Base stats'!U:U)="No","No",
MAX(0.01,MROUND(_xlfn.XLOOKUP(B176,'Base stats'!B:B,'Base stats'!BQ:BQ)/10000,0.01))
))</f>
        <v>No</v>
      </c>
      <c r="J176" s="4" t="str">
        <f>IF(G176="No","No",
MROUND(_xlfn.XLOOKUP(B176,'Base stats'!B:B,'Base stats'!BB:BB)^0.25
/((_xlfn.XLOOKUP(B176,'Base stats'!B:B,'Base stats'!BI:BI))*10)*_xlfn.XLOOKUP(_xlfn.XLOOKUP(B176,'Base stats'!B:B,'Base stats'!E:E),Groups!A:A,Groups!Q:Q)*150 + 0.5 + _xlfn.XLOOKUP(B176,'Base stats'!B:B,'Base stats'!BT:BT),
0.05))</f>
        <v>No</v>
      </c>
      <c r="K176" s="3" t="str">
        <f>IF(Animals!X176="No","No",
IF(_xlfn.XLOOKUP(_xlfn.XLOOKUP(B176,'Base stats'!B:B,'Base stats'!E:E),Groups!A:A,Groups!BD:BD)=1,
MAX(MROUND(_xlfn.XLOOKUP(B176,'Base stats'!B:B,'Base stats'!BR:BR) * _xlfn.XLOOKUP(B176,'Base stats'!B:B,'Base stats'!BN:BN)^0.9 / 21 *_xlfn.XLOOKUP(B176,'Base stats'!B:B,'Base stats'!BU:BU),0.1),0.05),
MAX(MROUND(((MIN(10,_xlfn.XLOOKUP(B176,'Base stats'!B:B,'Base stats'!W:W)))^0.4*_xlfn.XLOOKUP(B176,'Base stats'!B:B,'Base stats'!BF:BF)^0.73)^0.6 *_xlfn.XLOOKUP(B176,'Base stats'!B:B,'Base stats'!BU:BU),0.1),0.05)
))</f>
        <v>No</v>
      </c>
      <c r="L176" s="11" t="str">
        <f>IF(K176="No","No",
MAX(0.01,MROUND(_xlfn.XLOOKUP(B176,'Base stats'!B:B,'Base stats'!BF:BF)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stats'!BR:BR)/10000,0.01))
))</f>
        <v>No</v>
      </c>
      <c r="N176" s="4" t="str">
        <f>IF(K176="No","No",
MROUND(
  _xlfn.XLOOKUP(B176,'Base stats'!B:B,'Base stats'!AZ:AZ)^0.25
  / (_xlfn.XLOOKUP(B176,'Base stats'!B:B,'Base stats'!BJ:BJ)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stats'!BT:BT),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stats'!BG:BG)^0.73)^0.6 *_xlfn.XLOOKUP(B176,'Base stats'!B:B,'Base stats'!BU:BU),0.1),0.05)
)</f>
        <v>1.8</v>
      </c>
      <c r="P176" s="11">
        <f>IF(O176="No","No",
MAX(0.01,MROUND(_xlfn.XLOOKUP(B176,'Base stats'!B:B,'Base stats'!BG:BG) * 0.01 * 2, 0.01))
)</f>
        <v>0.04</v>
      </c>
      <c r="Q176" s="5">
        <f>IF(O176="No","No",
MAX(0.01,MROUND(_xlfn.XLOOKUP(B176,'Base stats'!B:B,'Base stats'!BS:BS)/10000,0.01))
)</f>
        <v>0.01</v>
      </c>
      <c r="R176" s="4">
        <f>IF(O176="No","No",
MROUND(_xlfn.XLOOKUP(B176,'Base stats'!B:B,'Base stats'!AY:AY)^0.25
/((_xlfn.XLOOKUP(B176,'Base stats'!B:B,'Base stats'!BK:BK))*10)*_xlfn.XLOOKUP(_xlfn.XLOOKUP(B176,'Base stats'!B:B,'Base stats'!E:E),Groups!A:A,Groups!Z:Z)*150 + 0.5 + _xlfn.XLOOKUP(B176,'Base stats'!B:B,'Base stats'!BT:BT),
0.05))</f>
        <v>1.9000000000000001</v>
      </c>
      <c r="S176" s="3" t="str">
        <f>IF(Animals!AI176="No","No",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MAX(MROUND(((MIN(12,_xlfn.XLOOKUP(B176,'Base stats'!B:B,'Base stats'!U:U)))^0.4*_xlfn.XLOOKUP(B176,'Base stats'!B:B,'Base stats'!BE:BE)^0.73)^0.6 * _xlfn.XLOOKUP(B176,'Base stats'!B:B,'Base stats'!BU:BU),0.1),0.05)
))</f>
        <v>No</v>
      </c>
      <c r="T176" s="11" t="str">
        <f>IF(S176="No","No",
MAX(0.01,MROUND(_xlfn.XLOOKUP(B176,'Base stats'!B:B,'Base stats'!BE:BE) * 0.01 * 2, 0.01))
)</f>
        <v>No</v>
      </c>
      <c r="U176" s="5" t="str">
        <f>IF(S176="No","No",IF(_xlfn.XLOOKUP(B176,'Base stats'!B:B,'Base stats'!U:U)="No","No",
MAX(0.01,MROUND(_xlfn.XLOOKUP(B176,'Base stats'!B:B,'Base stats'!BQ:BQ)/10000,0.01))
))</f>
        <v>No</v>
      </c>
      <c r="V176" s="4" t="str">
        <f>IF(S176="No","No",
MROUND(_xlfn.XLOOKUP(B176,'Base stats'!B:B,'Base stats'!BC:BC)^0.25
/((_xlfn.XLOOKUP(B176,'Base stats'!B:B,'Base stats'!BL:BL))*10)*_xlfn.XLOOKUP(_xlfn.XLOOKUP(B176,'Base stats'!B:B,'Base stats'!E:E),Groups!A:A,Groups!AE:AE)*150 + 0.5 + _xlfn.XLOOKUP(B176,'Base stats'!B:B,'Base stats'!BT:BT),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stats'!AN:AN)*_xlfn.XLOOKUP(_xlfn.XLOOKUP(B176,'Base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stats'!AN:AN)*0.01,2)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stats'!BP:BP) * (_xlfn.XLOOKUP(B177,'Base stats'!B:B,'Base stats'!AL:AL)*5%)^0.9 / 21,0.1),0.05)</f>
        <v>0.30000000000000004</v>
      </c>
      <c r="E177" s="11">
        <f>MAX(0.01,MROUND(_xlfn.XLOOKUP(B177,'Base stats'!B:B,'Base stats'!BD:BD) * 0.01 * 2, 0.01))</f>
        <v>0.2</v>
      </c>
      <c r="F177" s="7">
        <f>MROUND(_xlfn.XLOOKUP(B177,'Base stats'!B:B,'Base stats'!BA:BA)^0.25 / (_xlfn.XLOOKUP(B177,'Base stats'!B:B,'Base stats'!BH:BH) * 10) * 150 + 0.5 + _xlfn.XLOOKUP(B177,'Base stats'!B:B,'Base stats'!BT:BT), 0.05)</f>
        <v>1.4500000000000002</v>
      </c>
      <c r="G177" s="3" t="str">
        <f>IF(Animals!S177="No","No",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MAX(MROUND(((MIN(10,_xlfn.XLOOKUP(B177,'Base stats'!B:B,'Base stats'!U:U)))^0.4*_xlfn.XLOOKUP(B177,'Base stats'!B:B,'Base stats'!BE:BE)^0.73)^0.6 * _xlfn.XLOOKUP(B177,'Base stats'!B:B,'Base stats'!BU:BU),0.1),0.05)
))</f>
        <v>No</v>
      </c>
      <c r="H177" s="11" t="str">
        <f>IF(G177="No","No",
MAX(0.01,MROUND(_xlfn.XLOOKUP(B177,'Base stats'!B:B,'Base stats'!BE:BE) * 0.01 * 2, 0.01))
)</f>
        <v>No</v>
      </c>
      <c r="I177" s="11" t="str">
        <f>IF(G177="No","No",IF(_xlfn.XLOOKUP(B177,'Base stats'!B:B,'Base stats'!U:U)="No","No",
MAX(0.01,MROUND(_xlfn.XLOOKUP(B177,'Base stats'!B:B,'Base stats'!BQ:BQ)/10000,0.01))
))</f>
        <v>No</v>
      </c>
      <c r="J177" s="4" t="str">
        <f>IF(G177="No","No",
MROUND(_xlfn.XLOOKUP(B177,'Base stats'!B:B,'Base stats'!BB:BB)^0.25
/((_xlfn.XLOOKUP(B177,'Base stats'!B:B,'Base stats'!BI:BI))*10)*_xlfn.XLOOKUP(_xlfn.XLOOKUP(B177,'Base stats'!B:B,'Base stats'!E:E),Groups!A:A,Groups!Q:Q)*150 + 0.5 + _xlfn.XLOOKUP(B177,'Base stats'!B:B,'Base stats'!BT:BT),
0.05))</f>
        <v>No</v>
      </c>
      <c r="K177" s="3" t="str">
        <f>IF(Animals!X177="No","No",
IF(_xlfn.XLOOKUP(_xlfn.XLOOKUP(B177,'Base stats'!B:B,'Base stats'!E:E),Groups!A:A,Groups!BD:BD)=1,
MAX(MROUND(_xlfn.XLOOKUP(B177,'Base stats'!B:B,'Base stats'!BR:BR) * _xlfn.XLOOKUP(B177,'Base stats'!B:B,'Base stats'!BN:BN)^0.9 / 21 *_xlfn.XLOOKUP(B177,'Base stats'!B:B,'Base stats'!BU:BU),0.1),0.05),
MAX(MROUND(((MIN(10,_xlfn.XLOOKUP(B177,'Base stats'!B:B,'Base stats'!W:W)))^0.4*_xlfn.XLOOKUP(B177,'Base stats'!B:B,'Base stats'!BF:BF)^0.73)^0.6 *_xlfn.XLOOKUP(B177,'Base stats'!B:B,'Base stats'!BU:BU),0.1),0.05)
))</f>
        <v>No</v>
      </c>
      <c r="L177" s="11" t="str">
        <f>IF(K177="No","No",
MAX(0.01,MROUND(_xlfn.XLOOKUP(B177,'Base stats'!B:B,'Base stats'!BF:BF)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stats'!BR:BR)/10000,0.01))
))</f>
        <v>No</v>
      </c>
      <c r="N177" s="4" t="str">
        <f>IF(K177="No","No",
MROUND(
  _xlfn.XLOOKUP(B177,'Base stats'!B:B,'Base stats'!AZ:AZ)^0.25
  / (_xlfn.XLOOKUP(B177,'Base stats'!B:B,'Base stats'!BJ:BJ)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stats'!BT:BT),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stats'!BG:BG)^0.73)^0.6 *_xlfn.XLOOKUP(B177,'Base stats'!B:B,'Base stats'!BU:BU),0.1),0.05)
)</f>
        <v>3.8000000000000003</v>
      </c>
      <c r="P177" s="11">
        <f>IF(O177="No","No",
MAX(0.01,MROUND(_xlfn.XLOOKUP(B177,'Base stats'!B:B,'Base stats'!BG:BG) * 0.01 * 2, 0.01))
)</f>
        <v>0.32</v>
      </c>
      <c r="Q177" s="5">
        <f>IF(O177="No","No",
MAX(0.01,MROUND(_xlfn.XLOOKUP(B177,'Base stats'!B:B,'Base stats'!BS:BS)/10000,0.01))
)</f>
        <v>0.05</v>
      </c>
      <c r="R177" s="4">
        <f>IF(O177="No","No",
MROUND(_xlfn.XLOOKUP(B177,'Base stats'!B:B,'Base stats'!AY:AY)^0.25
/((_xlfn.XLOOKUP(B177,'Base stats'!B:B,'Base stats'!BK:BK))*10)*_xlfn.XLOOKUP(_xlfn.XLOOKUP(B177,'Base stats'!B:B,'Base stats'!E:E),Groups!A:A,Groups!Z:Z)*150 + 0.5 + _xlfn.XLOOKUP(B177,'Base stats'!B:B,'Base stats'!BT:BT),
0.05))</f>
        <v>1.75</v>
      </c>
      <c r="S177" s="3">
        <f>IF(Animals!AI177="No","No",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MAX(MROUND(((MIN(12,_xlfn.XLOOKUP(B177,'Base stats'!B:B,'Base stats'!U:U)))^0.4*_xlfn.XLOOKUP(B177,'Base stats'!B:B,'Base stats'!BE:BE)^0.73)^0.6 * _xlfn.XLOOKUP(B177,'Base stats'!B:B,'Base stats'!BU:BU),0.1),0.05)
))</f>
        <v>4.1000000000000005</v>
      </c>
      <c r="T177" s="11">
        <f>IF(S177="No","No",
MAX(0.01,MROUND(_xlfn.XLOOKUP(B177,'Base stats'!B:B,'Base stats'!BE:BE) * 0.01 * 2, 0.01))
)</f>
        <v>0.3</v>
      </c>
      <c r="U177" s="5">
        <f>IF(S177="No","No",IF(_xlfn.XLOOKUP(B177,'Base stats'!B:B,'Base stats'!U:U)="No","No",
MAX(0.01,MROUND(_xlfn.XLOOKUP(B177,'Base stats'!B:B,'Base stats'!BQ:BQ)/10000,0.01))
))</f>
        <v>0.05</v>
      </c>
      <c r="V177" s="4">
        <f>IF(S177="No","No",
MROUND(_xlfn.XLOOKUP(B177,'Base stats'!B:B,'Base stats'!BC:BC)^0.25
/((_xlfn.XLOOKUP(B177,'Base stats'!B:B,'Base stats'!BL:BL))*10)*_xlfn.XLOOKUP(_xlfn.XLOOKUP(B177,'Base stats'!B:B,'Base stats'!E:E),Groups!A:A,Groups!AE:AE)*150 + 0.5 + _xlfn.XLOOKUP(B177,'Base stats'!B:B,'Base stats'!BT:BT),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stats'!AN:AN)*_xlfn.XLOOKUP(_xlfn.XLOOKUP(B177,'Base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stats'!AN:AN)*0.01,2)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stats'!BP:BP) * (_xlfn.XLOOKUP(B178,'Base stats'!B:B,'Base stats'!AL:AL)*5%)^0.9 / 21,0.1),0.05)</f>
        <v>0.70000000000000007</v>
      </c>
      <c r="E178" s="11">
        <f>MAX(0.01,MROUND(_xlfn.XLOOKUP(B178,'Base stats'!B:B,'Base stats'!BD:BD) * 0.01 * 2, 0.01))</f>
        <v>0.51</v>
      </c>
      <c r="F178" s="7">
        <f>MROUND(_xlfn.XLOOKUP(B178,'Base stats'!B:B,'Base stats'!BA:BA)^0.25 / (_xlfn.XLOOKUP(B178,'Base stats'!B:B,'Base stats'!BH:BH) * 10) * 150 + 0.5 + _xlfn.XLOOKUP(B178,'Base stats'!B:B,'Base stats'!BT:BT), 0.05)</f>
        <v>1.6</v>
      </c>
      <c r="G178" s="3" t="str">
        <f>IF(Animals!S178="No","No",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MAX(MROUND(((MIN(10,_xlfn.XLOOKUP(B178,'Base stats'!B:B,'Base stats'!U:U)))^0.4*_xlfn.XLOOKUP(B178,'Base stats'!B:B,'Base stats'!BE:BE)^0.73)^0.6 * _xlfn.XLOOKUP(B178,'Base stats'!B:B,'Base stats'!BU:BU),0.1),0.05)
))</f>
        <v>No</v>
      </c>
      <c r="H178" s="11" t="str">
        <f>IF(G178="No","No",
MAX(0.01,MROUND(_xlfn.XLOOKUP(B178,'Base stats'!B:B,'Base stats'!BE:BE) * 0.01 * 2, 0.01))
)</f>
        <v>No</v>
      </c>
      <c r="I178" s="11" t="str">
        <f>IF(G178="No","No",IF(_xlfn.XLOOKUP(B178,'Base stats'!B:B,'Base stats'!U:U)="No","No",
MAX(0.01,MROUND(_xlfn.XLOOKUP(B178,'Base stats'!B:B,'Base stats'!BQ:BQ)/10000,0.01))
))</f>
        <v>No</v>
      </c>
      <c r="J178" s="4" t="str">
        <f>IF(G178="No","No",
MROUND(_xlfn.XLOOKUP(B178,'Base stats'!B:B,'Base stats'!BB:BB)^0.25
/((_xlfn.XLOOKUP(B178,'Base stats'!B:B,'Base stats'!BI:BI))*10)*_xlfn.XLOOKUP(_xlfn.XLOOKUP(B178,'Base stats'!B:B,'Base stats'!E:E),Groups!A:A,Groups!Q:Q)*150 + 0.5 + _xlfn.XLOOKUP(B178,'Base stats'!B:B,'Base stats'!BT:BT),
0.05))</f>
        <v>No</v>
      </c>
      <c r="K178" s="3" t="str">
        <f>IF(Animals!X178="No","No",
IF(_xlfn.XLOOKUP(_xlfn.XLOOKUP(B178,'Base stats'!B:B,'Base stats'!E:E),Groups!A:A,Groups!BD:BD)=1,
MAX(MROUND(_xlfn.XLOOKUP(B178,'Base stats'!B:B,'Base stats'!BR:BR) * _xlfn.XLOOKUP(B178,'Base stats'!B:B,'Base stats'!BN:BN)^0.9 / 21 *_xlfn.XLOOKUP(B178,'Base stats'!B:B,'Base stats'!BU:BU),0.1),0.05),
MAX(MROUND(((MIN(10,_xlfn.XLOOKUP(B178,'Base stats'!B:B,'Base stats'!W:W)))^0.4*_xlfn.XLOOKUP(B178,'Base stats'!B:B,'Base stats'!BF:BF)^0.73)^0.6 *_xlfn.XLOOKUP(B178,'Base stats'!B:B,'Base stats'!BU:BU),0.1),0.05)
))</f>
        <v>No</v>
      </c>
      <c r="L178" s="11" t="str">
        <f>IF(K178="No","No",
MAX(0.01,MROUND(_xlfn.XLOOKUP(B178,'Base stats'!B:B,'Base stats'!BF:BF)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stats'!BR:BR)/10000,0.01))
))</f>
        <v>No</v>
      </c>
      <c r="N178" s="4" t="str">
        <f>IF(K178="No","No",
MROUND(
  _xlfn.XLOOKUP(B178,'Base stats'!B:B,'Base stats'!AZ:AZ)^0.25
  / (_xlfn.XLOOKUP(B178,'Base stats'!B:B,'Base stats'!BJ:BJ)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stats'!BT:BT),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stats'!BG:BG)^0.73)^0.6 *_xlfn.XLOOKUP(B178,'Base stats'!B:B,'Base stats'!BU:BU),0.1),0.05)
)</f>
        <v>8.9</v>
      </c>
      <c r="P178" s="11">
        <f>IF(O178="No","No",
MAX(0.01,MROUND(_xlfn.XLOOKUP(B178,'Base stats'!B:B,'Base stats'!BG:BG) * 0.01 * 2, 0.01))
)</f>
        <v>1.92</v>
      </c>
      <c r="Q178" s="5">
        <f>IF(O178="No","No",
MAX(0.01,MROUND(_xlfn.XLOOKUP(B178,'Base stats'!B:B,'Base stats'!BS:BS)/10000,0.01))
)</f>
        <v>0.21</v>
      </c>
      <c r="R178" s="4">
        <f>IF(O178="No","No",
MROUND(_xlfn.XLOOKUP(B178,'Base stats'!B:B,'Base stats'!AY:AY)^0.25
/((_xlfn.XLOOKUP(B178,'Base stats'!B:B,'Base stats'!BK:BK))*10)*_xlfn.XLOOKUP(_xlfn.XLOOKUP(B178,'Base stats'!B:B,'Base stats'!E:E),Groups!A:A,Groups!Z:Z)*150 + 0.5 + _xlfn.XLOOKUP(B178,'Base stats'!B:B,'Base stats'!BT:BT),
0.05))</f>
        <v>2.1</v>
      </c>
      <c r="S178" s="3" t="str">
        <f>IF(Animals!AI178="No","No",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MAX(MROUND(((MIN(12,_xlfn.XLOOKUP(B178,'Base stats'!B:B,'Base stats'!U:U)))^0.4*_xlfn.XLOOKUP(B178,'Base stats'!B:B,'Base stats'!BE:BE)^0.73)^0.6 * _xlfn.XLOOKUP(B178,'Base stats'!B:B,'Base stats'!BU:BU),0.1),0.05)
))</f>
        <v>No</v>
      </c>
      <c r="T178" s="11" t="str">
        <f>IF(S178="No","No",
MAX(0.01,MROUND(_xlfn.XLOOKUP(B178,'Base stats'!B:B,'Base stats'!BE:BE) * 0.01 * 2, 0.01))
)</f>
        <v>No</v>
      </c>
      <c r="U178" s="5" t="str">
        <f>IF(S178="No","No",IF(_xlfn.XLOOKUP(B178,'Base stats'!B:B,'Base stats'!U:U)="No","No",
MAX(0.01,MROUND(_xlfn.XLOOKUP(B178,'Base stats'!B:B,'Base stats'!BQ:BQ)/10000,0.01))
))</f>
        <v>No</v>
      </c>
      <c r="V178" s="4" t="str">
        <f>IF(S178="No","No",
MROUND(_xlfn.XLOOKUP(B178,'Base stats'!B:B,'Base stats'!BC:BC)^0.25
/((_xlfn.XLOOKUP(B178,'Base stats'!B:B,'Base stats'!BL:BL))*10)*_xlfn.XLOOKUP(_xlfn.XLOOKUP(B178,'Base stats'!B:B,'Base stats'!E:E),Groups!A:A,Groups!AE:AE)*150 + 0.5 + _xlfn.XLOOKUP(B178,'Base stats'!B:B,'Base stats'!BT:BT),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stats'!AN:AN)*_xlfn.XLOOKUP(_xlfn.XLOOKUP(B178,'Base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stats'!AN:AN)*0.01,2)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stats'!BP:BP) * (_xlfn.XLOOKUP(B179,'Base stats'!B:B,'Base stats'!AL:AL)*5%)^0.9 / 21,0.1),0.05)</f>
        <v>1</v>
      </c>
      <c r="E179" s="11">
        <f>MAX(0.01,MROUND(_xlfn.XLOOKUP(B179,'Base stats'!B:B,'Base stats'!BD:BD) * 0.01 * 2, 0.01))</f>
        <v>0.77</v>
      </c>
      <c r="F179" s="7">
        <f>MROUND(_xlfn.XLOOKUP(B179,'Base stats'!B:B,'Base stats'!BA:BA)^0.25 / (_xlfn.XLOOKUP(B179,'Base stats'!B:B,'Base stats'!BH:BH) * 10) * 150 + 0.5 + _xlfn.XLOOKUP(B179,'Base stats'!B:B,'Base stats'!BT:BT), 0.05)</f>
        <v>1.7000000000000002</v>
      </c>
      <c r="G179" s="3" t="str">
        <f>IF(Animals!S179="No","No",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MAX(MROUND(((MIN(10,_xlfn.XLOOKUP(B179,'Base stats'!B:B,'Base stats'!U:U)))^0.4*_xlfn.XLOOKUP(B179,'Base stats'!B:B,'Base stats'!BE:BE)^0.73)^0.6 * _xlfn.XLOOKUP(B179,'Base stats'!B:B,'Base stats'!BU:BU),0.1),0.05)
))</f>
        <v>No</v>
      </c>
      <c r="H179" s="11" t="str">
        <f>IF(G179="No","No",
MAX(0.01,MROUND(_xlfn.XLOOKUP(B179,'Base stats'!B:B,'Base stats'!BE:BE) * 0.01 * 2, 0.01))
)</f>
        <v>No</v>
      </c>
      <c r="I179" s="11" t="str">
        <f>IF(G179="No","No",IF(_xlfn.XLOOKUP(B179,'Base stats'!B:B,'Base stats'!U:U)="No","No",
MAX(0.01,MROUND(_xlfn.XLOOKUP(B179,'Base stats'!B:B,'Base stats'!BQ:BQ)/10000,0.01))
))</f>
        <v>No</v>
      </c>
      <c r="J179" s="4" t="str">
        <f>IF(G179="No","No",
MROUND(_xlfn.XLOOKUP(B179,'Base stats'!B:B,'Base stats'!BB:BB)^0.25
/((_xlfn.XLOOKUP(B179,'Base stats'!B:B,'Base stats'!BI:BI))*10)*_xlfn.XLOOKUP(_xlfn.XLOOKUP(B179,'Base stats'!B:B,'Base stats'!E:E),Groups!A:A,Groups!Q:Q)*150 + 0.5 + _xlfn.XLOOKUP(B179,'Base stats'!B:B,'Base stats'!BT:BT),
0.05))</f>
        <v>No</v>
      </c>
      <c r="K179" s="3" t="str">
        <f>IF(Animals!X179="No","No",
IF(_xlfn.XLOOKUP(_xlfn.XLOOKUP(B179,'Base stats'!B:B,'Base stats'!E:E),Groups!A:A,Groups!BD:BD)=1,
MAX(MROUND(_xlfn.XLOOKUP(B179,'Base stats'!B:B,'Base stats'!BR:BR) * _xlfn.XLOOKUP(B179,'Base stats'!B:B,'Base stats'!BN:BN)^0.9 / 21 *_xlfn.XLOOKUP(B179,'Base stats'!B:B,'Base stats'!BU:BU),0.1),0.05),
MAX(MROUND(((MIN(10,_xlfn.XLOOKUP(B179,'Base stats'!B:B,'Base stats'!W:W)))^0.4*_xlfn.XLOOKUP(B179,'Base stats'!B:B,'Base stats'!BF:BF)^0.73)^0.6 *_xlfn.XLOOKUP(B179,'Base stats'!B:B,'Base stats'!BU:BU),0.1),0.05)
))</f>
        <v>No</v>
      </c>
      <c r="L179" s="11" t="str">
        <f>IF(K179="No","No",
MAX(0.01,MROUND(_xlfn.XLOOKUP(B179,'Base stats'!B:B,'Base stats'!BF:BF)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stats'!BR:BR)/10000,0.01))
))</f>
        <v>No</v>
      </c>
      <c r="N179" s="4" t="str">
        <f>IF(K179="No","No",
MROUND(
  _xlfn.XLOOKUP(B179,'Base stats'!B:B,'Base stats'!AZ:AZ)^0.25
  / (_xlfn.XLOOKUP(B179,'Base stats'!B:B,'Base stats'!BJ:BJ)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stats'!BT:BT),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stats'!BG:BG)^0.73)^0.6 *_xlfn.XLOOKUP(B179,'Base stats'!B:B,'Base stats'!BU:BU),0.1),0.05)
)</f>
        <v>11.100000000000001</v>
      </c>
      <c r="P179" s="11">
        <f>IF(O179="No","No",
MAX(0.01,MROUND(_xlfn.XLOOKUP(B179,'Base stats'!B:B,'Base stats'!BG:BG) * 0.01 * 2, 0.01))
)</f>
        <v>2.91</v>
      </c>
      <c r="Q179" s="5">
        <f>IF(O179="No","No",
MAX(0.01,MROUND(_xlfn.XLOOKUP(B179,'Base stats'!B:B,'Base stats'!BS:BS)/10000,0.01))
)</f>
        <v>0.26</v>
      </c>
      <c r="R179" s="4">
        <f>IF(O179="No","No",
MROUND(_xlfn.XLOOKUP(B179,'Base stats'!B:B,'Base stats'!AY:AY)^0.25
/((_xlfn.XLOOKUP(B179,'Base stats'!B:B,'Base stats'!BK:BK))*10)*_xlfn.XLOOKUP(_xlfn.XLOOKUP(B179,'Base stats'!B:B,'Base stats'!E:E),Groups!A:A,Groups!Z:Z)*150 + 0.5 + _xlfn.XLOOKUP(B179,'Base stats'!B:B,'Base stats'!BT:BT),
0.05))</f>
        <v>2.0500000000000003</v>
      </c>
      <c r="S179" s="3" t="str">
        <f>IF(Animals!AI179="No","No",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MAX(MROUND(((MIN(12,_xlfn.XLOOKUP(B179,'Base stats'!B:B,'Base stats'!U:U)))^0.4*_xlfn.XLOOKUP(B179,'Base stats'!B:B,'Base stats'!BE:BE)^0.73)^0.6 * _xlfn.XLOOKUP(B179,'Base stats'!B:B,'Base stats'!BU:BU),0.1),0.05)
))</f>
        <v>No</v>
      </c>
      <c r="T179" s="11" t="str">
        <f>IF(S179="No","No",
MAX(0.01,MROUND(_xlfn.XLOOKUP(B179,'Base stats'!B:B,'Base stats'!BE:BE) * 0.01 * 2, 0.01))
)</f>
        <v>No</v>
      </c>
      <c r="U179" s="5" t="str">
        <f>IF(S179="No","No",IF(_xlfn.XLOOKUP(B179,'Base stats'!B:B,'Base stats'!U:U)="No","No",
MAX(0.01,MROUND(_xlfn.XLOOKUP(B179,'Base stats'!B:B,'Base stats'!BQ:BQ)/10000,0.01))
))</f>
        <v>No</v>
      </c>
      <c r="V179" s="4" t="str">
        <f>IF(S179="No","No",
MROUND(_xlfn.XLOOKUP(B179,'Base stats'!B:B,'Base stats'!BC:BC)^0.25
/((_xlfn.XLOOKUP(B179,'Base stats'!B:B,'Base stats'!BL:BL))*10)*_xlfn.XLOOKUP(_xlfn.XLOOKUP(B179,'Base stats'!B:B,'Base stats'!E:E),Groups!A:A,Groups!AE:AE)*150 + 0.5 + _xlfn.XLOOKUP(B179,'Base stats'!B:B,'Base stats'!BT:BT),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stats'!AN:AN)*_xlfn.XLOOKUP(_xlfn.XLOOKUP(B179,'Base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stats'!AN:AN)*0.01,2)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stats'!BP:BP) * (_xlfn.XLOOKUP(B180,'Base stats'!B:B,'Base stats'!AL:AL)*5%)^0.9 / 21,0.1),0.05)</f>
        <v>0.5</v>
      </c>
      <c r="E180" s="11">
        <f>MAX(0.01,MROUND(_xlfn.XLOOKUP(B180,'Base stats'!B:B,'Base stats'!BD:BD) * 0.01 * 2, 0.01))</f>
        <v>0.41000000000000003</v>
      </c>
      <c r="F180" s="7">
        <f>MROUND(_xlfn.XLOOKUP(B180,'Base stats'!B:B,'Base stats'!BA:BA)^0.25 / (_xlfn.XLOOKUP(B180,'Base stats'!B:B,'Base stats'!BH:BH) * 10) * 150 + 0.5 + _xlfn.XLOOKUP(B180,'Base stats'!B:B,'Base stats'!BT:BT), 0.05)</f>
        <v>1.55</v>
      </c>
      <c r="G180" s="3" t="str">
        <f>IF(Animals!S180="No","No",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MAX(MROUND(((MIN(10,_xlfn.XLOOKUP(B180,'Base stats'!B:B,'Base stats'!U:U)))^0.4*_xlfn.XLOOKUP(B180,'Base stats'!B:B,'Base stats'!BE:BE)^0.73)^0.6 * _xlfn.XLOOKUP(B180,'Base stats'!B:B,'Base stats'!BU:BU),0.1),0.05)
))</f>
        <v>No</v>
      </c>
      <c r="H180" s="11" t="str">
        <f>IF(G180="No","No",
MAX(0.01,MROUND(_xlfn.XLOOKUP(B180,'Base stats'!B:B,'Base stats'!BE:BE) * 0.01 * 2, 0.01))
)</f>
        <v>No</v>
      </c>
      <c r="I180" s="11" t="str">
        <f>IF(G180="No","No",IF(_xlfn.XLOOKUP(B180,'Base stats'!B:B,'Base stats'!U:U)="No","No",
MAX(0.01,MROUND(_xlfn.XLOOKUP(B180,'Base stats'!B:B,'Base stats'!BQ:BQ)/10000,0.01))
))</f>
        <v>No</v>
      </c>
      <c r="J180" s="4" t="str">
        <f>IF(G180="No","No",
MROUND(_xlfn.XLOOKUP(B180,'Base stats'!B:B,'Base stats'!BB:BB)^0.25
/((_xlfn.XLOOKUP(B180,'Base stats'!B:B,'Base stats'!BI:BI))*10)*_xlfn.XLOOKUP(_xlfn.XLOOKUP(B180,'Base stats'!B:B,'Base stats'!E:E),Groups!A:A,Groups!Q:Q)*150 + 0.5 + _xlfn.XLOOKUP(B180,'Base stats'!B:B,'Base stats'!BT:BT),
0.05))</f>
        <v>No</v>
      </c>
      <c r="K180" s="3" t="str">
        <f>IF(Animals!X180="No","No",
IF(_xlfn.XLOOKUP(_xlfn.XLOOKUP(B180,'Base stats'!B:B,'Base stats'!E:E),Groups!A:A,Groups!BD:BD)=1,
MAX(MROUND(_xlfn.XLOOKUP(B180,'Base stats'!B:B,'Base stats'!BR:BR) * _xlfn.XLOOKUP(B180,'Base stats'!B:B,'Base stats'!BN:BN)^0.9 / 21 *_xlfn.XLOOKUP(B180,'Base stats'!B:B,'Base stats'!BU:BU),0.1),0.05),
MAX(MROUND(((MIN(10,_xlfn.XLOOKUP(B180,'Base stats'!B:B,'Base stats'!W:W)))^0.4*_xlfn.XLOOKUP(B180,'Base stats'!B:B,'Base stats'!BF:BF)^0.73)^0.6 *_xlfn.XLOOKUP(B180,'Base stats'!B:B,'Base stats'!BU:BU),0.1),0.05)
))</f>
        <v>No</v>
      </c>
      <c r="L180" s="11" t="str">
        <f>IF(K180="No","No",
MAX(0.01,MROUND(_xlfn.XLOOKUP(B180,'Base stats'!B:B,'Base stats'!BF:BF)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stats'!BR:BR)/10000,0.01))
))</f>
        <v>No</v>
      </c>
      <c r="N180" s="4" t="str">
        <f>IF(K180="No","No",
MROUND(
  _xlfn.XLOOKUP(B180,'Base stats'!B:B,'Base stats'!AZ:AZ)^0.25
  / (_xlfn.XLOOKUP(B180,'Base stats'!B:B,'Base stats'!BJ:BJ)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stats'!BT:BT),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stats'!BG:BG)^0.73)^0.6 *_xlfn.XLOOKUP(B180,'Base stats'!B:B,'Base stats'!BU:BU),0.1),0.05)
)</f>
        <v>4.9000000000000004</v>
      </c>
      <c r="P180" s="11">
        <f>IF(O180="No","No",
MAX(0.01,MROUND(_xlfn.XLOOKUP(B180,'Base stats'!B:B,'Base stats'!BG:BG) * 0.01 * 2, 0.01))
)</f>
        <v>0.59</v>
      </c>
      <c r="Q180" s="5">
        <f>IF(O180="No","No",
MAX(0.01,MROUND(_xlfn.XLOOKUP(B180,'Base stats'!B:B,'Base stats'!BS:BS)/10000,0.01))
)</f>
        <v>7.0000000000000007E-2</v>
      </c>
      <c r="R180" s="4">
        <f>IF(O180="No","No",
MROUND(_xlfn.XLOOKUP(B180,'Base stats'!B:B,'Base stats'!AY:AY)^0.25
/((_xlfn.XLOOKUP(B180,'Base stats'!B:B,'Base stats'!BK:BK))*10)*_xlfn.XLOOKUP(_xlfn.XLOOKUP(B180,'Base stats'!B:B,'Base stats'!E:E),Groups!A:A,Groups!Z:Z)*150 + 0.5 + _xlfn.XLOOKUP(B180,'Base stats'!B:B,'Base stats'!BT:BT),
0.05))</f>
        <v>2</v>
      </c>
      <c r="S180" s="3" t="str">
        <f>IF(Animals!AI180="No","No",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MAX(MROUND(((MIN(12,_xlfn.XLOOKUP(B180,'Base stats'!B:B,'Base stats'!U:U)))^0.4*_xlfn.XLOOKUP(B180,'Base stats'!B:B,'Base stats'!BE:BE)^0.73)^0.6 * _xlfn.XLOOKUP(B180,'Base stats'!B:B,'Base stats'!BU:BU),0.1),0.05)
))</f>
        <v>No</v>
      </c>
      <c r="T180" s="11" t="str">
        <f>IF(S180="No","No",
MAX(0.01,MROUND(_xlfn.XLOOKUP(B180,'Base stats'!B:B,'Base stats'!BE:BE) * 0.01 * 2, 0.01))
)</f>
        <v>No</v>
      </c>
      <c r="U180" s="5" t="str">
        <f>IF(S180="No","No",IF(_xlfn.XLOOKUP(B180,'Base stats'!B:B,'Base stats'!U:U)="No","No",
MAX(0.01,MROUND(_xlfn.XLOOKUP(B180,'Base stats'!B:B,'Base stats'!BQ:BQ)/10000,0.01))
))</f>
        <v>No</v>
      </c>
      <c r="V180" s="4" t="str">
        <f>IF(S180="No","No",
MROUND(_xlfn.XLOOKUP(B180,'Base stats'!B:B,'Base stats'!BC:BC)^0.25
/((_xlfn.XLOOKUP(B180,'Base stats'!B:B,'Base stats'!BL:BL))*10)*_xlfn.XLOOKUP(_xlfn.XLOOKUP(B180,'Base stats'!B:B,'Base stats'!E:E),Groups!A:A,Groups!AE:AE)*150 + 0.5 + _xlfn.XLOOKUP(B180,'Base stats'!B:B,'Base stats'!BT:BT),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stats'!AN:AN)*_xlfn.XLOOKUP(_xlfn.XLOOKUP(B180,'Base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stats'!AN:AN)*0.01,2)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stats'!BP:BP) * (_xlfn.XLOOKUP(B181,'Base stats'!B:B,'Base stats'!AL:AL)*5%)^0.9 / 21,0.1),0.05)</f>
        <v>3.5</v>
      </c>
      <c r="E181" s="11">
        <f>MAX(0.01,MROUND(_xlfn.XLOOKUP(B181,'Base stats'!B:B,'Base stats'!BD:BD) * 0.01 * 2, 0.01))</f>
        <v>2.99</v>
      </c>
      <c r="F181" s="7">
        <f>MROUND(_xlfn.XLOOKUP(B181,'Base stats'!B:B,'Base stats'!BA:BA)^0.25 / (_xlfn.XLOOKUP(B181,'Base stats'!B:B,'Base stats'!BH:BH) * 10) * 150 + 0.5 + _xlfn.XLOOKUP(B181,'Base stats'!B:B,'Base stats'!BT:BT), 0.05)</f>
        <v>1.6500000000000001</v>
      </c>
      <c r="G181" s="3" t="str">
        <f>IF(Animals!S181="No","No",
IF(_xlfn.XLOOKUP(B181,'Base stats'!B:B,'Base stats'!U:U)="No",
MAX(MROUND(_xlfn.XLOOKUP(B181,'Base stats'!B:B,'Base stats'!BQ:BQ) * _xlfn.XLOOKUP(B181,'Base stats'!B:B,'Base stats'!BM:BM)^0.9 / 21 * _xlfn.XLOOKUP(B181,'Base stats'!B:B,'Base stats'!BU:BU),0.1),0.05),
MAX(MROUND(((MIN(10,_xlfn.XLOOKUP(B181,'Base stats'!B:B,'Base stats'!U:U)))^0.4*_xlfn.XLOOKUP(B181,'Base stats'!B:B,'Base stats'!BE:BE)^0.73)^0.6 * _xlfn.XLOOKUP(B181,'Base stats'!B:B,'Base stats'!BU:BU),0.1),0.05)
))</f>
        <v>No</v>
      </c>
      <c r="H181" s="11" t="str">
        <f>IF(G181="No","No",
MAX(0.01,MROUND(_xlfn.XLOOKUP(B181,'Base stats'!B:B,'Base stats'!BE:BE) * 0.01 * 2, 0.01))
)</f>
        <v>No</v>
      </c>
      <c r="I181" s="11" t="str">
        <f>IF(G181="No","No",IF(_xlfn.XLOOKUP(B181,'Base stats'!B:B,'Base stats'!U:U)="No","No",
MAX(0.01,MROUND(_xlfn.XLOOKUP(B181,'Base stats'!B:B,'Base stats'!BQ:BQ)/10000,0.01))
))</f>
        <v>No</v>
      </c>
      <c r="J181" s="4" t="str">
        <f>IF(G181="No","No",
MROUND(_xlfn.XLOOKUP(B181,'Base stats'!B:B,'Base stats'!BB:BB)^0.25
/((_xlfn.XLOOKUP(B181,'Base stats'!B:B,'Base stats'!BI:BI))*10)*_xlfn.XLOOKUP(_xlfn.XLOOKUP(B181,'Base stats'!B:B,'Base stats'!E:E),Groups!A:A,Groups!Q:Q)*150 + 0.5 + _xlfn.XLOOKUP(B181,'Base stats'!B:B,'Base stats'!BT:BT),
0.05))</f>
        <v>No</v>
      </c>
      <c r="K181" s="3" t="str">
        <f>IF(Animals!X181="No","No",
IF(_xlfn.XLOOKUP(_xlfn.XLOOKUP(B181,'Base stats'!B:B,'Base stats'!E:E),Groups!A:A,Groups!BD:BD)=1,
MAX(MROUND(_xlfn.XLOOKUP(B181,'Base stats'!B:B,'Base stats'!BR:BR) * _xlfn.XLOOKUP(B181,'Base stats'!B:B,'Base stats'!BN:BN)^0.9 / 21 *_xlfn.XLOOKUP(B181,'Base stats'!B:B,'Base stats'!BU:BU),0.1),0.05),
MAX(MROUND(((MIN(10,_xlfn.XLOOKUP(B181,'Base stats'!B:B,'Base stats'!W:W)))^0.4*_xlfn.XLOOKUP(B181,'Base stats'!B:B,'Base stats'!BF:BF)^0.73)^0.6 *_xlfn.XLOOKUP(B181,'Base stats'!B:B,'Base stats'!BU:BU),0.1),0.05)
))</f>
        <v>No</v>
      </c>
      <c r="L181" s="11" t="str">
        <f>IF(K181="No","No",
MAX(0.01,MROUND(_xlfn.XLOOKUP(B181,'Base stats'!B:B,'Base stats'!BF:BF)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stats'!BR:BR)/10000,0.01))
))</f>
        <v>No</v>
      </c>
      <c r="N181" s="4" t="str">
        <f>IF(K181="No","No",
MROUND(
  _xlfn.XLOOKUP(B181,'Base stats'!B:B,'Base stats'!AZ:AZ)^0.25
  / (_xlfn.XLOOKUP(B181,'Base stats'!B:B,'Base stats'!BJ:BJ)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stats'!BT:BT),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stats'!BG:BG)^0.73)^0.6 *_xlfn.XLOOKUP(B181,'Base stats'!B:B,'Base stats'!BU:BU),0.1),0.05)
)</f>
        <v>17</v>
      </c>
      <c r="P181" s="11">
        <f>IF(O181="No","No",
MAX(0.01,MROUND(_xlfn.XLOOKUP(B181,'Base stats'!B:B,'Base stats'!BG:BG) * 0.01 * 2, 0.01))
)</f>
        <v>5.71</v>
      </c>
      <c r="Q181" s="5">
        <f>IF(O181="No","No",
MAX(0.01,MROUND(_xlfn.XLOOKUP(B181,'Base stats'!B:B,'Base stats'!BS:BS)/10000,0.01))
)</f>
        <v>0.28000000000000003</v>
      </c>
      <c r="R181" s="4">
        <f>IF(O181="No","No",
MROUND(_xlfn.XLOOKUP(B181,'Base stats'!B:B,'Base stats'!AY:AY)^0.25
/((_xlfn.XLOOKUP(B181,'Base stats'!B:B,'Base stats'!BK:BK))*10)*_xlfn.XLOOKUP(_xlfn.XLOOKUP(B181,'Base stats'!B:B,'Base stats'!E:E),Groups!A:A,Groups!Z:Z)*150 + 0.5 + _xlfn.XLOOKUP(B181,'Base stats'!B:B,'Base stats'!BT:BT),
0.05))</f>
        <v>2.2000000000000002</v>
      </c>
      <c r="S181" s="3">
        <f>IF(Animals!AI181="No","No",
IF(_xlfn.XLOOKUP(B181,'Base stats'!B:B,'Base stats'!U:U)="No",
MAX(MROUND(_xlfn.XLOOKUP(B181,'Base stats'!B:B,'Base stats'!BQ:BQ) * _xlfn.XLOOKUP(B181,'Base stats'!B:B,'Base stats'!BM:BM)^0.9 / 21 * _xlfn.XLOOKUP(B181,'Base stats'!B:B,'Base stats'!BU:BU),0.1),0.05),
MAX(MROUND(((MIN(12,_xlfn.XLOOKUP(B181,'Base stats'!B:B,'Base stats'!U:U)))^0.4*_xlfn.XLOOKUP(B181,'Base stats'!B:B,'Base stats'!BE:BE)^0.73)^0.6 * _xlfn.XLOOKUP(B181,'Base stats'!B:B,'Base stats'!BU:BU),0.1),0.05)
))</f>
        <v>14.5</v>
      </c>
      <c r="T181" s="11">
        <f>IF(S181="No","No",
MAX(0.01,MROUND(_xlfn.XLOOKUP(B181,'Base stats'!B:B,'Base stats'!BE:BE) * 0.01 * 2, 0.01))
)</f>
        <v>3.73</v>
      </c>
      <c r="U181" s="5">
        <f>IF(S181="No","No",IF(_xlfn.XLOOKUP(B181,'Base stats'!B:B,'Base stats'!U:U)="No","No",
MAX(0.01,MROUND(_xlfn.XLOOKUP(B181,'Base stats'!B:B,'Base stats'!BQ:BQ)/10000,0.01))
))</f>
        <v>0.18</v>
      </c>
      <c r="V181" s="4">
        <f>IF(S181="No","No",
MROUND(_xlfn.XLOOKUP(B181,'Base stats'!B:B,'Base stats'!BC:BC)^0.25
/((_xlfn.XLOOKUP(B181,'Base stats'!B:B,'Base stats'!BL:BL))*10)*_xlfn.XLOOKUP(_xlfn.XLOOKUP(B181,'Base stats'!B:B,'Base stats'!E:E),Groups!A:A,Groups!AE:AE)*150 + 0.5 + _xlfn.XLOOKUP(B181,'Base stats'!B:B,'Base stats'!BT:BT),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stats'!AN:AN)*_xlfn.XLOOKUP(_xlfn.XLOOKUP(B181,'Base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stats'!AN:AN)*0.01,2)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stats'!BP:BP) * (_xlfn.XLOOKUP(B182,'Base stats'!B:B,'Base stats'!AL:AL)*5%)^0.9 / 21,0.1),0.05)</f>
        <v>0.05</v>
      </c>
      <c r="E182" s="11">
        <f>MAX(0.01,MROUND(_xlfn.XLOOKUP(B182,'Base stats'!B:B,'Base stats'!BD:BD) * 0.01 * 2, 0.01))</f>
        <v>0.01</v>
      </c>
      <c r="F182" s="7">
        <f>MROUND(_xlfn.XLOOKUP(B182,'Base stats'!B:B,'Base stats'!BA:BA)^0.25 / (_xlfn.XLOOKUP(B182,'Base stats'!B:B,'Base stats'!BH:BH) * 10) * 150 + 0.5 + _xlfn.XLOOKUP(B182,'Base stats'!B:B,'Base stats'!BT:BT), 0.05)</f>
        <v>1.05</v>
      </c>
      <c r="G182" s="3">
        <f>IF(Animals!S182="No","No",
IF(_xlfn.XLOOKUP(B182,'Base stats'!B:B,'Base stats'!U:U)="No",
MAX(MROUND(_xlfn.XLOOKUP(B182,'Base stats'!B:B,'Base stats'!BQ:BQ) * _xlfn.XLOOKUP(B182,'Base stats'!B:B,'Base stats'!BM:BM)^0.9 / 21 * _xlfn.XLOOKUP(B182,'Base stats'!B:B,'Base stats'!BU:BU),0.1),0.05),
MAX(MROUND(((MIN(10,_xlfn.XLOOKUP(B182,'Base stats'!B:B,'Base stats'!U:U)))^0.4*_xlfn.XLOOKUP(B182,'Base stats'!B:B,'Base stats'!BE:BE)^0.73)^0.6 * _xlfn.XLOOKUP(B182,'Base stats'!B:B,'Base stats'!BU:BU),0.1),0.05)
))</f>
        <v>0.60000000000000009</v>
      </c>
      <c r="H182" s="11">
        <f>IF(G182="No","No",
MAX(0.01,MROUND(_xlfn.XLOOKUP(B182,'Base stats'!B:B,'Base stats'!BE:BE) * 0.01 * 2, 0.01))
)</f>
        <v>0.01</v>
      </c>
      <c r="I182" s="11">
        <f>IF(G182="No","No",IF(_xlfn.XLOOKUP(B182,'Base stats'!B:B,'Base stats'!U:U)="No","No",
MAX(0.01,MROUND(_xlfn.XLOOKUP(B182,'Base stats'!B:B,'Base stats'!BQ:BQ)/10000,0.01))
))</f>
        <v>0.01</v>
      </c>
      <c r="J182" s="4">
        <f>IF(G182="No","No",
MROUND(_xlfn.XLOOKUP(B182,'Base stats'!B:B,'Base stats'!BB:BB)^0.25
/((_xlfn.XLOOKUP(B182,'Base stats'!B:B,'Base stats'!BI:BI))*10)*_xlfn.XLOOKUP(_xlfn.XLOOKUP(B182,'Base stats'!B:B,'Base stats'!E:E),Groups!A:A,Groups!Q:Q)*150 + 0.5 + _xlfn.XLOOKUP(B182,'Base stats'!B:B,'Base stats'!BT:BT),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stats'!BR:BR) * _xlfn.XLOOKUP(B182,'Base stats'!B:B,'Base stats'!BN:BN)^0.9 / 21 *_xlfn.XLOOKUP(B182,'Base stats'!B:B,'Base stats'!BU:BU),0.1),0.05),
MAX(MROUND(((MIN(10,_xlfn.XLOOKUP(B182,'Base stats'!B:B,'Base stats'!W:W)))^0.4*_xlfn.XLOOKUP(B182,'Base stats'!B:B,'Base stats'!BF:BF)^0.73)^0.6 *_xlfn.XLOOKUP(B182,'Base stats'!B:B,'Base stats'!BU:BU),0.1),0.05)
))</f>
        <v>No</v>
      </c>
      <c r="L182" s="11" t="str">
        <f>IF(K182="No","No",
MAX(0.01,MROUND(_xlfn.XLOOKUP(B182,'Base stats'!B:B,'Base stats'!BF:BF)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stats'!BR:BR)/10000,0.01))
))</f>
        <v>No</v>
      </c>
      <c r="N182" s="4" t="str">
        <f>IF(K182="No","No",
MROUND(
  _xlfn.XLOOKUP(B182,'Base stats'!B:B,'Base stats'!AZ:AZ)^0.25
  / (_xlfn.XLOOKUP(B182,'Base stats'!B:B,'Base stats'!BJ:BJ)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stats'!BT:BT),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stats'!BG:BG)^0.73)^0.6 *_xlfn.XLOOKUP(B182,'Base stats'!B:B,'Base stats'!BU:BU),0.1),0.05)
)</f>
        <v>0.30000000000000004</v>
      </c>
      <c r="P182" s="11">
        <f>IF(O182="No","No",
MAX(0.01,MROUND(_xlfn.XLOOKUP(B182,'Base stats'!B:B,'Base stats'!BG:BG) * 0.01 * 2, 0.01))
)</f>
        <v>0.01</v>
      </c>
      <c r="Q182" s="5">
        <f>IF(O182="No","No",
MAX(0.01,MROUND(_xlfn.XLOOKUP(B182,'Base stats'!B:B,'Base stats'!BS:BS)/10000,0.01))
)</f>
        <v>0.01</v>
      </c>
      <c r="R182" s="4">
        <f>IF(O182="No","No",
MROUND(_xlfn.XLOOKUP(B182,'Base stats'!B:B,'Base stats'!AY:AY)^0.25
/((_xlfn.XLOOKUP(B182,'Base stats'!B:B,'Base stats'!BK:BK))*10)*_xlfn.XLOOKUP(_xlfn.XLOOKUP(B182,'Base stats'!B:B,'Base stats'!E:E),Groups!A:A,Groups!Z:Z)*150 + 0.5 + _xlfn.XLOOKUP(B182,'Base stats'!B:B,'Base stats'!BT:BT),
0.05))</f>
        <v>1.75</v>
      </c>
      <c r="S182" s="3" t="str">
        <f>IF(Animals!AI182="No","No",
IF(_xlfn.XLOOKUP(B182,'Base stats'!B:B,'Base stats'!U:U)="No",
MAX(MROUND(_xlfn.XLOOKUP(B182,'Base stats'!B:B,'Base stats'!BQ:BQ) * _xlfn.XLOOKUP(B182,'Base stats'!B:B,'Base stats'!BM:BM)^0.9 / 21 * _xlfn.XLOOKUP(B182,'Base stats'!B:B,'Base stats'!BU:BU),0.1),0.05),
MAX(MROUND(((MIN(12,_xlfn.XLOOKUP(B182,'Base stats'!B:B,'Base stats'!U:U)))^0.4*_xlfn.XLOOKUP(B182,'Base stats'!B:B,'Base stats'!BE:BE)^0.73)^0.6 * _xlfn.XLOOKUP(B182,'Base stats'!B:B,'Base stats'!BU:BU),0.1),0.05)
))</f>
        <v>No</v>
      </c>
      <c r="T182" s="11" t="str">
        <f>IF(S182="No","No",
MAX(0.01,MROUND(_xlfn.XLOOKUP(B182,'Base stats'!B:B,'Base stats'!BE:BE) * 0.01 * 2, 0.01))
)</f>
        <v>No</v>
      </c>
      <c r="U182" s="5" t="str">
        <f>IF(S182="No","No",IF(_xlfn.XLOOKUP(B182,'Base stats'!B:B,'Base stats'!U:U)="No","No",
MAX(0.01,MROUND(_xlfn.XLOOKUP(B182,'Base stats'!B:B,'Base stats'!BQ:BQ)/10000,0.01))
))</f>
        <v>No</v>
      </c>
      <c r="V182" s="4" t="str">
        <f>IF(S182="No","No",
MROUND(_xlfn.XLOOKUP(B182,'Base stats'!B:B,'Base stats'!BC:BC)^0.25
/((_xlfn.XLOOKUP(B182,'Base stats'!B:B,'Base stats'!BL:BL))*10)*_xlfn.XLOOKUP(_xlfn.XLOOKUP(B182,'Base stats'!B:B,'Base stats'!E:E),Groups!A:A,Groups!AE:AE)*150 + 0.5 + _xlfn.XLOOKUP(B182,'Base stats'!B:B,'Base stats'!BT:BT),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stats'!AN:AN)*_xlfn.XLOOKUP(_xlfn.XLOOKUP(B182,'Base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stats'!AN:AN)*0.01,2)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stats'!BP:BP) * (_xlfn.XLOOKUP(B183,'Base stats'!B:B,'Base stats'!AL:AL)*5%)^0.9 / 21,0.1),0.05)</f>
        <v>0.4</v>
      </c>
      <c r="E183" s="11">
        <f>MAX(0.01,MROUND(_xlfn.XLOOKUP(B183,'Base stats'!B:B,'Base stats'!BD:BD) * 0.01 * 2, 0.01))</f>
        <v>0.3</v>
      </c>
      <c r="F183" s="7">
        <f>MROUND(_xlfn.XLOOKUP(B183,'Base stats'!B:B,'Base stats'!BA:BA)^0.25 / (_xlfn.XLOOKUP(B183,'Base stats'!B:B,'Base stats'!BH:BH) * 10) * 150 + 0.5 + _xlfn.XLOOKUP(B183,'Base stats'!B:B,'Base stats'!BT:BT), 0.05)</f>
        <v>1.4500000000000002</v>
      </c>
      <c r="G183" s="3" t="str">
        <f>IF(Animals!S183="No","No",
IF(_xlfn.XLOOKUP(B183,'Base stats'!B:B,'Base stats'!U:U)="No",
MAX(MROUND(_xlfn.XLOOKUP(B183,'Base stats'!B:B,'Base stats'!BQ:BQ) * _xlfn.XLOOKUP(B183,'Base stats'!B:B,'Base stats'!BM:BM)^0.9 / 21 * _xlfn.XLOOKUP(B183,'Base stats'!B:B,'Base stats'!BU:BU),0.1),0.05),
MAX(MROUND(((MIN(10,_xlfn.XLOOKUP(B183,'Base stats'!B:B,'Base stats'!U:U)))^0.4*_xlfn.XLOOKUP(B183,'Base stats'!B:B,'Base stats'!BE:BE)^0.73)^0.6 * _xlfn.XLOOKUP(B183,'Base stats'!B:B,'Base stats'!BU:BU),0.1),0.05)
))</f>
        <v>No</v>
      </c>
      <c r="H183" s="11" t="str">
        <f>IF(G183="No","No",
MAX(0.01,MROUND(_xlfn.XLOOKUP(B183,'Base stats'!B:B,'Base stats'!BE:BE) * 0.01 * 2, 0.01))
)</f>
        <v>No</v>
      </c>
      <c r="I183" s="11" t="str">
        <f>IF(G183="No","No",IF(_xlfn.XLOOKUP(B183,'Base stats'!B:B,'Base stats'!U:U)="No","No",
MAX(0.01,MROUND(_xlfn.XLOOKUP(B183,'Base stats'!B:B,'Base stats'!BQ:BQ)/10000,0.01))
))</f>
        <v>No</v>
      </c>
      <c r="J183" s="4" t="str">
        <f>IF(G183="No","No",
MROUND(_xlfn.XLOOKUP(B183,'Base stats'!B:B,'Base stats'!BB:BB)^0.25
/((_xlfn.XLOOKUP(B183,'Base stats'!B:B,'Base stats'!BI:BI))*10)*_xlfn.XLOOKUP(_xlfn.XLOOKUP(B183,'Base stats'!B:B,'Base stats'!E:E),Groups!A:A,Groups!Q:Q)*150 + 0.5 + _xlfn.XLOOKUP(B183,'Base stats'!B:B,'Base stats'!BT:BT),
0.05))</f>
        <v>No</v>
      </c>
      <c r="K183" s="3" t="str">
        <f>IF(Animals!X183="No","No",
IF(_xlfn.XLOOKUP(_xlfn.XLOOKUP(B183,'Base stats'!B:B,'Base stats'!E:E),Groups!A:A,Groups!BD:BD)=1,
MAX(MROUND(_xlfn.XLOOKUP(B183,'Base stats'!B:B,'Base stats'!BR:BR) * _xlfn.XLOOKUP(B183,'Base stats'!B:B,'Base stats'!BN:BN)^0.9 / 21 *_xlfn.XLOOKUP(B183,'Base stats'!B:B,'Base stats'!BU:BU),0.1),0.05),
MAX(MROUND(((MIN(10,_xlfn.XLOOKUP(B183,'Base stats'!B:B,'Base stats'!W:W)))^0.4*_xlfn.XLOOKUP(B183,'Base stats'!B:B,'Base stats'!BF:BF)^0.73)^0.6 *_xlfn.XLOOKUP(B183,'Base stats'!B:B,'Base stats'!BU:BU),0.1),0.05)
))</f>
        <v>No</v>
      </c>
      <c r="L183" s="11" t="str">
        <f>IF(K183="No","No",
MAX(0.01,MROUND(_xlfn.XLOOKUP(B183,'Base stats'!B:B,'Base stats'!BF:BF)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stats'!BR:BR)/10000,0.01))
))</f>
        <v>No</v>
      </c>
      <c r="N183" s="4" t="str">
        <f>IF(K183="No","No",
MROUND(
  _xlfn.XLOOKUP(B183,'Base stats'!B:B,'Base stats'!AZ:AZ)^0.25
  / (_xlfn.XLOOKUP(B183,'Base stats'!B:B,'Base stats'!BJ:BJ)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stats'!BT:BT),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stats'!BG:BG)^0.73)^0.6 *_xlfn.XLOOKUP(B183,'Base stats'!B:B,'Base stats'!BU:BU),0.1),0.05)
)</f>
        <v>2.1</v>
      </c>
      <c r="P183" s="11">
        <f>IF(O183="No","No",
MAX(0.01,MROUND(_xlfn.XLOOKUP(B183,'Base stats'!B:B,'Base stats'!BG:BG) * 0.01 * 2, 0.01))
)</f>
        <v>7.0000000000000007E-2</v>
      </c>
      <c r="Q183" s="5">
        <f>IF(O183="No","No",
MAX(0.01,MROUND(_xlfn.XLOOKUP(B183,'Base stats'!B:B,'Base stats'!BS:BS)/10000,0.01))
)</f>
        <v>0.01</v>
      </c>
      <c r="R183" s="4">
        <f>IF(O183="No","No",
MROUND(_xlfn.XLOOKUP(B183,'Base stats'!B:B,'Base stats'!AY:AY)^0.25
/((_xlfn.XLOOKUP(B183,'Base stats'!B:B,'Base stats'!BK:BK))*10)*_xlfn.XLOOKUP(_xlfn.XLOOKUP(B183,'Base stats'!B:B,'Base stats'!E:E),Groups!A:A,Groups!Z:Z)*150 + 0.5 + _xlfn.XLOOKUP(B183,'Base stats'!B:B,'Base stats'!BT:BT),
0.05))</f>
        <v>1.8</v>
      </c>
      <c r="S183" s="3" t="str">
        <f>IF(Animals!AI183="No","No",
IF(_xlfn.XLOOKUP(B183,'Base stats'!B:B,'Base stats'!U:U)="No",
MAX(MROUND(_xlfn.XLOOKUP(B183,'Base stats'!B:B,'Base stats'!BQ:BQ) * _xlfn.XLOOKUP(B183,'Base stats'!B:B,'Base stats'!BM:BM)^0.9 / 21 * _xlfn.XLOOKUP(B183,'Base stats'!B:B,'Base stats'!BU:BU),0.1),0.05),
MAX(MROUND(((MIN(12,_xlfn.XLOOKUP(B183,'Base stats'!B:B,'Base stats'!U:U)))^0.4*_xlfn.XLOOKUP(B183,'Base stats'!B:B,'Base stats'!BE:BE)^0.73)^0.6 * _xlfn.XLOOKUP(B183,'Base stats'!B:B,'Base stats'!BU:BU),0.1),0.05)
))</f>
        <v>No</v>
      </c>
      <c r="T183" s="11" t="str">
        <f>IF(S183="No","No",
MAX(0.01,MROUND(_xlfn.XLOOKUP(B183,'Base stats'!B:B,'Base stats'!BE:BE) * 0.01 * 2, 0.01))
)</f>
        <v>No</v>
      </c>
      <c r="U183" s="5" t="str">
        <f>IF(S183="No","No",IF(_xlfn.XLOOKUP(B183,'Base stats'!B:B,'Base stats'!U:U)="No","No",
MAX(0.01,MROUND(_xlfn.XLOOKUP(B183,'Base stats'!B:B,'Base stats'!BQ:BQ)/10000,0.01))
))</f>
        <v>No</v>
      </c>
      <c r="V183" s="4" t="str">
        <f>IF(S183="No","No",
MROUND(_xlfn.XLOOKUP(B183,'Base stats'!B:B,'Base stats'!BC:BC)^0.25
/((_xlfn.XLOOKUP(B183,'Base stats'!B:B,'Base stats'!BL:BL))*10)*_xlfn.XLOOKUP(_xlfn.XLOOKUP(B183,'Base stats'!B:B,'Base stats'!E:E),Groups!A:A,Groups!AE:AE)*150 + 0.5 + _xlfn.XLOOKUP(B183,'Base stats'!B:B,'Base stats'!BT:BT),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stats'!AN:AN)*_xlfn.XLOOKUP(_xlfn.XLOOKUP(B183,'Base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stats'!AN:AN)*0.01,2)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stats'!BP:BP) * (_xlfn.XLOOKUP(B184,'Base stats'!B:B,'Base stats'!AL:AL)*5%)^0.9 / 21,0.1),0.05)</f>
        <v>0.2</v>
      </c>
      <c r="E184" s="11">
        <f>MAX(0.01,MROUND(_xlfn.XLOOKUP(B184,'Base stats'!B:B,'Base stats'!BD:BD) * 0.01 * 2, 0.01))</f>
        <v>0.14000000000000001</v>
      </c>
      <c r="F184" s="7">
        <f>MROUND(_xlfn.XLOOKUP(B184,'Base stats'!B:B,'Base stats'!BA:BA)^0.25 / (_xlfn.XLOOKUP(B184,'Base stats'!B:B,'Base stats'!BH:BH) * 10) * 150 + 0.5 + _xlfn.XLOOKUP(B184,'Base stats'!B:B,'Base stats'!BT:BT), 0.05)</f>
        <v>1.3</v>
      </c>
      <c r="G184" s="3">
        <f>IF(Animals!S184="No","No",
IF(_xlfn.XLOOKUP(B184,'Base stats'!B:B,'Base stats'!U:U)="No",
MAX(MROUND(_xlfn.XLOOKUP(B184,'Base stats'!B:B,'Base stats'!BQ:BQ) * _xlfn.XLOOKUP(B184,'Base stats'!B:B,'Base stats'!BM:BM)^0.9 / 21 * _xlfn.XLOOKUP(B184,'Base stats'!B:B,'Base stats'!BU:BU),0.1),0.05),
MAX(MROUND(((MIN(10,_xlfn.XLOOKUP(B184,'Base stats'!B:B,'Base stats'!U:U)))^0.4*_xlfn.XLOOKUP(B184,'Base stats'!B:B,'Base stats'!BE:BE)^0.73)^0.6 * _xlfn.XLOOKUP(B184,'Base stats'!B:B,'Base stats'!BU:BU),0.1),0.05)
))</f>
        <v>3.3000000000000003</v>
      </c>
      <c r="H184" s="11">
        <f>IF(G184="No","No",
MAX(0.01,MROUND(_xlfn.XLOOKUP(B184,'Base stats'!B:B,'Base stats'!BE:BE) * 0.01 * 2, 0.01))
)</f>
        <v>0.22</v>
      </c>
      <c r="I184" s="11">
        <f>IF(G184="No","No",IF(_xlfn.XLOOKUP(B184,'Base stats'!B:B,'Base stats'!U:U)="No","No",
MAX(0.01,MROUND(_xlfn.XLOOKUP(B184,'Base stats'!B:B,'Base stats'!BQ:BQ)/10000,0.01))
))</f>
        <v>0.04</v>
      </c>
      <c r="J184" s="4">
        <f>IF(G184="No","No",
MROUND(_xlfn.XLOOKUP(B184,'Base stats'!B:B,'Base stats'!BB:BB)^0.25
/((_xlfn.XLOOKUP(B184,'Base stats'!B:B,'Base stats'!BI:BI))*10)*_xlfn.XLOOKUP(_xlfn.XLOOKUP(B184,'Base stats'!B:B,'Base stats'!E:E),Groups!A:A,Groups!Q:Q)*150 + 0.5 + _xlfn.XLOOKUP(B184,'Base stats'!B:B,'Base stats'!BT:BT),
0.05))</f>
        <v>2.15</v>
      </c>
      <c r="K184" s="3" t="str">
        <f>IF(Animals!X184="No","No",
IF(_xlfn.XLOOKUP(_xlfn.XLOOKUP(B184,'Base stats'!B:B,'Base stats'!E:E),Groups!A:A,Groups!BD:BD)=1,
MAX(MROUND(_xlfn.XLOOKUP(B184,'Base stats'!B:B,'Base stats'!BR:BR) * _xlfn.XLOOKUP(B184,'Base stats'!B:B,'Base stats'!BN:BN)^0.9 / 21 *_xlfn.XLOOKUP(B184,'Base stats'!B:B,'Base stats'!BU:BU),0.1),0.05),
MAX(MROUND(((MIN(10,_xlfn.XLOOKUP(B184,'Base stats'!B:B,'Base stats'!W:W)))^0.4*_xlfn.XLOOKUP(B184,'Base stats'!B:B,'Base stats'!BF:BF)^0.73)^0.6 *_xlfn.XLOOKUP(B184,'Base stats'!B:B,'Base stats'!BU:BU),0.1),0.05)
))</f>
        <v>No</v>
      </c>
      <c r="L184" s="11" t="str">
        <f>IF(K184="No","No",
MAX(0.01,MROUND(_xlfn.XLOOKUP(B184,'Base stats'!B:B,'Base stats'!BF:BF)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stats'!BR:BR)/10000,0.01))
))</f>
        <v>No</v>
      </c>
      <c r="N184" s="4" t="str">
        <f>IF(K184="No","No",
MROUND(
  _xlfn.XLOOKUP(B184,'Base stats'!B:B,'Base stats'!AZ:AZ)^0.25
  / (_xlfn.XLOOKUP(B184,'Base stats'!B:B,'Base stats'!BJ:BJ)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stats'!BT:BT),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stats'!BG:BG)^0.73)^0.6 *_xlfn.XLOOKUP(B184,'Base stats'!B:B,'Base stats'!BU:BU),0.1),0.05)
)</f>
        <v>1.1000000000000001</v>
      </c>
      <c r="P184" s="11">
        <f>IF(O184="No","No",
MAX(0.01,MROUND(_xlfn.XLOOKUP(B184,'Base stats'!B:B,'Base stats'!BG:BG) * 0.01 * 2, 0.01))
)</f>
        <v>0.04</v>
      </c>
      <c r="Q184" s="5">
        <f>IF(O184="No","No",
MAX(0.01,MROUND(_xlfn.XLOOKUP(B184,'Base stats'!B:B,'Base stats'!BS:BS)/10000,0.01))
)</f>
        <v>0.01</v>
      </c>
      <c r="R184" s="4">
        <f>IF(O184="No","No",
MROUND(_xlfn.XLOOKUP(B184,'Base stats'!B:B,'Base stats'!AY:AY)^0.25
/((_xlfn.XLOOKUP(B184,'Base stats'!B:B,'Base stats'!BK:BK))*10)*_xlfn.XLOOKUP(_xlfn.XLOOKUP(B184,'Base stats'!B:B,'Base stats'!E:E),Groups!A:A,Groups!Z:Z)*150 + 0.5 + _xlfn.XLOOKUP(B184,'Base stats'!B:B,'Base stats'!BT:BT),
0.05))</f>
        <v>2.25</v>
      </c>
      <c r="S184" s="3" t="str">
        <f>IF(Animals!AI184="No","No",
IF(_xlfn.XLOOKUP(B184,'Base stats'!B:B,'Base stats'!U:U)="No",
MAX(MROUND(_xlfn.XLOOKUP(B184,'Base stats'!B:B,'Base stats'!BQ:BQ) * _xlfn.XLOOKUP(B184,'Base stats'!B:B,'Base stats'!BM:BM)^0.9 / 21 * _xlfn.XLOOKUP(B184,'Base stats'!B:B,'Base stats'!BU:BU),0.1),0.05),
MAX(MROUND(((MIN(12,_xlfn.XLOOKUP(B184,'Base stats'!B:B,'Base stats'!U:U)))^0.4*_xlfn.XLOOKUP(B184,'Base stats'!B:B,'Base stats'!BE:BE)^0.73)^0.6 * _xlfn.XLOOKUP(B184,'Base stats'!B:B,'Base stats'!BU:BU),0.1),0.05)
))</f>
        <v>No</v>
      </c>
      <c r="T184" s="11" t="str">
        <f>IF(S184="No","No",
MAX(0.01,MROUND(_xlfn.XLOOKUP(B184,'Base stats'!B:B,'Base stats'!BE:BE) * 0.01 * 2, 0.01))
)</f>
        <v>No</v>
      </c>
      <c r="U184" s="5" t="str">
        <f>IF(S184="No","No",IF(_xlfn.XLOOKUP(B184,'Base stats'!B:B,'Base stats'!U:U)="No","No",
MAX(0.01,MROUND(_xlfn.XLOOKUP(B184,'Base stats'!B:B,'Base stats'!BQ:BQ)/10000,0.01))
))</f>
        <v>No</v>
      </c>
      <c r="V184" s="4" t="str">
        <f>IF(S184="No","No",
MROUND(_xlfn.XLOOKUP(B184,'Base stats'!B:B,'Base stats'!BC:BC)^0.25
/((_xlfn.XLOOKUP(B184,'Base stats'!B:B,'Base stats'!BL:BL))*10)*_xlfn.XLOOKUP(_xlfn.XLOOKUP(B184,'Base stats'!B:B,'Base stats'!E:E),Groups!A:A,Groups!AE:AE)*150 + 0.5 + _xlfn.XLOOKUP(B184,'Base stats'!B:B,'Base stats'!BT:BT),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stats'!AN:AN)*_xlfn.XLOOKUP(_xlfn.XLOOKUP(B184,'Base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stats'!AN:AN)*0.01,2)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stats'!BP:BP) * (_xlfn.XLOOKUP(B185,'Base stats'!B:B,'Base stats'!AL:AL)*5%)^0.9 / 21,0.1),0.05)</f>
        <v>5</v>
      </c>
      <c r="E185" s="11">
        <f>MAX(0.01,MROUND(_xlfn.XLOOKUP(B185,'Base stats'!B:B,'Base stats'!BD:BD) * 0.01 * 2, 0.01))</f>
        <v>4.42</v>
      </c>
      <c r="F185" s="7">
        <f>MROUND(_xlfn.XLOOKUP(B185,'Base stats'!B:B,'Base stats'!BA:BA)^0.25 / (_xlfn.XLOOKUP(B185,'Base stats'!B:B,'Base stats'!BH:BH) * 10) * 150 + 0.5 + _xlfn.XLOOKUP(B185,'Base stats'!B:B,'Base stats'!BT:BT), 0.05)</f>
        <v>2.15</v>
      </c>
      <c r="G185" s="3" t="str">
        <f>IF(Animals!S185="No","No",
IF(_xlfn.XLOOKUP(B185,'Base stats'!B:B,'Base stats'!U:U)="No",
MAX(MROUND(_xlfn.XLOOKUP(B185,'Base stats'!B:B,'Base stats'!BQ:BQ) * _xlfn.XLOOKUP(B185,'Base stats'!B:B,'Base stats'!BM:BM)^0.9 / 21 * _xlfn.XLOOKUP(B185,'Base stats'!B:B,'Base stats'!BU:BU),0.1),0.05),
MAX(MROUND(((MIN(10,_xlfn.XLOOKUP(B185,'Base stats'!B:B,'Base stats'!U:U)))^0.4*_xlfn.XLOOKUP(B185,'Base stats'!B:B,'Base stats'!BE:BE)^0.73)^0.6 * _xlfn.XLOOKUP(B185,'Base stats'!B:B,'Base stats'!BU:BU),0.1),0.05)
))</f>
        <v>No</v>
      </c>
      <c r="H185" s="11" t="str">
        <f>IF(G185="No","No",
MAX(0.01,MROUND(_xlfn.XLOOKUP(B185,'Base stats'!B:B,'Base stats'!BE:BE) * 0.01 * 2, 0.01))
)</f>
        <v>No</v>
      </c>
      <c r="I185" s="11" t="str">
        <f>IF(G185="No","No",IF(_xlfn.XLOOKUP(B185,'Base stats'!B:B,'Base stats'!U:U)="No","No",
MAX(0.01,MROUND(_xlfn.XLOOKUP(B185,'Base stats'!B:B,'Base stats'!BQ:BQ)/10000,0.01))
))</f>
        <v>No</v>
      </c>
      <c r="J185" s="4" t="str">
        <f>IF(G185="No","No",
MROUND(_xlfn.XLOOKUP(B185,'Base stats'!B:B,'Base stats'!BB:BB)^0.25
/((_xlfn.XLOOKUP(B185,'Base stats'!B:B,'Base stats'!BI:BI))*10)*_xlfn.XLOOKUP(_xlfn.XLOOKUP(B185,'Base stats'!B:B,'Base stats'!E:E),Groups!A:A,Groups!Q:Q)*150 + 0.5 + _xlfn.XLOOKUP(B185,'Base stats'!B:B,'Base stats'!BT:BT),
0.05))</f>
        <v>No</v>
      </c>
      <c r="K185" s="3" t="str">
        <f>IF(Animals!X185="No","No",
IF(_xlfn.XLOOKUP(_xlfn.XLOOKUP(B185,'Base stats'!B:B,'Base stats'!E:E),Groups!A:A,Groups!BD:BD)=1,
MAX(MROUND(_xlfn.XLOOKUP(B185,'Base stats'!B:B,'Base stats'!BR:BR) * _xlfn.XLOOKUP(B185,'Base stats'!B:B,'Base stats'!BN:BN)^0.9 / 21 *_xlfn.XLOOKUP(B185,'Base stats'!B:B,'Base stats'!BU:BU),0.1),0.05),
MAX(MROUND(((MIN(10,_xlfn.XLOOKUP(B185,'Base stats'!B:B,'Base stats'!W:W)))^0.4*_xlfn.XLOOKUP(B185,'Base stats'!B:B,'Base stats'!BF:BF)^0.73)^0.6 *_xlfn.XLOOKUP(B185,'Base stats'!B:B,'Base stats'!BU:BU),0.1),0.05)
))</f>
        <v>No</v>
      </c>
      <c r="L185" s="11" t="str">
        <f>IF(K185="No","No",
MAX(0.01,MROUND(_xlfn.XLOOKUP(B185,'Base stats'!B:B,'Base stats'!BF:BF)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stats'!BR:BR)/10000,0.01))
))</f>
        <v>No</v>
      </c>
      <c r="N185" s="4" t="str">
        <f>IF(K185="No","No",
MROUND(
  _xlfn.XLOOKUP(B185,'Base stats'!B:B,'Base stats'!AZ:AZ)^0.25
  / (_xlfn.XLOOKUP(B185,'Base stats'!B:B,'Base stats'!BJ:BJ)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stats'!BT:BT),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stats'!BG:BG)^0.73)^0.6 *_xlfn.XLOOKUP(B185,'Base stats'!B:B,'Base stats'!BU:BU),0.1),0.05)
)</f>
        <v>27.1</v>
      </c>
      <c r="P185" s="11">
        <f>IF(O185="No","No",
MAX(0.01,MROUND(_xlfn.XLOOKUP(B185,'Base stats'!B:B,'Base stats'!BG:BG) * 0.01 * 2, 0.01))
)</f>
        <v>13.36</v>
      </c>
      <c r="Q185" s="5">
        <f>IF(O185="No","No",
MAX(0.01,MROUND(_xlfn.XLOOKUP(B185,'Base stats'!B:B,'Base stats'!BS:BS)/10000,0.01))
)</f>
        <v>0.55000000000000004</v>
      </c>
      <c r="R185" s="4">
        <f>IF(O185="No","No",
MROUND(_xlfn.XLOOKUP(B185,'Base stats'!B:B,'Base stats'!AY:AY)^0.25
/((_xlfn.XLOOKUP(B185,'Base stats'!B:B,'Base stats'!BK:BK))*10)*_xlfn.XLOOKUP(_xlfn.XLOOKUP(B185,'Base stats'!B:B,'Base stats'!E:E),Groups!A:A,Groups!Z:Z)*150 + 0.5 + _xlfn.XLOOKUP(B185,'Base stats'!B:B,'Base stats'!BT:BT),
0.05))</f>
        <v>2</v>
      </c>
      <c r="S185" s="3">
        <f>IF(Animals!AI185="No","No",
IF(_xlfn.XLOOKUP(B185,'Base stats'!B:B,'Base stats'!U:U)="No",
MAX(MROUND(_xlfn.XLOOKUP(B185,'Base stats'!B:B,'Base stats'!BQ:BQ) * _xlfn.XLOOKUP(B185,'Base stats'!B:B,'Base stats'!BM:BM)^0.9 / 21 * _xlfn.XLOOKUP(B185,'Base stats'!B:B,'Base stats'!BU:BU),0.1),0.05),
MAX(MROUND(((MIN(12,_xlfn.XLOOKUP(B185,'Base stats'!B:B,'Base stats'!U:U)))^0.4*_xlfn.XLOOKUP(B185,'Base stats'!B:B,'Base stats'!BE:BE)^0.73)^0.6 * _xlfn.XLOOKUP(B185,'Base stats'!B:B,'Base stats'!BU:BU),0.1),0.05)
))</f>
        <v>19.200000000000003</v>
      </c>
      <c r="T185" s="11">
        <f>IF(S185="No","No",
MAX(0.01,MROUND(_xlfn.XLOOKUP(B185,'Base stats'!B:B,'Base stats'!BE:BE) * 0.01 * 2, 0.01))
)</f>
        <v>5.38</v>
      </c>
      <c r="U185" s="5">
        <f>IF(S185="No","No",IF(_xlfn.XLOOKUP(B185,'Base stats'!B:B,'Base stats'!U:U)="No","No",
MAX(0.01,MROUND(_xlfn.XLOOKUP(B185,'Base stats'!B:B,'Base stats'!BQ:BQ)/10000,0.01))
))</f>
        <v>0.22</v>
      </c>
      <c r="V185" s="4">
        <f>IF(S185="No","No",
MROUND(_xlfn.XLOOKUP(B185,'Base stats'!B:B,'Base stats'!BC:BC)^0.25
/((_xlfn.XLOOKUP(B185,'Base stats'!B:B,'Base stats'!BL:BL))*10)*_xlfn.XLOOKUP(_xlfn.XLOOKUP(B185,'Base stats'!B:B,'Base stats'!E:E),Groups!A:A,Groups!AE:AE)*150 + 0.5 + _xlfn.XLOOKUP(B185,'Base stats'!B:B,'Base stats'!BT:BT),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stats'!AN:AN)*_xlfn.XLOOKUP(_xlfn.XLOOKUP(B185,'Base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stats'!AN:AN)*0.01,2)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stats'!BP:BP) * (_xlfn.XLOOKUP(B186,'Base stats'!B:B,'Base stats'!AL:AL)*5%)^0.9 / 21,0.1),0.05)</f>
        <v>4.3</v>
      </c>
      <c r="E186" s="11">
        <f>MAX(0.01,MROUND(_xlfn.XLOOKUP(B186,'Base stats'!B:B,'Base stats'!BD:BD) * 0.01 * 2, 0.01))</f>
        <v>3.7800000000000002</v>
      </c>
      <c r="F186" s="7">
        <f>MROUND(_xlfn.XLOOKUP(B186,'Base stats'!B:B,'Base stats'!BA:BA)^0.25 / (_xlfn.XLOOKUP(B186,'Base stats'!B:B,'Base stats'!BH:BH) * 10) * 150 + 0.5 + _xlfn.XLOOKUP(B186,'Base stats'!B:B,'Base stats'!BT:BT), 0.05)</f>
        <v>2.1</v>
      </c>
      <c r="G186" s="3" t="str">
        <f>IF(Animals!S186="No","No",
IF(_xlfn.XLOOKUP(B186,'Base stats'!B:B,'Base stats'!U:U)="No",
MAX(MROUND(_xlfn.XLOOKUP(B186,'Base stats'!B:B,'Base stats'!BQ:BQ) * _xlfn.XLOOKUP(B186,'Base stats'!B:B,'Base stats'!BM:BM)^0.9 / 21 * _xlfn.XLOOKUP(B186,'Base stats'!B:B,'Base stats'!BU:BU),0.1),0.05),
MAX(MROUND(((MIN(10,_xlfn.XLOOKUP(B186,'Base stats'!B:B,'Base stats'!U:U)))^0.4*_xlfn.XLOOKUP(B186,'Base stats'!B:B,'Base stats'!BE:BE)^0.73)^0.6 * _xlfn.XLOOKUP(B186,'Base stats'!B:B,'Base stats'!BU:BU),0.1),0.05)
))</f>
        <v>No</v>
      </c>
      <c r="H186" s="11" t="str">
        <f>IF(G186="No","No",
MAX(0.01,MROUND(_xlfn.XLOOKUP(B186,'Base stats'!B:B,'Base stats'!BE:BE) * 0.01 * 2, 0.01))
)</f>
        <v>No</v>
      </c>
      <c r="I186" s="11" t="str">
        <f>IF(G186="No","No",IF(_xlfn.XLOOKUP(B186,'Base stats'!B:B,'Base stats'!U:U)="No","No",
MAX(0.01,MROUND(_xlfn.XLOOKUP(B186,'Base stats'!B:B,'Base stats'!BQ:BQ)/10000,0.01))
))</f>
        <v>No</v>
      </c>
      <c r="J186" s="4" t="str">
        <f>IF(G186="No","No",
MROUND(_xlfn.XLOOKUP(B186,'Base stats'!B:B,'Base stats'!BB:BB)^0.25
/((_xlfn.XLOOKUP(B186,'Base stats'!B:B,'Base stats'!BI:BI))*10)*_xlfn.XLOOKUP(_xlfn.XLOOKUP(B186,'Base stats'!B:B,'Base stats'!E:E),Groups!A:A,Groups!Q:Q)*150 + 0.5 + _xlfn.XLOOKUP(B186,'Base stats'!B:B,'Base stats'!BT:BT),
0.05))</f>
        <v>No</v>
      </c>
      <c r="K186" s="3" t="str">
        <f>IF(Animals!X186="No","No",
IF(_xlfn.XLOOKUP(_xlfn.XLOOKUP(B186,'Base stats'!B:B,'Base stats'!E:E),Groups!A:A,Groups!BD:BD)=1,
MAX(MROUND(_xlfn.XLOOKUP(B186,'Base stats'!B:B,'Base stats'!BR:BR) * _xlfn.XLOOKUP(B186,'Base stats'!B:B,'Base stats'!BN:BN)^0.9 / 21 *_xlfn.XLOOKUP(B186,'Base stats'!B:B,'Base stats'!BU:BU),0.1),0.05),
MAX(MROUND(((MIN(10,_xlfn.XLOOKUP(B186,'Base stats'!B:B,'Base stats'!W:W)))^0.4*_xlfn.XLOOKUP(B186,'Base stats'!B:B,'Base stats'!BF:BF)^0.73)^0.6 *_xlfn.XLOOKUP(B186,'Base stats'!B:B,'Base stats'!BU:BU),0.1),0.05)
))</f>
        <v>No</v>
      </c>
      <c r="L186" s="11" t="str">
        <f>IF(K186="No","No",
MAX(0.01,MROUND(_xlfn.XLOOKUP(B186,'Base stats'!B:B,'Base stats'!BF:BF)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stats'!BR:BR)/10000,0.01))
))</f>
        <v>No</v>
      </c>
      <c r="N186" s="4" t="str">
        <f>IF(K186="No","No",
MROUND(
  _xlfn.XLOOKUP(B186,'Base stats'!B:B,'Base stats'!AZ:AZ)^0.25
  / (_xlfn.XLOOKUP(B186,'Base stats'!B:B,'Base stats'!BJ:BJ)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stats'!BT:BT),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stats'!BG:BG)^0.73)^0.6 *_xlfn.XLOOKUP(B186,'Base stats'!B:B,'Base stats'!BU:BU),0.1),0.05)
)</f>
        <v>24.400000000000002</v>
      </c>
      <c r="P186" s="11">
        <f>IF(O186="No","No",
MAX(0.01,MROUND(_xlfn.XLOOKUP(B186,'Base stats'!B:B,'Base stats'!BG:BG) * 0.01 * 2, 0.01))
)</f>
        <v>16.149999999999999</v>
      </c>
      <c r="Q186" s="5">
        <f>IF(O186="No","No",
MAX(0.01,MROUND(_xlfn.XLOOKUP(B186,'Base stats'!B:B,'Base stats'!BS:BS)/10000,0.01))
)</f>
        <v>0.57999999999999996</v>
      </c>
      <c r="R186" s="4">
        <f>IF(O186="No","No",
MROUND(_xlfn.XLOOKUP(B186,'Base stats'!B:B,'Base stats'!AY:AY)^0.25
/((_xlfn.XLOOKUP(B186,'Base stats'!B:B,'Base stats'!BK:BK))*10)*_xlfn.XLOOKUP(_xlfn.XLOOKUP(B186,'Base stats'!B:B,'Base stats'!E:E),Groups!A:A,Groups!Z:Z)*150 + 0.5 + _xlfn.XLOOKUP(B186,'Base stats'!B:B,'Base stats'!BT:BT),
0.05))</f>
        <v>2.6500000000000004</v>
      </c>
      <c r="S186" s="3" t="str">
        <f>IF(Animals!AI186="No","No",
IF(_xlfn.XLOOKUP(B186,'Base stats'!B:B,'Base stats'!U:U)="No",
MAX(MROUND(_xlfn.XLOOKUP(B186,'Base stats'!B:B,'Base stats'!BQ:BQ) * _xlfn.XLOOKUP(B186,'Base stats'!B:B,'Base stats'!BM:BM)^0.9 / 21 * _xlfn.XLOOKUP(B186,'Base stats'!B:B,'Base stats'!BU:BU),0.1),0.05),
MAX(MROUND(((MIN(12,_xlfn.XLOOKUP(B186,'Base stats'!B:B,'Base stats'!U:U)))^0.4*_xlfn.XLOOKUP(B186,'Base stats'!B:B,'Base stats'!BE:BE)^0.73)^0.6 * _xlfn.XLOOKUP(B186,'Base stats'!B:B,'Base stats'!BU:BU),0.1),0.05)
))</f>
        <v>No</v>
      </c>
      <c r="T186" s="11" t="str">
        <f>IF(S186="No","No",
MAX(0.01,MROUND(_xlfn.XLOOKUP(B186,'Base stats'!B:B,'Base stats'!BE:BE) * 0.01 * 2, 0.01))
)</f>
        <v>No</v>
      </c>
      <c r="U186" s="5" t="str">
        <f>IF(S186="No","No",IF(_xlfn.XLOOKUP(B186,'Base stats'!B:B,'Base stats'!U:U)="No","No",
MAX(0.01,MROUND(_xlfn.XLOOKUP(B186,'Base stats'!B:B,'Base stats'!BQ:BQ)/10000,0.01))
))</f>
        <v>No</v>
      </c>
      <c r="V186" s="4" t="str">
        <f>IF(S186="No","No",
MROUND(_xlfn.XLOOKUP(B186,'Base stats'!B:B,'Base stats'!BC:BC)^0.25
/((_xlfn.XLOOKUP(B186,'Base stats'!B:B,'Base stats'!BL:BL))*10)*_xlfn.XLOOKUP(_xlfn.XLOOKUP(B186,'Base stats'!B:B,'Base stats'!E:E),Groups!A:A,Groups!AE:AE)*150 + 0.5 + _xlfn.XLOOKUP(B186,'Base stats'!B:B,'Base stats'!BT:BT),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stats'!AN:AN)*_xlfn.XLOOKUP(_xlfn.XLOOKUP(B186,'Base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stats'!AN:AN)*0.01,2)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stats'!BP:BP) * (_xlfn.XLOOKUP(B187,'Base stats'!B:B,'Base stats'!AL:AL)*5%)^0.9 / 21,0.1),0.05)</f>
        <v>9.5</v>
      </c>
      <c r="E187" s="11">
        <f>MAX(0.01,MROUND(_xlfn.XLOOKUP(B187,'Base stats'!B:B,'Base stats'!BD:BD) * 0.01 * 2, 0.01))</f>
        <v>8.82</v>
      </c>
      <c r="F187" s="7">
        <f>MROUND(_xlfn.XLOOKUP(B187,'Base stats'!B:B,'Base stats'!BA:BA)^0.25 / (_xlfn.XLOOKUP(B187,'Base stats'!B:B,'Base stats'!BH:BH) * 10) * 150 + 0.5 + _xlfn.XLOOKUP(B187,'Base stats'!B:B,'Base stats'!BT:BT), 0.05)</f>
        <v>1.85</v>
      </c>
      <c r="G187" s="3">
        <f>IF(Animals!S187="No","No",
IF(_xlfn.XLOOKUP(B187,'Base stats'!B:B,'Base stats'!U:U)="No",
MAX(MROUND(_xlfn.XLOOKUP(B187,'Base stats'!B:B,'Base stats'!BQ:BQ) * _xlfn.XLOOKUP(B187,'Base stats'!B:B,'Base stats'!BM:BM)^0.9 / 21 * _xlfn.XLOOKUP(B187,'Base stats'!B:B,'Base stats'!BU:BU),0.1),0.05),
MAX(MROUND(((MIN(10,_xlfn.XLOOKUP(B187,'Base stats'!B:B,'Base stats'!U:U)))^0.4*_xlfn.XLOOKUP(B187,'Base stats'!B:B,'Base stats'!BE:BE)^0.73)^0.6 * _xlfn.XLOOKUP(B187,'Base stats'!B:B,'Base stats'!BU:BU),0.1),0.05)
))</f>
        <v>16</v>
      </c>
      <c r="H187" s="11">
        <f>IF(G187="No","No",
MAX(0.01,MROUND(_xlfn.XLOOKUP(B187,'Base stats'!B:B,'Base stats'!BE:BE) * 0.01 * 2, 0.01))
)</f>
        <v>10.3</v>
      </c>
      <c r="I187" s="11" t="str">
        <f>IF(G187="No","No",IF(_xlfn.XLOOKUP(B187,'Base stats'!B:B,'Base stats'!U:U)="No","No",
MAX(0.01,MROUND(_xlfn.XLOOKUP(B187,'Base stats'!B:B,'Base stats'!BQ:BQ)/10000,0.01))
))</f>
        <v>No</v>
      </c>
      <c r="J187" s="4">
        <f>IF(G187="No","No",
MROUND(_xlfn.XLOOKUP(B187,'Base stats'!B:B,'Base stats'!BB:BB)^0.25
/((_xlfn.XLOOKUP(B187,'Base stats'!B:B,'Base stats'!BI:BI))*10)*_xlfn.XLOOKUP(_xlfn.XLOOKUP(B187,'Base stats'!B:B,'Base stats'!E:E),Groups!A:A,Groups!Q:Q)*150 + 0.5 + _xlfn.XLOOKUP(B187,'Base stats'!B:B,'Base stats'!BT:BT),
0.05))</f>
        <v>2.75</v>
      </c>
      <c r="K187" s="3">
        <f>IF(Animals!X187="No","No",
IF(_xlfn.XLOOKUP(_xlfn.XLOOKUP(B187,'Base stats'!B:B,'Base stats'!E:E),Groups!A:A,Groups!BD:BD)=1,
MAX(MROUND(_xlfn.XLOOKUP(B187,'Base stats'!B:B,'Base stats'!BR:BR) * _xlfn.XLOOKUP(B187,'Base stats'!B:B,'Base stats'!BN:BN)^0.9 / 21 *_xlfn.XLOOKUP(B187,'Base stats'!B:B,'Base stats'!BU:BU),0.1),0.05),
MAX(MROUND(((MIN(10,_xlfn.XLOOKUP(B187,'Base stats'!B:B,'Base stats'!W:W)))^0.4*_xlfn.XLOOKUP(B187,'Base stats'!B:B,'Base stats'!BF:BF)^0.73)^0.6 *_xlfn.XLOOKUP(B187,'Base stats'!B:B,'Base stats'!BU:BU),0.1),0.05)
))</f>
        <v>29</v>
      </c>
      <c r="L187" s="11">
        <f>IF(K187="No","No",
MAX(0.01,MROUND(_xlfn.XLOOKUP(B187,'Base stats'!B:B,'Base stats'!BF:BF)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stats'!BR:BR)/10000,0.01))
))</f>
        <v>0.67</v>
      </c>
      <c r="N187" s="4">
        <f>IF(K187="No","No",
MROUND(
  _xlfn.XLOOKUP(B187,'Base stats'!B:B,'Base stats'!AZ:AZ)^0.25
  / (_xlfn.XLOOKUP(B187,'Base stats'!B:B,'Base stats'!BJ:BJ)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stats'!BT:BT),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stats'!BG:BG)^0.73)^0.6 *_xlfn.XLOOKUP(B187,'Base stats'!B:B,'Base stats'!BU:BU),0.1),0.05)
)</f>
        <v>No</v>
      </c>
      <c r="P187" s="11" t="str">
        <f>IF(O187="No","No",
MAX(0.01,MROUND(_xlfn.XLOOKUP(B187,'Base stats'!B:B,'Base stats'!BG:BG) * 0.01 * 2, 0.01))
)</f>
        <v>No</v>
      </c>
      <c r="Q187" s="5" t="str">
        <f>IF(O187="No","No",
MAX(0.01,MROUND(_xlfn.XLOOKUP(B187,'Base stats'!B:B,'Base stats'!BS:BS)/10000,0.01))
)</f>
        <v>No</v>
      </c>
      <c r="R187" s="4" t="str">
        <f>IF(O187="No","No",
MROUND(_xlfn.XLOOKUP(B187,'Base stats'!B:B,'Base stats'!AY:AY)^0.25
/((_xlfn.XLOOKUP(B187,'Base stats'!B:B,'Base stats'!BK:BK))*10)*_xlfn.XLOOKUP(_xlfn.XLOOKUP(B187,'Base stats'!B:B,'Base stats'!E:E),Groups!A:A,Groups!Z:Z)*150 + 0.5 + _xlfn.XLOOKUP(B187,'Base stats'!B:B,'Base stats'!BT:BT),
0.05))</f>
        <v>No</v>
      </c>
      <c r="S187" s="3" t="str">
        <f>IF(Animals!AI187="No","No",
IF(_xlfn.XLOOKUP(B187,'Base stats'!B:B,'Base stats'!U:U)="No",
MAX(MROUND(_xlfn.XLOOKUP(B187,'Base stats'!B:B,'Base stats'!BQ:BQ) * _xlfn.XLOOKUP(B187,'Base stats'!B:B,'Base stats'!BM:BM)^0.9 / 21 * _xlfn.XLOOKUP(B187,'Base stats'!B:B,'Base stats'!BU:BU),0.1),0.05),
MAX(MROUND(((MIN(12,_xlfn.XLOOKUP(B187,'Base stats'!B:B,'Base stats'!U:U)))^0.4*_xlfn.XLOOKUP(B187,'Base stats'!B:B,'Base stats'!BE:BE)^0.73)^0.6 * _xlfn.XLOOKUP(B187,'Base stats'!B:B,'Base stats'!BU:BU),0.1),0.05)
))</f>
        <v>No</v>
      </c>
      <c r="T187" s="11" t="str">
        <f>IF(S187="No","No",
MAX(0.01,MROUND(_xlfn.XLOOKUP(B187,'Base stats'!B:B,'Base stats'!BE:BE) * 0.01 * 2, 0.01))
)</f>
        <v>No</v>
      </c>
      <c r="U187" s="5" t="str">
        <f>IF(S187="No","No",IF(_xlfn.XLOOKUP(B187,'Base stats'!B:B,'Base stats'!U:U)="No","No",
MAX(0.01,MROUND(_xlfn.XLOOKUP(B187,'Base stats'!B:B,'Base stats'!BQ:BQ)/10000,0.01))
))</f>
        <v>No</v>
      </c>
      <c r="V187" s="4" t="str">
        <f>IF(S187="No","No",
MROUND(_xlfn.XLOOKUP(B187,'Base stats'!B:B,'Base stats'!BC:BC)^0.25
/((_xlfn.XLOOKUP(B187,'Base stats'!B:B,'Base stats'!BL:BL))*10)*_xlfn.XLOOKUP(_xlfn.XLOOKUP(B187,'Base stats'!B:B,'Base stats'!E:E),Groups!A:A,Groups!AE:AE)*150 + 0.5 + _xlfn.XLOOKUP(B187,'Base stats'!B:B,'Base stats'!BT:BT),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stats'!AN:AN)*_xlfn.XLOOKUP(_xlfn.XLOOKUP(B187,'Base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stats'!AN:AN)*0.01,2)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stats'!BP:BP) * (_xlfn.XLOOKUP(B188,'Base stats'!B:B,'Base stats'!AL:AL)*5%)^0.9 / 21,0.1),0.05)</f>
        <v>11.3</v>
      </c>
      <c r="E188" s="11">
        <f>MAX(0.01,MROUND(_xlfn.XLOOKUP(B188,'Base stats'!B:B,'Base stats'!BD:BD) * 0.01 * 2, 0.01))</f>
        <v>10.27</v>
      </c>
      <c r="F188" s="7">
        <f>MROUND(_xlfn.XLOOKUP(B188,'Base stats'!B:B,'Base stats'!BA:BA)^0.25 / (_xlfn.XLOOKUP(B188,'Base stats'!B:B,'Base stats'!BH:BH) * 10) * 150 + 0.5 + _xlfn.XLOOKUP(B188,'Base stats'!B:B,'Base stats'!BT:BT), 0.05)</f>
        <v>1.6</v>
      </c>
      <c r="G188" s="3">
        <f>IF(Animals!S188="No","No",
IF(_xlfn.XLOOKUP(B188,'Base stats'!B:B,'Base stats'!U:U)="No",
MAX(MROUND(_xlfn.XLOOKUP(B188,'Base stats'!B:B,'Base stats'!BQ:BQ) * _xlfn.XLOOKUP(B188,'Base stats'!B:B,'Base stats'!BM:BM)^0.9 / 21 * _xlfn.XLOOKUP(B188,'Base stats'!B:B,'Base stats'!BU:BU),0.1),0.05),
MAX(MROUND(((MIN(10,_xlfn.XLOOKUP(B188,'Base stats'!B:B,'Base stats'!U:U)))^0.4*_xlfn.XLOOKUP(B188,'Base stats'!B:B,'Base stats'!BE:BE)^0.73)^0.6 * _xlfn.XLOOKUP(B188,'Base stats'!B:B,'Base stats'!BU:BU),0.1),0.05)
))</f>
        <v>13.700000000000001</v>
      </c>
      <c r="H188" s="11">
        <f>IF(G188="No","No",
MAX(0.01,MROUND(_xlfn.XLOOKUP(B188,'Base stats'!B:B,'Base stats'!BE:BE) * 0.01 * 2, 0.01))
)</f>
        <v>8.66</v>
      </c>
      <c r="I188" s="11" t="str">
        <f>IF(G188="No","No",IF(_xlfn.XLOOKUP(B188,'Base stats'!B:B,'Base stats'!U:U)="No","No",
MAX(0.01,MROUND(_xlfn.XLOOKUP(B188,'Base stats'!B:B,'Base stats'!BQ:BQ)/10000,0.01))
))</f>
        <v>No</v>
      </c>
      <c r="J188" s="4">
        <f>IF(G188="No","No",
MROUND(_xlfn.XLOOKUP(B188,'Base stats'!B:B,'Base stats'!BB:BB)^0.25
/((_xlfn.XLOOKUP(B188,'Base stats'!B:B,'Base stats'!BI:BI))*10)*_xlfn.XLOOKUP(_xlfn.XLOOKUP(B188,'Base stats'!B:B,'Base stats'!E:E),Groups!A:A,Groups!Q:Q)*150 + 0.5 + _xlfn.XLOOKUP(B188,'Base stats'!B:B,'Base stats'!BT:BT),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stats'!BR:BR) * _xlfn.XLOOKUP(B188,'Base stats'!B:B,'Base stats'!BN:BN)^0.9 / 21 *_xlfn.XLOOKUP(B188,'Base stats'!B:B,'Base stats'!BU:BU),0.1),0.05),
MAX(MROUND(((MIN(10,_xlfn.XLOOKUP(B188,'Base stats'!B:B,'Base stats'!W:W)))^0.4*_xlfn.XLOOKUP(B188,'Base stats'!B:B,'Base stats'!BF:BF)^0.73)^0.6 *_xlfn.XLOOKUP(B188,'Base stats'!B:B,'Base stats'!BU:BU),0.1),0.05)
))</f>
        <v>13.5</v>
      </c>
      <c r="L188" s="11">
        <f>IF(K188="No","No",
MAX(0.01,MROUND(_xlfn.XLOOKUP(B188,'Base stats'!B:B,'Base stats'!BF:BF)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stats'!BR:BR)/10000,0.01))
))</f>
        <v>No</v>
      </c>
      <c r="N188" s="4">
        <f>IF(K188="No","No",
MROUND(
  _xlfn.XLOOKUP(B188,'Base stats'!B:B,'Base stats'!AZ:AZ)^0.25
  / (_xlfn.XLOOKUP(B188,'Base stats'!B:B,'Base stats'!BJ:BJ)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stats'!BT:BT),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stats'!BG:BG)^0.73)^0.6 *_xlfn.XLOOKUP(B188,'Base stats'!B:B,'Base stats'!BU:BU),0.1),0.05)
)</f>
        <v>No</v>
      </c>
      <c r="P188" s="11" t="str">
        <f>IF(O188="No","No",
MAX(0.01,MROUND(_xlfn.XLOOKUP(B188,'Base stats'!B:B,'Base stats'!BG:BG) * 0.01 * 2, 0.01))
)</f>
        <v>No</v>
      </c>
      <c r="Q188" s="5" t="str">
        <f>IF(O188="No","No",
MAX(0.01,MROUND(_xlfn.XLOOKUP(B188,'Base stats'!B:B,'Base stats'!BS:BS)/10000,0.01))
)</f>
        <v>No</v>
      </c>
      <c r="R188" s="4" t="str">
        <f>IF(O188="No","No",
MROUND(_xlfn.XLOOKUP(B188,'Base stats'!B:B,'Base stats'!AY:AY)^0.25
/((_xlfn.XLOOKUP(B188,'Base stats'!B:B,'Base stats'!BK:BK))*10)*_xlfn.XLOOKUP(_xlfn.XLOOKUP(B188,'Base stats'!B:B,'Base stats'!E:E),Groups!A:A,Groups!Z:Z)*150 + 0.5 + _xlfn.XLOOKUP(B188,'Base stats'!B:B,'Base stats'!BT:BT),
0.05))</f>
        <v>No</v>
      </c>
      <c r="S188" s="3" t="str">
        <f>IF(Animals!AI188="No","No",
IF(_xlfn.XLOOKUP(B188,'Base stats'!B:B,'Base stats'!U:U)="No",
MAX(MROUND(_xlfn.XLOOKUP(B188,'Base stats'!B:B,'Base stats'!BQ:BQ) * _xlfn.XLOOKUP(B188,'Base stats'!B:B,'Base stats'!BM:BM)^0.9 / 21 * _xlfn.XLOOKUP(B188,'Base stats'!B:B,'Base stats'!BU:BU),0.1),0.05),
MAX(MROUND(((MIN(12,_xlfn.XLOOKUP(B188,'Base stats'!B:B,'Base stats'!U:U)))^0.4*_xlfn.XLOOKUP(B188,'Base stats'!B:B,'Base stats'!BE:BE)^0.73)^0.6 * _xlfn.XLOOKUP(B188,'Base stats'!B:B,'Base stats'!BU:BU),0.1),0.05)
))</f>
        <v>No</v>
      </c>
      <c r="T188" s="11" t="str">
        <f>IF(S188="No","No",
MAX(0.01,MROUND(_xlfn.XLOOKUP(B188,'Base stats'!B:B,'Base stats'!BE:BE) * 0.01 * 2, 0.01))
)</f>
        <v>No</v>
      </c>
      <c r="U188" s="5" t="str">
        <f>IF(S188="No","No",IF(_xlfn.XLOOKUP(B188,'Base stats'!B:B,'Base stats'!U:U)="No","No",
MAX(0.01,MROUND(_xlfn.XLOOKUP(B188,'Base stats'!B:B,'Base stats'!BQ:BQ)/10000,0.01))
))</f>
        <v>No</v>
      </c>
      <c r="V188" s="4" t="str">
        <f>IF(S188="No","No",
MROUND(_xlfn.XLOOKUP(B188,'Base stats'!B:B,'Base stats'!BC:BC)^0.25
/((_xlfn.XLOOKUP(B188,'Base stats'!B:B,'Base stats'!BL:BL))*10)*_xlfn.XLOOKUP(_xlfn.XLOOKUP(B188,'Base stats'!B:B,'Base stats'!E:E),Groups!A:A,Groups!AE:AE)*150 + 0.5 + _xlfn.XLOOKUP(B188,'Base stats'!B:B,'Base stats'!BT:BT),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stats'!AN:AN)*_xlfn.XLOOKUP(_xlfn.XLOOKUP(B188,'Base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stats'!AN:AN)*0.01,2)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stats'!BP:BP) * (_xlfn.XLOOKUP(B189,'Base stats'!B:B,'Base stats'!AL:AL)*5%)^0.9 / 21,0.1),0.05)</f>
        <v>0.5</v>
      </c>
      <c r="E189" s="11">
        <f>MAX(0.01,MROUND(_xlfn.XLOOKUP(B189,'Base stats'!B:B,'Base stats'!BD:BD) * 0.01 * 2, 0.01))</f>
        <v>0.4</v>
      </c>
      <c r="F189" s="7">
        <f>MROUND(_xlfn.XLOOKUP(B189,'Base stats'!B:B,'Base stats'!BA:BA)^0.25 / (_xlfn.XLOOKUP(B189,'Base stats'!B:B,'Base stats'!BH:BH) * 10) * 150 + 0.5 + _xlfn.XLOOKUP(B189,'Base stats'!B:B,'Base stats'!BT:BT), 0.05)</f>
        <v>1.4000000000000001</v>
      </c>
      <c r="G189" s="3" t="str">
        <f>IF(Animals!S189="No","No",
IF(_xlfn.XLOOKUP(B189,'Base stats'!B:B,'Base stats'!U:U)="No",
MAX(MROUND(_xlfn.XLOOKUP(B189,'Base stats'!B:B,'Base stats'!BQ:BQ) * _xlfn.XLOOKUP(B189,'Base stats'!B:B,'Base stats'!BM:BM)^0.9 / 21 * _xlfn.XLOOKUP(B189,'Base stats'!B:B,'Base stats'!BU:BU),0.1),0.05),
MAX(MROUND(((MIN(10,_xlfn.XLOOKUP(B189,'Base stats'!B:B,'Base stats'!U:U)))^0.4*_xlfn.XLOOKUP(B189,'Base stats'!B:B,'Base stats'!BE:BE)^0.73)^0.6 * _xlfn.XLOOKUP(B189,'Base stats'!B:B,'Base stats'!BU:BU),0.1),0.05)
))</f>
        <v>No</v>
      </c>
      <c r="H189" s="11" t="str">
        <f>IF(G189="No","No",
MAX(0.01,MROUND(_xlfn.XLOOKUP(B189,'Base stats'!B:B,'Base stats'!BE:BE) * 0.01 * 2, 0.01))
)</f>
        <v>No</v>
      </c>
      <c r="I189" s="11" t="str">
        <f>IF(G189="No","No",IF(_xlfn.XLOOKUP(B189,'Base stats'!B:B,'Base stats'!U:U)="No","No",
MAX(0.01,MROUND(_xlfn.XLOOKUP(B189,'Base stats'!B:B,'Base stats'!BQ:BQ)/10000,0.01))
))</f>
        <v>No</v>
      </c>
      <c r="J189" s="4" t="str">
        <f>IF(G189="No","No",
MROUND(_xlfn.XLOOKUP(B189,'Base stats'!B:B,'Base stats'!BB:BB)^0.25
/((_xlfn.XLOOKUP(B189,'Base stats'!B:B,'Base stats'!BI:BI))*10)*_xlfn.XLOOKUP(_xlfn.XLOOKUP(B189,'Base stats'!B:B,'Base stats'!E:E),Groups!A:A,Groups!Q:Q)*150 + 0.5 + _xlfn.XLOOKUP(B189,'Base stats'!B:B,'Base stats'!BT:BT),
0.05))</f>
        <v>No</v>
      </c>
      <c r="K189" s="3" t="str">
        <f>IF(Animals!X189="No","No",
IF(_xlfn.XLOOKUP(_xlfn.XLOOKUP(B189,'Base stats'!B:B,'Base stats'!E:E),Groups!A:A,Groups!BD:BD)=1,
MAX(MROUND(_xlfn.XLOOKUP(B189,'Base stats'!B:B,'Base stats'!BR:BR) * _xlfn.XLOOKUP(B189,'Base stats'!B:B,'Base stats'!BN:BN)^0.9 / 21 *_xlfn.XLOOKUP(B189,'Base stats'!B:B,'Base stats'!BU:BU),0.1),0.05),
MAX(MROUND(((MIN(10,_xlfn.XLOOKUP(B189,'Base stats'!B:B,'Base stats'!W:W)))^0.4*_xlfn.XLOOKUP(B189,'Base stats'!B:B,'Base stats'!BF:BF)^0.73)^0.6 *_xlfn.XLOOKUP(B189,'Base stats'!B:B,'Base stats'!BU:BU),0.1),0.05)
))</f>
        <v>No</v>
      </c>
      <c r="L189" s="11" t="str">
        <f>IF(K189="No","No",
MAX(0.01,MROUND(_xlfn.XLOOKUP(B189,'Base stats'!B:B,'Base stats'!BF:BF)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stats'!BR:BR)/10000,0.01))
))</f>
        <v>No</v>
      </c>
      <c r="N189" s="4" t="str">
        <f>IF(K189="No","No",
MROUND(
  _xlfn.XLOOKUP(B189,'Base stats'!B:B,'Base stats'!AZ:AZ)^0.25
  / (_xlfn.XLOOKUP(B189,'Base stats'!B:B,'Base stats'!BJ:BJ)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stats'!BT:BT),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stats'!BG:BG)^0.73)^0.6 *_xlfn.XLOOKUP(B189,'Base stats'!B:B,'Base stats'!BU:BU),0.1),0.05)
)</f>
        <v>5.2</v>
      </c>
      <c r="P189" s="11">
        <f>IF(O189="No","No",
MAX(0.01,MROUND(_xlfn.XLOOKUP(B189,'Base stats'!B:B,'Base stats'!BG:BG) * 0.01 * 2, 0.01))
)</f>
        <v>0.59</v>
      </c>
      <c r="Q189" s="5">
        <f>IF(O189="No","No",
MAX(0.01,MROUND(_xlfn.XLOOKUP(B189,'Base stats'!B:B,'Base stats'!BS:BS)/10000,0.01))
)</f>
        <v>7.0000000000000007E-2</v>
      </c>
      <c r="R189" s="4">
        <f>IF(O189="No","No",
MROUND(_xlfn.XLOOKUP(B189,'Base stats'!B:B,'Base stats'!AY:AY)^0.25
/((_xlfn.XLOOKUP(B189,'Base stats'!B:B,'Base stats'!BK:BK))*10)*_xlfn.XLOOKUP(_xlfn.XLOOKUP(B189,'Base stats'!B:B,'Base stats'!E:E),Groups!A:A,Groups!Z:Z)*150 + 0.5 + _xlfn.XLOOKUP(B189,'Base stats'!B:B,'Base stats'!BT:BT),
0.05))</f>
        <v>1.9000000000000001</v>
      </c>
      <c r="S189" s="3">
        <f>IF(Animals!AI189="No","No",
IF(_xlfn.XLOOKUP(B189,'Base stats'!B:B,'Base stats'!U:U)="No",
MAX(MROUND(_xlfn.XLOOKUP(B189,'Base stats'!B:B,'Base stats'!BQ:BQ) * _xlfn.XLOOKUP(B189,'Base stats'!B:B,'Base stats'!BM:BM)^0.9 / 21 * _xlfn.XLOOKUP(B189,'Base stats'!B:B,'Base stats'!BU:BU),0.1),0.05),
MAX(MROUND(((MIN(12,_xlfn.XLOOKUP(B189,'Base stats'!B:B,'Base stats'!U:U)))^0.4*_xlfn.XLOOKUP(B189,'Base stats'!B:B,'Base stats'!BE:BE)^0.73)^0.6 * _xlfn.XLOOKUP(B189,'Base stats'!B:B,'Base stats'!BU:BU),0.1),0.05)
))</f>
        <v>5.9</v>
      </c>
      <c r="T189" s="11">
        <f>IF(S189="No","No",
MAX(0.01,MROUND(_xlfn.XLOOKUP(B189,'Base stats'!B:B,'Base stats'!BE:BE) * 0.01 * 2, 0.01))
)</f>
        <v>0.57000000000000006</v>
      </c>
      <c r="U189" s="5">
        <f>IF(S189="No","No",IF(_xlfn.XLOOKUP(B189,'Base stats'!B:B,'Base stats'!U:U)="No","No",
MAX(0.01,MROUND(_xlfn.XLOOKUP(B189,'Base stats'!B:B,'Base stats'!BQ:BQ)/10000,0.01))
))</f>
        <v>7.0000000000000007E-2</v>
      </c>
      <c r="V189" s="4">
        <f>IF(S189="No","No",
MROUND(_xlfn.XLOOKUP(B189,'Base stats'!B:B,'Base stats'!BC:BC)^0.25
/((_xlfn.XLOOKUP(B189,'Base stats'!B:B,'Base stats'!BL:BL))*10)*_xlfn.XLOOKUP(_xlfn.XLOOKUP(B189,'Base stats'!B:B,'Base stats'!E:E),Groups!A:A,Groups!AE:AE)*150 + 0.5 + _xlfn.XLOOKUP(B189,'Base stats'!B:B,'Base stats'!BT:BT),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stats'!AN:AN)*_xlfn.XLOOKUP(_xlfn.XLOOKUP(B189,'Base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stats'!AN:AN)*0.01,2)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stats'!BP:BP) * (_xlfn.XLOOKUP(B190,'Base stats'!B:B,'Base stats'!AL:AL)*5%)^0.9 / 21,0.1),0.05)</f>
        <v>4.3</v>
      </c>
      <c r="E190" s="11">
        <f>MAX(0.01,MROUND(_xlfn.XLOOKUP(B190,'Base stats'!B:B,'Base stats'!BD:BD) * 0.01 * 2, 0.01))</f>
        <v>3.74</v>
      </c>
      <c r="F190" s="7">
        <f>MROUND(_xlfn.XLOOKUP(B190,'Base stats'!B:B,'Base stats'!BA:BA)^0.25 / (_xlfn.XLOOKUP(B190,'Base stats'!B:B,'Base stats'!BH:BH) * 10) * 150 + 0.5 + _xlfn.XLOOKUP(B190,'Base stats'!B:B,'Base stats'!BT:BT), 0.05)</f>
        <v>1.75</v>
      </c>
      <c r="G190" s="3" t="str">
        <f>IF(Animals!S190="No","No",
IF(_xlfn.XLOOKUP(B190,'Base stats'!B:B,'Base stats'!U:U)="No",
MAX(MROUND(_xlfn.XLOOKUP(B190,'Base stats'!B:B,'Base stats'!BQ:BQ) * _xlfn.XLOOKUP(B190,'Base stats'!B:B,'Base stats'!BM:BM)^0.9 / 21 * _xlfn.XLOOKUP(B190,'Base stats'!B:B,'Base stats'!BU:BU),0.1),0.05),
MAX(MROUND(((MIN(10,_xlfn.XLOOKUP(B190,'Base stats'!B:B,'Base stats'!U:U)))^0.4*_xlfn.XLOOKUP(B190,'Base stats'!B:B,'Base stats'!BE:BE)^0.73)^0.6 * _xlfn.XLOOKUP(B190,'Base stats'!B:B,'Base stats'!BU:BU),0.1),0.05)
))</f>
        <v>No</v>
      </c>
      <c r="H190" s="11" t="str">
        <f>IF(G190="No","No",
MAX(0.01,MROUND(_xlfn.XLOOKUP(B190,'Base stats'!B:B,'Base stats'!BE:BE) * 0.01 * 2, 0.01))
)</f>
        <v>No</v>
      </c>
      <c r="I190" s="11" t="str">
        <f>IF(G190="No","No",IF(_xlfn.XLOOKUP(B190,'Base stats'!B:B,'Base stats'!U:U)="No","No",
MAX(0.01,MROUND(_xlfn.XLOOKUP(B190,'Base stats'!B:B,'Base stats'!BQ:BQ)/10000,0.01))
))</f>
        <v>No</v>
      </c>
      <c r="J190" s="4" t="str">
        <f>IF(G190="No","No",
MROUND(_xlfn.XLOOKUP(B190,'Base stats'!B:B,'Base stats'!BB:BB)^0.25
/((_xlfn.XLOOKUP(B190,'Base stats'!B:B,'Base stats'!BI:BI))*10)*_xlfn.XLOOKUP(_xlfn.XLOOKUP(B190,'Base stats'!B:B,'Base stats'!E:E),Groups!A:A,Groups!Q:Q)*150 + 0.5 + _xlfn.XLOOKUP(B190,'Base stats'!B:B,'Base stats'!BT:BT),
0.05))</f>
        <v>No</v>
      </c>
      <c r="K190" s="3" t="str">
        <f>IF(Animals!X190="No","No",
IF(_xlfn.XLOOKUP(_xlfn.XLOOKUP(B190,'Base stats'!B:B,'Base stats'!E:E),Groups!A:A,Groups!BD:BD)=1,
MAX(MROUND(_xlfn.XLOOKUP(B190,'Base stats'!B:B,'Base stats'!BR:BR) * _xlfn.XLOOKUP(B190,'Base stats'!B:B,'Base stats'!BN:BN)^0.9 / 21 *_xlfn.XLOOKUP(B190,'Base stats'!B:B,'Base stats'!BU:BU),0.1),0.05),
MAX(MROUND(((MIN(10,_xlfn.XLOOKUP(B190,'Base stats'!B:B,'Base stats'!W:W)))^0.4*_xlfn.XLOOKUP(B190,'Base stats'!B:B,'Base stats'!BF:BF)^0.73)^0.6 *_xlfn.XLOOKUP(B190,'Base stats'!B:B,'Base stats'!BU:BU),0.1),0.05)
))</f>
        <v>No</v>
      </c>
      <c r="L190" s="11" t="str">
        <f>IF(K190="No","No",
MAX(0.01,MROUND(_xlfn.XLOOKUP(B190,'Base stats'!B:B,'Base stats'!BF:BF)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stats'!BR:BR)/10000,0.01))
))</f>
        <v>No</v>
      </c>
      <c r="N190" s="4" t="str">
        <f>IF(K190="No","No",
MROUND(
  _xlfn.XLOOKUP(B190,'Base stats'!B:B,'Base stats'!AZ:AZ)^0.25
  / (_xlfn.XLOOKUP(B190,'Base stats'!B:B,'Base stats'!BJ:BJ)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stats'!BT:BT),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stats'!BG:BG)^0.73)^0.6 *_xlfn.XLOOKUP(B190,'Base stats'!B:B,'Base stats'!BU:BU),0.1),0.05)
)</f>
        <v>11.5</v>
      </c>
      <c r="P190" s="11">
        <f>IF(O190="No","No",
MAX(0.01,MROUND(_xlfn.XLOOKUP(B190,'Base stats'!B:B,'Base stats'!BG:BG) * 0.01 * 2, 0.01))
)</f>
        <v>2.79</v>
      </c>
      <c r="Q190" s="5">
        <f>IF(O190="No","No",
MAX(0.01,MROUND(_xlfn.XLOOKUP(B190,'Base stats'!B:B,'Base stats'!BS:BS)/10000,0.01))
)</f>
        <v>0.12</v>
      </c>
      <c r="R190" s="4">
        <f>IF(O190="No","No",
MROUND(_xlfn.XLOOKUP(B190,'Base stats'!B:B,'Base stats'!AY:AY)^0.25
/((_xlfn.XLOOKUP(B190,'Base stats'!B:B,'Base stats'!BK:BK))*10)*_xlfn.XLOOKUP(_xlfn.XLOOKUP(B190,'Base stats'!B:B,'Base stats'!E:E),Groups!A:A,Groups!Z:Z)*150 + 0.5 + _xlfn.XLOOKUP(B190,'Base stats'!B:B,'Base stats'!BT:BT),
0.05))</f>
        <v>2.1</v>
      </c>
      <c r="S190" s="3">
        <f>IF(Animals!AI190="No","No",
IF(_xlfn.XLOOKUP(B190,'Base stats'!B:B,'Base stats'!U:U)="No",
MAX(MROUND(_xlfn.XLOOKUP(B190,'Base stats'!B:B,'Base stats'!BQ:BQ) * _xlfn.XLOOKUP(B190,'Base stats'!B:B,'Base stats'!BM:BM)^0.9 / 21 * _xlfn.XLOOKUP(B190,'Base stats'!B:B,'Base stats'!BU:BU),0.1),0.05),
MAX(MROUND(((MIN(12,_xlfn.XLOOKUP(B190,'Base stats'!B:B,'Base stats'!U:U)))^0.4*_xlfn.XLOOKUP(B190,'Base stats'!B:B,'Base stats'!BE:BE)^0.73)^0.6 * _xlfn.XLOOKUP(B190,'Base stats'!B:B,'Base stats'!BU:BU),0.1),0.05)
))</f>
        <v>9.2000000000000011</v>
      </c>
      <c r="T190" s="11">
        <f>IF(S190="No","No",
MAX(0.01,MROUND(_xlfn.XLOOKUP(B190,'Base stats'!B:B,'Base stats'!BE:BE) * 0.01 * 2, 0.01))
)</f>
        <v>4.6000000000000005</v>
      </c>
      <c r="U190" s="5" t="str">
        <f>IF(S190="No","No",IF(_xlfn.XLOOKUP(B190,'Base stats'!B:B,'Base stats'!U:U)="No","No",
MAX(0.01,MROUND(_xlfn.XLOOKUP(B190,'Base stats'!B:B,'Base stats'!BQ:BQ)/10000,0.01))
))</f>
        <v>No</v>
      </c>
      <c r="V190" s="4">
        <f>IF(S190="No","No",
MROUND(_xlfn.XLOOKUP(B190,'Base stats'!B:B,'Base stats'!BC:BC)^0.25
/((_xlfn.XLOOKUP(B190,'Base stats'!B:B,'Base stats'!BL:BL))*10)*_xlfn.XLOOKUP(_xlfn.XLOOKUP(B190,'Base stats'!B:B,'Base stats'!E:E),Groups!A:A,Groups!AE:AE)*150 + 0.5 + _xlfn.XLOOKUP(B190,'Base stats'!B:B,'Base stats'!BT:BT),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stats'!AN:AN)*_xlfn.XLOOKUP(_xlfn.XLOOKUP(B190,'Base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stats'!AN:AN)*0.01,2)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stats'!BP:BP) * (_xlfn.XLOOKUP(B191,'Base stats'!B:B,'Base stats'!AL:AL)*5%)^0.9 / 21,0.1),0.05)</f>
        <v>1.1000000000000001</v>
      </c>
      <c r="E191" s="11">
        <f>MAX(0.01,MROUND(_xlfn.XLOOKUP(B191,'Base stats'!B:B,'Base stats'!BD:BD) * 0.01 * 2, 0.01))</f>
        <v>0.85</v>
      </c>
      <c r="F191" s="7">
        <f>MROUND(_xlfn.XLOOKUP(B191,'Base stats'!B:B,'Base stats'!BA:BA)^0.25 / (_xlfn.XLOOKUP(B191,'Base stats'!B:B,'Base stats'!BH:BH) * 10) * 150 + 0.5 + _xlfn.XLOOKUP(B191,'Base stats'!B:B,'Base stats'!BT:BT), 0.05)</f>
        <v>1.75</v>
      </c>
      <c r="G191" s="3" t="str">
        <f>IF(Animals!S191="No","No",
IF(_xlfn.XLOOKUP(B191,'Base stats'!B:B,'Base stats'!U:U)="No",
MAX(MROUND(_xlfn.XLOOKUP(B191,'Base stats'!B:B,'Base stats'!BQ:BQ) * _xlfn.XLOOKUP(B191,'Base stats'!B:B,'Base stats'!BM:BM)^0.9 / 21 * _xlfn.XLOOKUP(B191,'Base stats'!B:B,'Base stats'!BU:BU),0.1),0.05),
MAX(MROUND(((MIN(10,_xlfn.XLOOKUP(B191,'Base stats'!B:B,'Base stats'!U:U)))^0.4*_xlfn.XLOOKUP(B191,'Base stats'!B:B,'Base stats'!BE:BE)^0.73)^0.6 * _xlfn.XLOOKUP(B191,'Base stats'!B:B,'Base stats'!BU:BU),0.1),0.05)
))</f>
        <v>No</v>
      </c>
      <c r="H191" s="11" t="str">
        <f>IF(G191="No","No",
MAX(0.01,MROUND(_xlfn.XLOOKUP(B191,'Base stats'!B:B,'Base stats'!BE:BE) * 0.01 * 2, 0.01))
)</f>
        <v>No</v>
      </c>
      <c r="I191" s="11" t="str">
        <f>IF(G191="No","No",IF(_xlfn.XLOOKUP(B191,'Base stats'!B:B,'Base stats'!U:U)="No","No",
MAX(0.01,MROUND(_xlfn.XLOOKUP(B191,'Base stats'!B:B,'Base stats'!BQ:BQ)/10000,0.01))
))</f>
        <v>No</v>
      </c>
      <c r="J191" s="4" t="str">
        <f>IF(G191="No","No",
MROUND(_xlfn.XLOOKUP(B191,'Base stats'!B:B,'Base stats'!BB:BB)^0.25
/((_xlfn.XLOOKUP(B191,'Base stats'!B:B,'Base stats'!BI:BI))*10)*_xlfn.XLOOKUP(_xlfn.XLOOKUP(B191,'Base stats'!B:B,'Base stats'!E:E),Groups!A:A,Groups!Q:Q)*150 + 0.5 + _xlfn.XLOOKUP(B191,'Base stats'!B:B,'Base stats'!BT:BT),
0.05))</f>
        <v>No</v>
      </c>
      <c r="K191" s="3" t="str">
        <f>IF(Animals!X191="No","No",
IF(_xlfn.XLOOKUP(_xlfn.XLOOKUP(B191,'Base stats'!B:B,'Base stats'!E:E),Groups!A:A,Groups!BD:BD)=1,
MAX(MROUND(_xlfn.XLOOKUP(B191,'Base stats'!B:B,'Base stats'!BR:BR) * _xlfn.XLOOKUP(B191,'Base stats'!B:B,'Base stats'!BN:BN)^0.9 / 21 *_xlfn.XLOOKUP(B191,'Base stats'!B:B,'Base stats'!BU:BU),0.1),0.05),
MAX(MROUND(((MIN(10,_xlfn.XLOOKUP(B191,'Base stats'!B:B,'Base stats'!W:W)))^0.4*_xlfn.XLOOKUP(B191,'Base stats'!B:B,'Base stats'!BF:BF)^0.73)^0.6 *_xlfn.XLOOKUP(B191,'Base stats'!B:B,'Base stats'!BU:BU),0.1),0.05)
))</f>
        <v>No</v>
      </c>
      <c r="L191" s="11" t="str">
        <f>IF(K191="No","No",
MAX(0.01,MROUND(_xlfn.XLOOKUP(B191,'Base stats'!B:B,'Base stats'!BF:BF)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stats'!BR:BR)/10000,0.01))
))</f>
        <v>No</v>
      </c>
      <c r="N191" s="4" t="str">
        <f>IF(K191="No","No",
MROUND(
  _xlfn.XLOOKUP(B191,'Base stats'!B:B,'Base stats'!AZ:AZ)^0.25
  / (_xlfn.XLOOKUP(B191,'Base stats'!B:B,'Base stats'!BJ:BJ)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stats'!BT:BT),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stats'!BG:BG)^0.73)^0.6 *_xlfn.XLOOKUP(B191,'Base stats'!B:B,'Base stats'!BU:BU),0.1),0.05)
)</f>
        <v>3.2</v>
      </c>
      <c r="P191" s="11">
        <f>IF(O191="No","No",
MAX(0.01,MROUND(_xlfn.XLOOKUP(B191,'Base stats'!B:B,'Base stats'!BG:BG) * 0.01 * 2, 0.01))
)</f>
        <v>0.17</v>
      </c>
      <c r="Q191" s="5">
        <f>IF(O191="No","No",
MAX(0.01,MROUND(_xlfn.XLOOKUP(B191,'Base stats'!B:B,'Base stats'!BS:BS)/10000,0.01))
)</f>
        <v>0.01</v>
      </c>
      <c r="R191" s="4">
        <f>IF(O191="No","No",
MROUND(_xlfn.XLOOKUP(B191,'Base stats'!B:B,'Base stats'!AY:AY)^0.25
/((_xlfn.XLOOKUP(B191,'Base stats'!B:B,'Base stats'!BK:BK))*10)*_xlfn.XLOOKUP(_xlfn.XLOOKUP(B191,'Base stats'!B:B,'Base stats'!E:E),Groups!A:A,Groups!Z:Z)*150 + 0.5 + _xlfn.XLOOKUP(B191,'Base stats'!B:B,'Base stats'!BT:BT),
0.05))</f>
        <v>2.1</v>
      </c>
      <c r="S191" s="3" t="str">
        <f>IF(Animals!AI191="No","No",
IF(_xlfn.XLOOKUP(B191,'Base stats'!B:B,'Base stats'!U:U)="No",
MAX(MROUND(_xlfn.XLOOKUP(B191,'Base stats'!B:B,'Base stats'!BQ:BQ) * _xlfn.XLOOKUP(B191,'Base stats'!B:B,'Base stats'!BM:BM)^0.9 / 21 * _xlfn.XLOOKUP(B191,'Base stats'!B:B,'Base stats'!BU:BU),0.1),0.05),
MAX(MROUND(((MIN(12,_xlfn.XLOOKUP(B191,'Base stats'!B:B,'Base stats'!U:U)))^0.4*_xlfn.XLOOKUP(B191,'Base stats'!B:B,'Base stats'!BE:BE)^0.73)^0.6 * _xlfn.XLOOKUP(B191,'Base stats'!B:B,'Base stats'!BU:BU),0.1),0.05)
))</f>
        <v>No</v>
      </c>
      <c r="T191" s="11" t="str">
        <f>IF(S191="No","No",
MAX(0.01,MROUND(_xlfn.XLOOKUP(B191,'Base stats'!B:B,'Base stats'!BE:BE) * 0.01 * 2, 0.01))
)</f>
        <v>No</v>
      </c>
      <c r="U191" s="5" t="str">
        <f>IF(S191="No","No",IF(_xlfn.XLOOKUP(B191,'Base stats'!B:B,'Base stats'!U:U)="No","No",
MAX(0.01,MROUND(_xlfn.XLOOKUP(B191,'Base stats'!B:B,'Base stats'!BQ:BQ)/10000,0.01))
))</f>
        <v>No</v>
      </c>
      <c r="V191" s="4" t="str">
        <f>IF(S191="No","No",
MROUND(_xlfn.XLOOKUP(B191,'Base stats'!B:B,'Base stats'!BC:BC)^0.25
/((_xlfn.XLOOKUP(B191,'Base stats'!B:B,'Base stats'!BL:BL))*10)*_xlfn.XLOOKUP(_xlfn.XLOOKUP(B191,'Base stats'!B:B,'Base stats'!E:E),Groups!A:A,Groups!AE:AE)*150 + 0.5 + _xlfn.XLOOKUP(B191,'Base stats'!B:B,'Base stats'!BT:BT),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stats'!AN:AN)*_xlfn.XLOOKUP(_xlfn.XLOOKUP(B191,'Base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stats'!AN:AN)*0.01,2)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stats'!BP:BP) * (_xlfn.XLOOKUP(B192,'Base stats'!B:B,'Base stats'!AL:AL)*5%)^0.9 / 21,0.1),0.05)</f>
        <v>27.200000000000003</v>
      </c>
      <c r="E192" s="11">
        <f>MAX(0.01,MROUND(_xlfn.XLOOKUP(B192,'Base stats'!B:B,'Base stats'!BD:BD) * 0.01 * 2, 0.01))</f>
        <v>27.26</v>
      </c>
      <c r="F192" s="7">
        <f>MROUND(_xlfn.XLOOKUP(B192,'Base stats'!B:B,'Base stats'!BA:BA)^0.25 / (_xlfn.XLOOKUP(B192,'Base stats'!B:B,'Base stats'!BH:BH) * 10) * 150 + 0.5 + _xlfn.XLOOKUP(B192,'Base stats'!B:B,'Base stats'!BT:BT), 0.05)</f>
        <v>2</v>
      </c>
      <c r="G192" s="3" t="str">
        <f>IF(Animals!S192="No","No",
IF(_xlfn.XLOOKUP(B192,'Base stats'!B:B,'Base stats'!U:U)="No",
MAX(MROUND(_xlfn.XLOOKUP(B192,'Base stats'!B:B,'Base stats'!BQ:BQ) * _xlfn.XLOOKUP(B192,'Base stats'!B:B,'Base stats'!BM:BM)^0.9 / 21 * _xlfn.XLOOKUP(B192,'Base stats'!B:B,'Base stats'!BU:BU),0.1),0.05),
MAX(MROUND(((MIN(10,_xlfn.XLOOKUP(B192,'Base stats'!B:B,'Base stats'!U:U)))^0.4*_xlfn.XLOOKUP(B192,'Base stats'!B:B,'Base stats'!BE:BE)^0.73)^0.6 * _xlfn.XLOOKUP(B192,'Base stats'!B:B,'Base stats'!BU:BU),0.1),0.05)
))</f>
        <v>No</v>
      </c>
      <c r="H192" s="11" t="str">
        <f>IF(G192="No","No",
MAX(0.01,MROUND(_xlfn.XLOOKUP(B192,'Base stats'!B:B,'Base stats'!BE:BE) * 0.01 * 2, 0.01))
)</f>
        <v>No</v>
      </c>
      <c r="I192" s="11" t="str">
        <f>IF(G192="No","No",IF(_xlfn.XLOOKUP(B192,'Base stats'!B:B,'Base stats'!U:U)="No","No",
MAX(0.01,MROUND(_xlfn.XLOOKUP(B192,'Base stats'!B:B,'Base stats'!BQ:BQ)/10000,0.01))
))</f>
        <v>No</v>
      </c>
      <c r="J192" s="4" t="str">
        <f>IF(G192="No","No",
MROUND(_xlfn.XLOOKUP(B192,'Base stats'!B:B,'Base stats'!BB:BB)^0.25
/((_xlfn.XLOOKUP(B192,'Base stats'!B:B,'Base stats'!BI:BI))*10)*_xlfn.XLOOKUP(_xlfn.XLOOKUP(B192,'Base stats'!B:B,'Base stats'!E:E),Groups!A:A,Groups!Q:Q)*150 + 0.5 + _xlfn.XLOOKUP(B192,'Base stats'!B:B,'Base stats'!BT:BT),
0.05))</f>
        <v>No</v>
      </c>
      <c r="K192" s="3" t="str">
        <f>IF(Animals!X192="No","No",
IF(_xlfn.XLOOKUP(_xlfn.XLOOKUP(B192,'Base stats'!B:B,'Base stats'!E:E),Groups!A:A,Groups!BD:BD)=1,
MAX(MROUND(_xlfn.XLOOKUP(B192,'Base stats'!B:B,'Base stats'!BR:BR) * _xlfn.XLOOKUP(B192,'Base stats'!B:B,'Base stats'!BN:BN)^0.9 / 21 *_xlfn.XLOOKUP(B192,'Base stats'!B:B,'Base stats'!BU:BU),0.1),0.05),
MAX(MROUND(((MIN(10,_xlfn.XLOOKUP(B192,'Base stats'!B:B,'Base stats'!W:W)))^0.4*_xlfn.XLOOKUP(B192,'Base stats'!B:B,'Base stats'!BF:BF)^0.73)^0.6 *_xlfn.XLOOKUP(B192,'Base stats'!B:B,'Base stats'!BU:BU),0.1),0.05)
))</f>
        <v>No</v>
      </c>
      <c r="L192" s="11" t="str">
        <f>IF(K192="No","No",
MAX(0.01,MROUND(_xlfn.XLOOKUP(B192,'Base stats'!B:B,'Base stats'!BF:BF)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stats'!BR:BR)/10000,0.01))
))</f>
        <v>No</v>
      </c>
      <c r="N192" s="4" t="str">
        <f>IF(K192="No","No",
MROUND(
  _xlfn.XLOOKUP(B192,'Base stats'!B:B,'Base stats'!AZ:AZ)^0.25
  / (_xlfn.XLOOKUP(B192,'Base stats'!B:B,'Base stats'!BJ:BJ)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stats'!BT:BT),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stats'!BG:BG)^0.73)^0.6 *_xlfn.XLOOKUP(B192,'Base stats'!B:B,'Base stats'!BU:BU),0.1),0.05)
)</f>
        <v>33.4</v>
      </c>
      <c r="P192" s="11">
        <f>IF(O192="No","No",
MAX(0.01,MROUND(_xlfn.XLOOKUP(B192,'Base stats'!B:B,'Base stats'!BG:BG) * 0.01 * 2, 0.01))
)</f>
        <v>17.059999999999999</v>
      </c>
      <c r="Q192" s="5">
        <f>IF(O192="No","No",
MAX(0.01,MROUND(_xlfn.XLOOKUP(B192,'Base stats'!B:B,'Base stats'!BS:BS)/10000,0.01))
)</f>
        <v>0.1</v>
      </c>
      <c r="R192" s="4">
        <f>IF(O192="No","No",
MROUND(_xlfn.XLOOKUP(B192,'Base stats'!B:B,'Base stats'!AY:AY)^0.25
/((_xlfn.XLOOKUP(B192,'Base stats'!B:B,'Base stats'!BK:BK))*10)*_xlfn.XLOOKUP(_xlfn.XLOOKUP(B192,'Base stats'!B:B,'Base stats'!E:E),Groups!A:A,Groups!Z:Z)*150 + 0.5 + _xlfn.XLOOKUP(B192,'Base stats'!B:B,'Base stats'!BT:BT),
0.05))</f>
        <v>2.7</v>
      </c>
      <c r="S192" s="3" t="str">
        <f>IF(Animals!AI192="No","No",
IF(_xlfn.XLOOKUP(B192,'Base stats'!B:B,'Base stats'!U:U)="No",
MAX(MROUND(_xlfn.XLOOKUP(B192,'Base stats'!B:B,'Base stats'!BQ:BQ) * _xlfn.XLOOKUP(B192,'Base stats'!B:B,'Base stats'!BM:BM)^0.9 / 21 * _xlfn.XLOOKUP(B192,'Base stats'!B:B,'Base stats'!BU:BU),0.1),0.05),
MAX(MROUND(((MIN(12,_xlfn.XLOOKUP(B192,'Base stats'!B:B,'Base stats'!U:U)))^0.4*_xlfn.XLOOKUP(B192,'Base stats'!B:B,'Base stats'!BE:BE)^0.73)^0.6 * _xlfn.XLOOKUP(B192,'Base stats'!B:B,'Base stats'!BU:BU),0.1),0.05)
))</f>
        <v>No</v>
      </c>
      <c r="T192" s="11" t="str">
        <f>IF(S192="No","No",
MAX(0.01,MROUND(_xlfn.XLOOKUP(B192,'Base stats'!B:B,'Base stats'!BE:BE) * 0.01 * 2, 0.01))
)</f>
        <v>No</v>
      </c>
      <c r="U192" s="5" t="str">
        <f>IF(S192="No","No",IF(_xlfn.XLOOKUP(B192,'Base stats'!B:B,'Base stats'!U:U)="No","No",
MAX(0.01,MROUND(_xlfn.XLOOKUP(B192,'Base stats'!B:B,'Base stats'!BQ:BQ)/10000,0.01))
))</f>
        <v>No</v>
      </c>
      <c r="V192" s="4" t="str">
        <f>IF(S192="No","No",
MROUND(_xlfn.XLOOKUP(B192,'Base stats'!B:B,'Base stats'!BC:BC)^0.25
/((_xlfn.XLOOKUP(B192,'Base stats'!B:B,'Base stats'!BL:BL))*10)*_xlfn.XLOOKUP(_xlfn.XLOOKUP(B192,'Base stats'!B:B,'Base stats'!E:E),Groups!A:A,Groups!AE:AE)*150 + 0.5 + _xlfn.XLOOKUP(B192,'Base stats'!B:B,'Base stats'!BT:BT),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stats'!AN:AN)*_xlfn.XLOOKUP(_xlfn.XLOOKUP(B192,'Base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stats'!AN:AN)*0.01,2)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stats'!BP:BP) * (_xlfn.XLOOKUP(B193,'Base stats'!B:B,'Base stats'!AL:AL)*5%)^0.9 / 21,0.1),0.05)</f>
        <v>0.5</v>
      </c>
      <c r="E193" s="11">
        <f>MAX(0.01,MROUND(_xlfn.XLOOKUP(B193,'Base stats'!B:B,'Base stats'!BD:BD) * 0.01 * 2, 0.01))</f>
        <v>0.35000000000000003</v>
      </c>
      <c r="F193" s="7">
        <f>MROUND(_xlfn.XLOOKUP(B193,'Base stats'!B:B,'Base stats'!BA:BA)^0.25 / (_xlfn.XLOOKUP(B193,'Base stats'!B:B,'Base stats'!BH:BH) * 10) * 150 + 0.5 + _xlfn.XLOOKUP(B193,'Base stats'!B:B,'Base stats'!BT:BT), 0.05)</f>
        <v>1.6</v>
      </c>
      <c r="G193" s="3" t="str">
        <f>IF(Animals!S193="No","No",
IF(_xlfn.XLOOKUP(B193,'Base stats'!B:B,'Base stats'!U:U)="No",
MAX(MROUND(_xlfn.XLOOKUP(B193,'Base stats'!B:B,'Base stats'!BQ:BQ) * _xlfn.XLOOKUP(B193,'Base stats'!B:B,'Base stats'!BM:BM)^0.9 / 21 * _xlfn.XLOOKUP(B193,'Base stats'!B:B,'Base stats'!BU:BU),0.1),0.05),
MAX(MROUND(((MIN(10,_xlfn.XLOOKUP(B193,'Base stats'!B:B,'Base stats'!U:U)))^0.4*_xlfn.XLOOKUP(B193,'Base stats'!B:B,'Base stats'!BE:BE)^0.73)^0.6 * _xlfn.XLOOKUP(B193,'Base stats'!B:B,'Base stats'!BU:BU),0.1),0.05)
))</f>
        <v>No</v>
      </c>
      <c r="H193" s="11" t="str">
        <f>IF(G193="No","No",
MAX(0.01,MROUND(_xlfn.XLOOKUP(B193,'Base stats'!B:B,'Base stats'!BE:BE) * 0.01 * 2, 0.01))
)</f>
        <v>No</v>
      </c>
      <c r="I193" s="11" t="str">
        <f>IF(G193="No","No",IF(_xlfn.XLOOKUP(B193,'Base stats'!B:B,'Base stats'!U:U)="No","No",
MAX(0.01,MROUND(_xlfn.XLOOKUP(B193,'Base stats'!B:B,'Base stats'!BQ:BQ)/10000,0.01))
))</f>
        <v>No</v>
      </c>
      <c r="J193" s="4" t="str">
        <f>IF(G193="No","No",
MROUND(_xlfn.XLOOKUP(B193,'Base stats'!B:B,'Base stats'!BB:BB)^0.25
/((_xlfn.XLOOKUP(B193,'Base stats'!B:B,'Base stats'!BI:BI))*10)*_xlfn.XLOOKUP(_xlfn.XLOOKUP(B193,'Base stats'!B:B,'Base stats'!E:E),Groups!A:A,Groups!Q:Q)*150 + 0.5 + _xlfn.XLOOKUP(B193,'Base stats'!B:B,'Base stats'!BT:BT),
0.05))</f>
        <v>No</v>
      </c>
      <c r="K193" s="3" t="str">
        <f>IF(Animals!X193="No","No",
IF(_xlfn.XLOOKUP(_xlfn.XLOOKUP(B193,'Base stats'!B:B,'Base stats'!E:E),Groups!A:A,Groups!BD:BD)=1,
MAX(MROUND(_xlfn.XLOOKUP(B193,'Base stats'!B:B,'Base stats'!BR:BR) * _xlfn.XLOOKUP(B193,'Base stats'!B:B,'Base stats'!BN:BN)^0.9 / 21 *_xlfn.XLOOKUP(B193,'Base stats'!B:B,'Base stats'!BU:BU),0.1),0.05),
MAX(MROUND(((MIN(10,_xlfn.XLOOKUP(B193,'Base stats'!B:B,'Base stats'!W:W)))^0.4*_xlfn.XLOOKUP(B193,'Base stats'!B:B,'Base stats'!BF:BF)^0.73)^0.6 *_xlfn.XLOOKUP(B193,'Base stats'!B:B,'Base stats'!BU:BU),0.1),0.05)
))</f>
        <v>No</v>
      </c>
      <c r="L193" s="11" t="str">
        <f>IF(K193="No","No",
MAX(0.01,MROUND(_xlfn.XLOOKUP(B193,'Base stats'!B:B,'Base stats'!BF:BF)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stats'!BR:BR)/10000,0.01))
))</f>
        <v>No</v>
      </c>
      <c r="N193" s="4" t="str">
        <f>IF(K193="No","No",
MROUND(
  _xlfn.XLOOKUP(B193,'Base stats'!B:B,'Base stats'!AZ:AZ)^0.25
  / (_xlfn.XLOOKUP(B193,'Base stats'!B:B,'Base stats'!BJ:BJ)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stats'!BT:BT),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stats'!BG:BG)^0.73)^0.6 *_xlfn.XLOOKUP(B193,'Base stats'!B:B,'Base stats'!BU:BU),0.1),0.05)
)</f>
        <v>4.5</v>
      </c>
      <c r="P193" s="11">
        <f>IF(O193="No","No",
MAX(0.01,MROUND(_xlfn.XLOOKUP(B193,'Base stats'!B:B,'Base stats'!BG:BG) * 0.01 * 2, 0.01))
)</f>
        <v>0.52</v>
      </c>
      <c r="Q193" s="5">
        <f>IF(O193="No","No",
MAX(0.01,MROUND(_xlfn.XLOOKUP(B193,'Base stats'!B:B,'Base stats'!BS:BS)/10000,0.01))
)</f>
        <v>7.0000000000000007E-2</v>
      </c>
      <c r="R193" s="4">
        <f>IF(O193="No","No",
MROUND(_xlfn.XLOOKUP(B193,'Base stats'!B:B,'Base stats'!AY:AY)^0.25
/((_xlfn.XLOOKUP(B193,'Base stats'!B:B,'Base stats'!BK:BK))*10)*_xlfn.XLOOKUP(_xlfn.XLOOKUP(B193,'Base stats'!B:B,'Base stats'!E:E),Groups!A:A,Groups!Z:Z)*150 + 0.5 + _xlfn.XLOOKUP(B193,'Base stats'!B:B,'Base stats'!BT:BT),
0.05))</f>
        <v>1.9000000000000001</v>
      </c>
      <c r="S193" s="3">
        <f>IF(Animals!AI193="No","No",
IF(_xlfn.XLOOKUP(B193,'Base stats'!B:B,'Base stats'!U:U)="No",
MAX(MROUND(_xlfn.XLOOKUP(B193,'Base stats'!B:B,'Base stats'!BQ:BQ) * _xlfn.XLOOKUP(B193,'Base stats'!B:B,'Base stats'!BM:BM)^0.9 / 21 * _xlfn.XLOOKUP(B193,'Base stats'!B:B,'Base stats'!BU:BU),0.1),0.05),
MAX(MROUND(((MIN(12,_xlfn.XLOOKUP(B193,'Base stats'!B:B,'Base stats'!U:U)))^0.4*_xlfn.XLOOKUP(B193,'Base stats'!B:B,'Base stats'!BE:BE)^0.73)^0.6 * _xlfn.XLOOKUP(B193,'Base stats'!B:B,'Base stats'!BU:BU),0.1),0.05)
))</f>
        <v>4.1000000000000005</v>
      </c>
      <c r="T193" s="11">
        <f>IF(S193="No","No",
MAX(0.01,MROUND(_xlfn.XLOOKUP(B193,'Base stats'!B:B,'Base stats'!BE:BE) * 0.01 * 2, 0.01))
)</f>
        <v>0.5</v>
      </c>
      <c r="U193" s="5">
        <f>IF(S193="No","No",IF(_xlfn.XLOOKUP(B193,'Base stats'!B:B,'Base stats'!U:U)="No","No",
MAX(0.01,MROUND(_xlfn.XLOOKUP(B193,'Base stats'!B:B,'Base stats'!BQ:BQ)/10000,0.01))
))</f>
        <v>0.06</v>
      </c>
      <c r="V193" s="4">
        <f>IF(S193="No","No",
MROUND(_xlfn.XLOOKUP(B193,'Base stats'!B:B,'Base stats'!BC:BC)^0.25
/((_xlfn.XLOOKUP(B193,'Base stats'!B:B,'Base stats'!BL:BL))*10)*_xlfn.XLOOKUP(_xlfn.XLOOKUP(B193,'Base stats'!B:B,'Base stats'!E:E),Groups!A:A,Groups!AE:AE)*150 + 0.5 + _xlfn.XLOOKUP(B193,'Base stats'!B:B,'Base stats'!BT:BT),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stats'!AN:AN)*_xlfn.XLOOKUP(_xlfn.XLOOKUP(B193,'Base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stats'!AN:AN)*0.01,2)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stats'!BP:BP) * (_xlfn.XLOOKUP(B194,'Base stats'!B:B,'Base stats'!AL:AL)*5%)^0.9 / 21,0.1),0.05)</f>
        <v>3.4000000000000004</v>
      </c>
      <c r="E194" s="11">
        <f>MAX(0.01,MROUND(_xlfn.XLOOKUP(B194,'Base stats'!B:B,'Base stats'!BD:BD) * 0.01 * 2, 0.01))</f>
        <v>2.94</v>
      </c>
      <c r="F194" s="7">
        <f>MROUND(_xlfn.XLOOKUP(B194,'Base stats'!B:B,'Base stats'!BA:BA)^0.25 / (_xlfn.XLOOKUP(B194,'Base stats'!B:B,'Base stats'!BH:BH) * 10) * 150 + 0.5 + _xlfn.XLOOKUP(B194,'Base stats'!B:B,'Base stats'!BT:BT), 0.05)</f>
        <v>2</v>
      </c>
      <c r="G194" s="3" t="str">
        <f>IF(Animals!S194="No","No",
IF(_xlfn.XLOOKUP(B194,'Base stats'!B:B,'Base stats'!U:U)="No",
MAX(MROUND(_xlfn.XLOOKUP(B194,'Base stats'!B:B,'Base stats'!BQ:BQ) * _xlfn.XLOOKUP(B194,'Base stats'!B:B,'Base stats'!BM:BM)^0.9 / 21 * _xlfn.XLOOKUP(B194,'Base stats'!B:B,'Base stats'!BU:BU),0.1),0.05),
MAX(MROUND(((MIN(10,_xlfn.XLOOKUP(B194,'Base stats'!B:B,'Base stats'!U:U)))^0.4*_xlfn.XLOOKUP(B194,'Base stats'!B:B,'Base stats'!BE:BE)^0.73)^0.6 * _xlfn.XLOOKUP(B194,'Base stats'!B:B,'Base stats'!BU:BU),0.1),0.05)
))</f>
        <v>No</v>
      </c>
      <c r="H194" s="11" t="str">
        <f>IF(G194="No","No",
MAX(0.01,MROUND(_xlfn.XLOOKUP(B194,'Base stats'!B:B,'Base stats'!BE:BE) * 0.01 * 2, 0.01))
)</f>
        <v>No</v>
      </c>
      <c r="I194" s="11" t="str">
        <f>IF(G194="No","No",IF(_xlfn.XLOOKUP(B194,'Base stats'!B:B,'Base stats'!U:U)="No","No",
MAX(0.01,MROUND(_xlfn.XLOOKUP(B194,'Base stats'!B:B,'Base stats'!BQ:BQ)/10000,0.01))
))</f>
        <v>No</v>
      </c>
      <c r="J194" s="4" t="str">
        <f>IF(G194="No","No",
MROUND(_xlfn.XLOOKUP(B194,'Base stats'!B:B,'Base stats'!BB:BB)^0.25
/((_xlfn.XLOOKUP(B194,'Base stats'!B:B,'Base stats'!BI:BI))*10)*_xlfn.XLOOKUP(_xlfn.XLOOKUP(B194,'Base stats'!B:B,'Base stats'!E:E),Groups!A:A,Groups!Q:Q)*150 + 0.5 + _xlfn.XLOOKUP(B194,'Base stats'!B:B,'Base stats'!BT:BT),
0.05))</f>
        <v>No</v>
      </c>
      <c r="K194" s="3" t="str">
        <f>IF(Animals!X194="No","No",
IF(_xlfn.XLOOKUP(_xlfn.XLOOKUP(B194,'Base stats'!B:B,'Base stats'!E:E),Groups!A:A,Groups!BD:BD)=1,
MAX(MROUND(_xlfn.XLOOKUP(B194,'Base stats'!B:B,'Base stats'!BR:BR) * _xlfn.XLOOKUP(B194,'Base stats'!B:B,'Base stats'!BN:BN)^0.9 / 21 *_xlfn.XLOOKUP(B194,'Base stats'!B:B,'Base stats'!BU:BU),0.1),0.05),
MAX(MROUND(((MIN(10,_xlfn.XLOOKUP(B194,'Base stats'!B:B,'Base stats'!W:W)))^0.4*_xlfn.XLOOKUP(B194,'Base stats'!B:B,'Base stats'!BF:BF)^0.73)^0.6 *_xlfn.XLOOKUP(B194,'Base stats'!B:B,'Base stats'!BU:BU),0.1),0.05)
))</f>
        <v>No</v>
      </c>
      <c r="L194" s="11" t="str">
        <f>IF(K194="No","No",
MAX(0.01,MROUND(_xlfn.XLOOKUP(B194,'Base stats'!B:B,'Base stats'!BF:BF)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stats'!BR:BR)/10000,0.01))
))</f>
        <v>No</v>
      </c>
      <c r="N194" s="4" t="str">
        <f>IF(K194="No","No",
MROUND(
  _xlfn.XLOOKUP(B194,'Base stats'!B:B,'Base stats'!AZ:AZ)^0.25
  / (_xlfn.XLOOKUP(B194,'Base stats'!B:B,'Base stats'!BJ:BJ)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stats'!BT:BT),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stats'!BG:BG)^0.73)^0.6 *_xlfn.XLOOKUP(B194,'Base stats'!B:B,'Base stats'!BU:BU),0.1),0.05)
)</f>
        <v>13.600000000000001</v>
      </c>
      <c r="P194" s="11">
        <f>IF(O194="No","No",
MAX(0.01,MROUND(_xlfn.XLOOKUP(B194,'Base stats'!B:B,'Base stats'!BG:BG) * 0.01 * 2, 0.01))
)</f>
        <v>3.43</v>
      </c>
      <c r="Q194" s="5">
        <f>IF(O194="No","No",
MAX(0.01,MROUND(_xlfn.XLOOKUP(B194,'Base stats'!B:B,'Base stats'!BS:BS)/10000,0.01))
)</f>
        <v>0.17</v>
      </c>
      <c r="R194" s="4">
        <f>IF(O194="No","No",
MROUND(_xlfn.XLOOKUP(B194,'Base stats'!B:B,'Base stats'!AY:AY)^0.25
/((_xlfn.XLOOKUP(B194,'Base stats'!B:B,'Base stats'!BK:BK))*10)*_xlfn.XLOOKUP(_xlfn.XLOOKUP(B194,'Base stats'!B:B,'Base stats'!E:E),Groups!A:A,Groups!Z:Z)*150 + 0.5 + _xlfn.XLOOKUP(B194,'Base stats'!B:B,'Base stats'!BT:BT),
0.05))</f>
        <v>2.2000000000000002</v>
      </c>
      <c r="S194" s="3" t="str">
        <f>IF(Animals!AI194="No","No",
IF(_xlfn.XLOOKUP(B194,'Base stats'!B:B,'Base stats'!U:U)="No",
MAX(MROUND(_xlfn.XLOOKUP(B194,'Base stats'!B:B,'Base stats'!BQ:BQ) * _xlfn.XLOOKUP(B194,'Base stats'!B:B,'Base stats'!BM:BM)^0.9 / 21 * _xlfn.XLOOKUP(B194,'Base stats'!B:B,'Base stats'!BU:BU),0.1),0.05),
MAX(MROUND(((MIN(12,_xlfn.XLOOKUP(B194,'Base stats'!B:B,'Base stats'!U:U)))^0.4*_xlfn.XLOOKUP(B194,'Base stats'!B:B,'Base stats'!BE:BE)^0.73)^0.6 * _xlfn.XLOOKUP(B194,'Base stats'!B:B,'Base stats'!BU:BU),0.1),0.05)
))</f>
        <v>No</v>
      </c>
      <c r="T194" s="11" t="str">
        <f>IF(S194="No","No",
MAX(0.01,MROUND(_xlfn.XLOOKUP(B194,'Base stats'!B:B,'Base stats'!BE:BE) * 0.01 * 2, 0.01))
)</f>
        <v>No</v>
      </c>
      <c r="U194" s="5" t="str">
        <f>IF(S194="No","No",IF(_xlfn.XLOOKUP(B194,'Base stats'!B:B,'Base stats'!U:U)="No","No",
MAX(0.01,MROUND(_xlfn.XLOOKUP(B194,'Base stats'!B:B,'Base stats'!BQ:BQ)/10000,0.01))
))</f>
        <v>No</v>
      </c>
      <c r="V194" s="4" t="str">
        <f>IF(S194="No","No",
MROUND(_xlfn.XLOOKUP(B194,'Base stats'!B:B,'Base stats'!BC:BC)^0.25
/((_xlfn.XLOOKUP(B194,'Base stats'!B:B,'Base stats'!BL:BL))*10)*_xlfn.XLOOKUP(_xlfn.XLOOKUP(B194,'Base stats'!B:B,'Base stats'!E:E),Groups!A:A,Groups!AE:AE)*150 + 0.5 + _xlfn.XLOOKUP(B194,'Base stats'!B:B,'Base stats'!BT:BT),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stats'!AN:AN)*_xlfn.XLOOKUP(_xlfn.XLOOKUP(B194,'Base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stats'!AN:AN)*0.01,2)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stats'!BP:BP) * (_xlfn.XLOOKUP(B195,'Base stats'!B:B,'Base stats'!AL:AL)*5%)^0.9 / 21,0.1),0.05)</f>
        <v>21.5</v>
      </c>
      <c r="E195" s="11">
        <f>MAX(0.01,MROUND(_xlfn.XLOOKUP(B195,'Base stats'!B:B,'Base stats'!BD:BD) * 0.01 * 2, 0.01))</f>
        <v>21.2</v>
      </c>
      <c r="F195" s="7">
        <f>MROUND(_xlfn.XLOOKUP(B195,'Base stats'!B:B,'Base stats'!BA:BA)^0.25 / (_xlfn.XLOOKUP(B195,'Base stats'!B:B,'Base stats'!BH:BH) * 10) * 150 + 0.5 + _xlfn.XLOOKUP(B195,'Base stats'!B:B,'Base stats'!BT:BT), 0.05)</f>
        <v>2.6500000000000004</v>
      </c>
      <c r="G195" s="3" t="str">
        <f>IF(Animals!S195="No","No",
IF(_xlfn.XLOOKUP(B195,'Base stats'!B:B,'Base stats'!U:U)="No",
MAX(MROUND(_xlfn.XLOOKUP(B195,'Base stats'!B:B,'Base stats'!BQ:BQ) * _xlfn.XLOOKUP(B195,'Base stats'!B:B,'Base stats'!BM:BM)^0.9 / 21 * _xlfn.XLOOKUP(B195,'Base stats'!B:B,'Base stats'!BU:BU),0.1),0.05),
MAX(MROUND(((MIN(10,_xlfn.XLOOKUP(B195,'Base stats'!B:B,'Base stats'!U:U)))^0.4*_xlfn.XLOOKUP(B195,'Base stats'!B:B,'Base stats'!BE:BE)^0.73)^0.6 * _xlfn.XLOOKUP(B195,'Base stats'!B:B,'Base stats'!BU:BU),0.1),0.05)
))</f>
        <v>No</v>
      </c>
      <c r="H195" s="11" t="str">
        <f>IF(G195="No","No",
MAX(0.01,MROUND(_xlfn.XLOOKUP(B195,'Base stats'!B:B,'Base stats'!BE:BE) * 0.01 * 2, 0.01))
)</f>
        <v>No</v>
      </c>
      <c r="I195" s="11" t="str">
        <f>IF(G195="No","No",IF(_xlfn.XLOOKUP(B195,'Base stats'!B:B,'Base stats'!U:U)="No","No",
MAX(0.01,MROUND(_xlfn.XLOOKUP(B195,'Base stats'!B:B,'Base stats'!BQ:BQ)/10000,0.01))
))</f>
        <v>No</v>
      </c>
      <c r="J195" s="4" t="str">
        <f>IF(G195="No","No",
MROUND(_xlfn.XLOOKUP(B195,'Base stats'!B:B,'Base stats'!BB:BB)^0.25
/((_xlfn.XLOOKUP(B195,'Base stats'!B:B,'Base stats'!BI:BI))*10)*_xlfn.XLOOKUP(_xlfn.XLOOKUP(B195,'Base stats'!B:B,'Base stats'!E:E),Groups!A:A,Groups!Q:Q)*150 + 0.5 + _xlfn.XLOOKUP(B195,'Base stats'!B:B,'Base stats'!BT:BT),
0.05))</f>
        <v>No</v>
      </c>
      <c r="K195" s="3">
        <f>IF(Animals!X195="No","No",
IF(_xlfn.XLOOKUP(_xlfn.XLOOKUP(B195,'Base stats'!B:B,'Base stats'!E:E),Groups!A:A,Groups!BD:BD)=1,
MAX(MROUND(_xlfn.XLOOKUP(B195,'Base stats'!B:B,'Base stats'!BR:BR) * _xlfn.XLOOKUP(B195,'Base stats'!B:B,'Base stats'!BN:BN)^0.9 / 21 *_xlfn.XLOOKUP(B195,'Base stats'!B:B,'Base stats'!BU:BU),0.1),0.05),
MAX(MROUND(((MIN(10,_xlfn.XLOOKUP(B195,'Base stats'!B:B,'Base stats'!W:W)))^0.4*_xlfn.XLOOKUP(B195,'Base stats'!B:B,'Base stats'!BF:BF)^0.73)^0.6 *_xlfn.XLOOKUP(B195,'Base stats'!B:B,'Base stats'!BU:BU),0.1),0.05)
))</f>
        <v>41.6</v>
      </c>
      <c r="L195" s="11">
        <f>IF(K195="No","No",
MAX(0.01,MROUND(_xlfn.XLOOKUP(B195,'Base stats'!B:B,'Base stats'!BF:BF)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stats'!BR:BR)/10000,0.01))
))</f>
        <v>1.3900000000000001</v>
      </c>
      <c r="N195" s="4">
        <f>IF(K195="No","No",
MROUND(
  _xlfn.XLOOKUP(B195,'Base stats'!B:B,'Base stats'!AZ:AZ)^0.25
  / (_xlfn.XLOOKUP(B195,'Base stats'!B:B,'Base stats'!BJ:BJ)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stats'!BT:BT),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stats'!BG:BG)^0.73)^0.6 *_xlfn.XLOOKUP(B195,'Base stats'!B:B,'Base stats'!BU:BU),0.1),0.05)
)</f>
        <v>No</v>
      </c>
      <c r="P195" s="11" t="str">
        <f>IF(O195="No","No",
MAX(0.01,MROUND(_xlfn.XLOOKUP(B195,'Base stats'!B:B,'Base stats'!BG:BG) * 0.01 * 2, 0.01))
)</f>
        <v>No</v>
      </c>
      <c r="Q195" s="5" t="str">
        <f>IF(O195="No","No",
MAX(0.01,MROUND(_xlfn.XLOOKUP(B195,'Base stats'!B:B,'Base stats'!BS:BS)/10000,0.01))
)</f>
        <v>No</v>
      </c>
      <c r="R195" s="4" t="str">
        <f>IF(O195="No","No",
MROUND(_xlfn.XLOOKUP(B195,'Base stats'!B:B,'Base stats'!AY:AY)^0.25
/((_xlfn.XLOOKUP(B195,'Base stats'!B:B,'Base stats'!BK:BK))*10)*_xlfn.XLOOKUP(_xlfn.XLOOKUP(B195,'Base stats'!B:B,'Base stats'!E:E),Groups!A:A,Groups!Z:Z)*150 + 0.5 + _xlfn.XLOOKUP(B195,'Base stats'!B:B,'Base stats'!BT:BT),
0.05))</f>
        <v>No</v>
      </c>
      <c r="S195" s="3" t="str">
        <f>IF(Animals!AI195="No","No",
IF(_xlfn.XLOOKUP(B195,'Base stats'!B:B,'Base stats'!U:U)="No",
MAX(MROUND(_xlfn.XLOOKUP(B195,'Base stats'!B:B,'Base stats'!BQ:BQ) * _xlfn.XLOOKUP(B195,'Base stats'!B:B,'Base stats'!BM:BM)^0.9 / 21 * _xlfn.XLOOKUP(B195,'Base stats'!B:B,'Base stats'!BU:BU),0.1),0.05),
MAX(MROUND(((MIN(12,_xlfn.XLOOKUP(B195,'Base stats'!B:B,'Base stats'!U:U)))^0.4*_xlfn.XLOOKUP(B195,'Base stats'!B:B,'Base stats'!BE:BE)^0.73)^0.6 * _xlfn.XLOOKUP(B195,'Base stats'!B:B,'Base stats'!BU:BU),0.1),0.05)
))</f>
        <v>No</v>
      </c>
      <c r="T195" s="11" t="str">
        <f>IF(S195="No","No",
MAX(0.01,MROUND(_xlfn.XLOOKUP(B195,'Base stats'!B:B,'Base stats'!BE:BE) * 0.01 * 2, 0.01))
)</f>
        <v>No</v>
      </c>
      <c r="U195" s="5" t="str">
        <f>IF(S195="No","No",IF(_xlfn.XLOOKUP(B195,'Base stats'!B:B,'Base stats'!U:U)="No","No",
MAX(0.01,MROUND(_xlfn.XLOOKUP(B195,'Base stats'!B:B,'Base stats'!BQ:BQ)/10000,0.01))
))</f>
        <v>No</v>
      </c>
      <c r="V195" s="4" t="str">
        <f>IF(S195="No","No",
MROUND(_xlfn.XLOOKUP(B195,'Base stats'!B:B,'Base stats'!BC:BC)^0.25
/((_xlfn.XLOOKUP(B195,'Base stats'!B:B,'Base stats'!BL:BL))*10)*_xlfn.XLOOKUP(_xlfn.XLOOKUP(B195,'Base stats'!B:B,'Base stats'!E:E),Groups!A:A,Groups!AE:AE)*150 + 0.5 + _xlfn.XLOOKUP(B195,'Base stats'!B:B,'Base stats'!BT:BT),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stats'!AN:AN)*_xlfn.XLOOKUP(_xlfn.XLOOKUP(B195,'Base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stats'!AN:AN)*0.01,2)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stats'!BP:BP) * (_xlfn.XLOOKUP(B196,'Base stats'!B:B,'Base stats'!AL:AL)*5%)^0.9 / 21,0.1),0.05)</f>
        <v>0.60000000000000009</v>
      </c>
      <c r="E196" s="11">
        <f>MAX(0.01,MROUND(_xlfn.XLOOKUP(B196,'Base stats'!B:B,'Base stats'!BD:BD) * 0.01 * 2, 0.01))</f>
        <v>0.46</v>
      </c>
      <c r="F196" s="7">
        <f>MROUND(_xlfn.XLOOKUP(B196,'Base stats'!B:B,'Base stats'!BA:BA)^0.25 / (_xlfn.XLOOKUP(B196,'Base stats'!B:B,'Base stats'!BH:BH) * 10) * 150 + 0.5 + _xlfn.XLOOKUP(B196,'Base stats'!B:B,'Base stats'!BT:BT), 0.05)</f>
        <v>1.4500000000000002</v>
      </c>
      <c r="G196" s="3" t="str">
        <f>IF(Animals!S196="No","No",
IF(_xlfn.XLOOKUP(B196,'Base stats'!B:B,'Base stats'!U:U)="No",
MAX(MROUND(_xlfn.XLOOKUP(B196,'Base stats'!B:B,'Base stats'!BQ:BQ) * _xlfn.XLOOKUP(B196,'Base stats'!B:B,'Base stats'!BM:BM)^0.9 / 21 * _xlfn.XLOOKUP(B196,'Base stats'!B:B,'Base stats'!BU:BU),0.1),0.05),
MAX(MROUND(((MIN(10,_xlfn.XLOOKUP(B196,'Base stats'!B:B,'Base stats'!U:U)))^0.4*_xlfn.XLOOKUP(B196,'Base stats'!B:B,'Base stats'!BE:BE)^0.73)^0.6 * _xlfn.XLOOKUP(B196,'Base stats'!B:B,'Base stats'!BU:BU),0.1),0.05)
))</f>
        <v>No</v>
      </c>
      <c r="H196" s="11" t="str">
        <f>IF(G196="No","No",
MAX(0.01,MROUND(_xlfn.XLOOKUP(B196,'Base stats'!B:B,'Base stats'!BE:BE) * 0.01 * 2, 0.01))
)</f>
        <v>No</v>
      </c>
      <c r="I196" s="11" t="str">
        <f>IF(G196="No","No",IF(_xlfn.XLOOKUP(B196,'Base stats'!B:B,'Base stats'!U:U)="No","No",
MAX(0.01,MROUND(_xlfn.XLOOKUP(B196,'Base stats'!B:B,'Base stats'!BQ:BQ)/10000,0.01))
))</f>
        <v>No</v>
      </c>
      <c r="J196" s="4" t="str">
        <f>IF(G196="No","No",
MROUND(_xlfn.XLOOKUP(B196,'Base stats'!B:B,'Base stats'!BB:BB)^0.25
/((_xlfn.XLOOKUP(B196,'Base stats'!B:B,'Base stats'!BI:BI))*10)*_xlfn.XLOOKUP(_xlfn.XLOOKUP(B196,'Base stats'!B:B,'Base stats'!E:E),Groups!A:A,Groups!Q:Q)*150 + 0.5 + _xlfn.XLOOKUP(B196,'Base stats'!B:B,'Base stats'!BT:BT),
0.05))</f>
        <v>No</v>
      </c>
      <c r="K196" s="3" t="str">
        <f>IF(Animals!X196="No","No",
IF(_xlfn.XLOOKUP(_xlfn.XLOOKUP(B196,'Base stats'!B:B,'Base stats'!E:E),Groups!A:A,Groups!BD:BD)=1,
MAX(MROUND(_xlfn.XLOOKUP(B196,'Base stats'!B:B,'Base stats'!BR:BR) * _xlfn.XLOOKUP(B196,'Base stats'!B:B,'Base stats'!BN:BN)^0.9 / 21 *_xlfn.XLOOKUP(B196,'Base stats'!B:B,'Base stats'!BU:BU),0.1),0.05),
MAX(MROUND(((MIN(10,_xlfn.XLOOKUP(B196,'Base stats'!B:B,'Base stats'!W:W)))^0.4*_xlfn.XLOOKUP(B196,'Base stats'!B:B,'Base stats'!BF:BF)^0.73)^0.6 *_xlfn.XLOOKUP(B196,'Base stats'!B:B,'Base stats'!BU:BU),0.1),0.05)
))</f>
        <v>No</v>
      </c>
      <c r="L196" s="11" t="str">
        <f>IF(K196="No","No",
MAX(0.01,MROUND(_xlfn.XLOOKUP(B196,'Base stats'!B:B,'Base stats'!BF:BF)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stats'!BR:BR)/10000,0.01))
))</f>
        <v>No</v>
      </c>
      <c r="N196" s="4" t="str">
        <f>IF(K196="No","No",
MROUND(
  _xlfn.XLOOKUP(B196,'Base stats'!B:B,'Base stats'!AZ:AZ)^0.25
  / (_xlfn.XLOOKUP(B196,'Base stats'!B:B,'Base stats'!BJ:BJ)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stats'!BT:BT),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stats'!BG:BG)^0.73)^0.6 *_xlfn.XLOOKUP(B196,'Base stats'!B:B,'Base stats'!BU:BU),0.1),0.05)
)</f>
        <v>4.9000000000000004</v>
      </c>
      <c r="P196" s="11">
        <f>IF(O196="No","No",
MAX(0.01,MROUND(_xlfn.XLOOKUP(B196,'Base stats'!B:B,'Base stats'!BG:BG) * 0.01 * 2, 0.01))
)</f>
        <v>0.42</v>
      </c>
      <c r="Q196" s="5">
        <f>IF(O196="No","No",
MAX(0.01,MROUND(_xlfn.XLOOKUP(B196,'Base stats'!B:B,'Base stats'!BS:BS)/10000,0.01))
)</f>
        <v>0.05</v>
      </c>
      <c r="R196" s="4">
        <f>IF(O196="No","No",
MROUND(_xlfn.XLOOKUP(B196,'Base stats'!B:B,'Base stats'!AY:AY)^0.25
/((_xlfn.XLOOKUP(B196,'Base stats'!B:B,'Base stats'!BK:BK))*10)*_xlfn.XLOOKUP(_xlfn.XLOOKUP(B196,'Base stats'!B:B,'Base stats'!E:E),Groups!A:A,Groups!Z:Z)*150 + 0.5 + _xlfn.XLOOKUP(B196,'Base stats'!B:B,'Base stats'!BT:BT),
0.05))</f>
        <v>2.0500000000000003</v>
      </c>
      <c r="S196" s="3" t="str">
        <f>IF(Animals!AI196="No","No",
IF(_xlfn.XLOOKUP(B196,'Base stats'!B:B,'Base stats'!U:U)="No",
MAX(MROUND(_xlfn.XLOOKUP(B196,'Base stats'!B:B,'Base stats'!BQ:BQ) * _xlfn.XLOOKUP(B196,'Base stats'!B:B,'Base stats'!BM:BM)^0.9 / 21 * _xlfn.XLOOKUP(B196,'Base stats'!B:B,'Base stats'!BU:BU),0.1),0.05),
MAX(MROUND(((MIN(12,_xlfn.XLOOKUP(B196,'Base stats'!B:B,'Base stats'!U:U)))^0.4*_xlfn.XLOOKUP(B196,'Base stats'!B:B,'Base stats'!BE:BE)^0.73)^0.6 * _xlfn.XLOOKUP(B196,'Base stats'!B:B,'Base stats'!BU:BU),0.1),0.05)
))</f>
        <v>No</v>
      </c>
      <c r="T196" s="11" t="str">
        <f>IF(S196="No","No",
MAX(0.01,MROUND(_xlfn.XLOOKUP(B196,'Base stats'!B:B,'Base stats'!BE:BE) * 0.01 * 2, 0.01))
)</f>
        <v>No</v>
      </c>
      <c r="U196" s="5" t="str">
        <f>IF(S196="No","No",IF(_xlfn.XLOOKUP(B196,'Base stats'!B:B,'Base stats'!U:U)="No","No",
MAX(0.01,MROUND(_xlfn.XLOOKUP(B196,'Base stats'!B:B,'Base stats'!BQ:BQ)/10000,0.01))
))</f>
        <v>No</v>
      </c>
      <c r="V196" s="4" t="str">
        <f>IF(S196="No","No",
MROUND(_xlfn.XLOOKUP(B196,'Base stats'!B:B,'Base stats'!BC:BC)^0.25
/((_xlfn.XLOOKUP(B196,'Base stats'!B:B,'Base stats'!BL:BL))*10)*_xlfn.XLOOKUP(_xlfn.XLOOKUP(B196,'Base stats'!B:B,'Base stats'!E:E),Groups!A:A,Groups!AE:AE)*150 + 0.5 + _xlfn.XLOOKUP(B196,'Base stats'!B:B,'Base stats'!BT:BT),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stats'!AN:AN)*_xlfn.XLOOKUP(_xlfn.XLOOKUP(B196,'Base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stats'!AN:AN)*0.01,2)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3"/>
  <sheetViews>
    <sheetView zoomScale="85" zoomScaleNormal="85" workbookViewId="0">
      <selection activeCell="E1" sqref="E1"/>
    </sheetView>
  </sheetViews>
  <sheetFormatPr defaultRowHeight="15" x14ac:dyDescent="0.25"/>
  <cols>
    <col min="2" max="4" width="32.85546875" bestFit="1" customWidth="1"/>
    <col min="5" max="6" width="23.5703125" bestFit="1" customWidth="1"/>
    <col min="7" max="7" width="24.7109375" bestFit="1" customWidth="1"/>
    <col min="8" max="8" width="29.5703125" style="16" bestFit="1" customWidth="1"/>
    <col min="9" max="9" width="29.5703125" bestFit="1" customWidth="1"/>
    <col min="10" max="12" width="31.42578125" bestFit="1" customWidth="1"/>
    <col min="13" max="13" width="28.85546875" bestFit="1" customWidth="1"/>
    <col min="14" max="14" width="28.140625" bestFit="1" customWidth="1"/>
    <col min="15" max="17" width="28.85546875" bestFit="1" customWidth="1"/>
    <col min="18" max="18" width="19.570312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</row>
    <row r="20" spans="4:18" x14ac:dyDescent="0.25"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</row>
    <row r="21" spans="4:18" x14ac:dyDescent="0.25"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</row>
    <row r="22" spans="4:18" x14ac:dyDescent="0.25">
      <c r="D22" s="16"/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</row>
    <row r="31" spans="4:18" x14ac:dyDescent="0.25">
      <c r="E31" s="16" t="str">
        <f>Animals!C87</f>
        <v>&lt;li&gt;Seal&lt;/li&gt;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</row>
    <row r="32" spans="4:18" s="16" customFormat="1" x14ac:dyDescent="0.25">
      <c r="F32"/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7:17" x14ac:dyDescent="0.25"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</row>
    <row r="34" spans="7:17" x14ac:dyDescent="0.25"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</row>
    <row r="35" spans="7:17" x14ac:dyDescent="0.25"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7:17" x14ac:dyDescent="0.25"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O36" s="16"/>
      <c r="P36" t="str">
        <f>Animals!C78</f>
        <v>&lt;li&gt;Hippo&lt;/li&gt;</v>
      </c>
      <c r="Q36" t="str">
        <f>Animals!C91</f>
        <v>&lt;li&gt;Alligator&lt;/li&gt;</v>
      </c>
    </row>
    <row r="37" spans="7:17" x14ac:dyDescent="0.25"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/>
      <c r="O37" s="16"/>
      <c r="P37" t="str">
        <f>Animals!C136</f>
        <v>&lt;li&gt;AEXP_Anaconda&lt;/li&gt;</v>
      </c>
      <c r="Q37" t="str">
        <f>Animals!C61</f>
        <v>&lt;li&gt;WasteRat&lt;/li&gt;</v>
      </c>
    </row>
    <row r="38" spans="7:17" s="16" customFormat="1" x14ac:dyDescent="0.25"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7:17" s="16" customFormat="1" x14ac:dyDescent="0.25"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/>
      <c r="P39" t="str">
        <f>Animals!C61</f>
        <v>&lt;li&gt;WasteRat&lt;/li&gt;</v>
      </c>
      <c r="Q39" s="16" t="str">
        <f>Animals!C173</f>
        <v>&lt;li&gt;AEXP_Bonobo&lt;/li&gt;</v>
      </c>
    </row>
    <row r="40" spans="7:17" x14ac:dyDescent="0.25"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7:17" x14ac:dyDescent="0.25"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P41" t="str">
        <f>Animals!C173</f>
        <v>&lt;li&gt;AEXP_Bonobo&lt;/li&gt;</v>
      </c>
    </row>
    <row r="42" spans="7:17" x14ac:dyDescent="0.25"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P42" t="str">
        <f>Animals!C163</f>
        <v>&lt;li&gt;VAERoy_Orangutan&lt;/li&gt;</v>
      </c>
    </row>
    <row r="43" spans="7:17" x14ac:dyDescent="0.25"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</row>
    <row r="44" spans="7:17" x14ac:dyDescent="0.25"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</row>
    <row r="45" spans="7:17" x14ac:dyDescent="0.25">
      <c r="I45" t="str">
        <f>Animals!C129</f>
        <v>&lt;li&gt;AEXP_WildGoose&lt;/li&gt;</v>
      </c>
      <c r="J45" t="str">
        <f>Animals!C178</f>
        <v>&lt;li&gt;AEXP_Thylacine&lt;/li&gt;</v>
      </c>
    </row>
    <row r="46" spans="7:17" x14ac:dyDescent="0.25">
      <c r="I46" t="str">
        <f>Animals!C91</f>
        <v>&lt;li&gt;Alligator&lt;/li&gt;</v>
      </c>
      <c r="J46" t="str">
        <f>Animals!C171</f>
        <v>&lt;li&gt;AEXP_BlackFootedFerret&lt;/li&gt;</v>
      </c>
    </row>
    <row r="47" spans="7:17" x14ac:dyDescent="0.25">
      <c r="I47" t="str">
        <f>Animals!C61</f>
        <v>&lt;li&gt;WasteRat&lt;/li&gt;</v>
      </c>
    </row>
    <row r="48" spans="7:17" x14ac:dyDescent="0.25">
      <c r="I48" t="str">
        <f>Animals!C48</f>
        <v>&lt;li&gt;Toxalope&lt;/li&gt;</v>
      </c>
    </row>
    <row r="49" spans="9:9" x14ac:dyDescent="0.25">
      <c r="I49" t="str">
        <f>Animals!C174</f>
        <v>&lt;li&gt;AEXP_Moa&lt;/li&gt;</v>
      </c>
    </row>
    <row r="50" spans="9:9" x14ac:dyDescent="0.25">
      <c r="I50" t="str">
        <f>Animals!C177</f>
        <v>&lt;li&gt;AEXP_TasmanianDevil&lt;/li&gt;</v>
      </c>
    </row>
    <row r="51" spans="9:9" x14ac:dyDescent="0.25">
      <c r="I51" t="str">
        <f>Animals!C178</f>
        <v>&lt;li&gt;AEXP_Thylacine&lt;/li&gt;</v>
      </c>
    </row>
    <row r="52" spans="9:9" x14ac:dyDescent="0.25">
      <c r="I52" t="str">
        <f>Animals!C162</f>
        <v>&lt;li&gt;VAERoy_Pheasant&lt;/li&gt;</v>
      </c>
    </row>
    <row r="53" spans="9:9" x14ac:dyDescent="0.25">
      <c r="I53" t="str">
        <f>Animals!C165</f>
        <v>&lt;li&gt;VAERoy_Crane&lt;/li&gt;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38"/>
  <sheetViews>
    <sheetView topLeftCell="A19" workbookViewId="0">
      <selection sqref="A1:F38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38" si="19">MROUND(G37/(365/60),1)</f>
        <v>8</v>
      </c>
      <c r="D37" s="17">
        <f t="shared" ref="D37:D38" si="20">MAX(1,(1/(H37/365))*(60/365)*I37)</f>
        <v>3</v>
      </c>
      <c r="E37" s="5" t="str">
        <f t="shared" ref="E37:E38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1"/>
  <sheetViews>
    <sheetView workbookViewId="0">
      <selection activeCell="J24" sqref="J24"/>
    </sheetView>
  </sheetViews>
  <sheetFormatPr defaultRowHeight="15" x14ac:dyDescent="0.25"/>
  <cols>
    <col min="1" max="1" width="22.2851562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2026-04-07T11:28:51Z</dcterms:modified>
</cp:coreProperties>
</file>